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1" i="1" l="1"/>
  <c r="R32" i="1"/>
  <c r="R33" i="1"/>
  <c r="R34" i="1"/>
  <c r="R36" i="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24" i="9" l="1"/>
  <c r="D92" i="4" s="1"/>
  <c r="C28" i="9"/>
  <c r="D96" i="4" s="1"/>
  <c r="C23" i="9"/>
  <c r="D91" i="4" s="1"/>
  <c r="C17" i="9"/>
  <c r="D85" i="4" s="1"/>
  <c r="C22" i="9"/>
  <c r="D90" i="4" s="1"/>
  <c r="C25" i="9"/>
  <c r="D93" i="4" s="1"/>
  <c r="C18" i="9"/>
  <c r="D86" i="4" s="1"/>
  <c r="C19" i="9"/>
  <c r="D87"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C32" i="1"/>
  <c r="C33" i="1"/>
  <c r="C34" i="1"/>
  <c r="C35" i="1"/>
  <c r="R35" i="1" s="1"/>
  <c r="C39" i="1"/>
  <c r="C40" i="1"/>
  <c r="C41" i="1"/>
  <c r="C42" i="1"/>
  <c r="C43" i="1"/>
  <c r="C44" i="1"/>
  <c r="C45" i="1"/>
  <c r="C46" i="1"/>
  <c r="C47" i="1"/>
  <c r="C48" i="1"/>
  <c r="C49" i="1"/>
  <c r="C50" i="1"/>
  <c r="C51" i="1"/>
  <c r="C52" i="1"/>
  <c r="C53" i="1"/>
  <c r="C21" i="1"/>
  <c r="R21" i="1" s="1"/>
  <c r="M48" i="1"/>
  <c r="F48" i="1" s="1"/>
  <c r="R29" i="1" l="1"/>
  <c r="Q29" i="1"/>
  <c r="G29" i="1"/>
  <c r="H29" i="1" s="1"/>
  <c r="P31" i="1"/>
  <c r="O31" i="1"/>
  <c r="M31" i="1"/>
  <c r="F31" i="1" s="1"/>
  <c r="I29" i="1"/>
  <c r="M30" i="1"/>
  <c r="F30" i="1" s="1"/>
  <c r="G30" i="1"/>
  <c r="Q30" i="1" s="1"/>
  <c r="K30" i="1"/>
  <c r="H30" i="1"/>
  <c r="I31" i="1"/>
  <c r="M38" i="1"/>
  <c r="F38" i="1" s="1"/>
  <c r="H31" i="1"/>
  <c r="H52" i="1"/>
  <c r="H48" i="1"/>
  <c r="H44" i="1"/>
  <c r="J29" i="1"/>
  <c r="D94" i="4"/>
  <c r="C29" i="9"/>
  <c r="D97" i="4" s="1"/>
  <c r="O30" i="1"/>
  <c r="J30" i="1"/>
  <c r="L29" i="1"/>
  <c r="M29" i="1"/>
  <c r="F29" i="1" s="1"/>
  <c r="K31" i="1"/>
  <c r="G31" i="1"/>
  <c r="J31" i="1" s="1"/>
  <c r="N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6" i="1"/>
  <c r="Q22"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9" i="1" l="1"/>
  <c r="O29" i="1"/>
  <c r="K28" i="1"/>
  <c r="O28" i="1"/>
  <c r="Q26" i="1"/>
  <c r="L26" i="1"/>
  <c r="J25" i="1"/>
  <c r="K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<sst xmlns="http://schemas.openxmlformats.org/spreadsheetml/2006/main" count="1927" uniqueCount="930">
  <si>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</si>
  <si>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</si>
  <si>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</si>
  <si>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</si>
  <si>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</si>
  <si>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</si>
  <si>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</si>
  <si>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</si>
  <si>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</si>
  <si>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</si>
  <si>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</si>
  <si>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</si>
  <si>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</si>
  <si>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</si>
  <si>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</si>
  <si>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</si>
  <si>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</si>
  <si>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</si>
  <si>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</si>
  <si>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</si>
  <si>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</si>
  <si>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</si>
  <si>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</si>
  <si>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</si>
  <si>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</si>
  <si>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</si>
  <si>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</si>
  <si>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</si>
  <si>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</si>
  <si>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</si>
  <si>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</si>
  <si>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</si>
  <si>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</si>
  <si>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</si>
  <si>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</si>
  <si>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</si>
  <si>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</si>
  <si>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</si>
  <si>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</si>
  <si>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</si>
  <si>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</si>
  <si>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</si>
  <si>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</si>
  <si>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</si>
  <si>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</si>
  <si>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</si>
  <si>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</si>
  <si>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</si>
  <si>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</si>
  <si>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</si>
  <si>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</si>
  <si>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</si>
  <si>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</si>
  <si>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</si>
  <si>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</si>
  <si>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</si>
  <si>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</si>
  <si>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</si>
  <si>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</si>
  <si>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</si>
  <si>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</si>
  <si>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</si>
  <si>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</si>
  <si>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</si>
  <si>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</si>
  <si>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</si>
  <si>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</si>
  <si>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</si>
  <si>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</si>
  <si>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</si>
  <si>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</si>
  <si>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</si>
  <si>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</si>
  <si>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</si>
  <si>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</si>
  <si>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</si>
  <si>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</si>
  <si>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</si>
  <si>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</si>
  <si>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</si>
  <si>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</si>
  <si>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</si>
  <si>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</si>
  <si>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</si>
  <si>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</si>
  <si>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</si>
  <si>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</si>
  <si>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</si>
  <si>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</si>
  <si>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</si>
  <si>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</si>
  <si>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</si>
  <si>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</si>
  <si>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</si>
  <si>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</si>
  <si>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</si>
  <si>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</si>
  <si>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</si>
  <si>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</si>
  <si>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</si>
  <si>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</si>
  <si>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</si>
  <si>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</si>
  <si>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</si>
  <si>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</si>
  <si>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</si>
  <si>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</si>
  <si>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</si>
  <si>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</si>
  <si>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</si>
  <si>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</si>
  <si>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</si>
  <si>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</si>
  <si>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</si>
  <si>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</si>
  <si>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</si>
  <si>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</si>
  <si>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</si>
  <si>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</si>
  <si>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</si>
  <si>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</si>
  <si>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</si>
  <si>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</si>
  <si>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</si>
  <si>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</si>
  <si>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</si>
  <si>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</si>
  <si>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</si>
  <si>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</si>
  <si>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</si>
  <si>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</si>
  <si>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</si>
  <si>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</si>
  <si>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</si>
  <si>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</si>
  <si>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</si>
  <si>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</si>
  <si>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</si>
  <si>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</si>
  <si>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</si>
  <si>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</si>
  <si>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</si>
  <si>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</si>
  <si>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</si>
  <si>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</si>
  <si>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</si>
  <si>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</si>
  <si>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</si>
  <si>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</si>
  <si>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</si>
  <si>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</si>
  <si>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</si>
  <si>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</si>
  <si>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</si>
  <si>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</si>
  <si>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</si>
  <si>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</si>
  <si>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</si>
  <si>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</si>
  <si>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</si>
  <si>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</si>
  <si>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</si>
  <si>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</si>
  <si>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</si>
  <si>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</si>
  <si>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</si>
  <si>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</si>
  <si>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</si>
  <si>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</si>
  <si>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</si>
  <si>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</si>
  <si>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</si>
  <si>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</si>
  <si>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</si>
  <si>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</si>
  <si>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</si>
  <si>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</si>
  <si>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</si>
  <si>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</si>
  <si>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</si>
  <si>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</si>
  <si>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</si>
  <si>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</si>
  <si>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</si>
  <si>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</si>
  <si>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</si>
  <si>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</si>
  <si>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</si>
  <si>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</si>
  <si>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</si>
  <si>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</si>
  <si>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</si>
  <si>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</si>
  <si>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</si>
  <si>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</si>
  <si>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</si>
  <si>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</si>
  <si>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</si>
  <si>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</si>
  <si>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</si>
  <si>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</si>
  <si>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</si>
  <si>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</si>
  <si>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</si>
  <si>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</si>
  <si>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</si>
  <si>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</si>
  <si>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</si>
  <si>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</si>
  <si>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</si>
  <si>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</si>
  <si>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</si>
  <si>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</si>
  <si>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</si>
  <si>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</si>
  <si>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</si>
  <si>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</si>
  <si>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</si>
  <si>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</si>
  <si>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</si>
  <si>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</si>
  <si>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</si>
  <si>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</si>
  <si>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</si>
  <si>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</si>
  <si>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</si>
  <si>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</si>
  <si>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</si>
  <si>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</si>
  <si>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</si>
  <si>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</si>
  <si>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</si>
  <si>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</si>
  <si>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</si>
  <si>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</si>
  <si>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</si>
  <si>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</si>
  <si>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</si>
  <si>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</si>
  <si>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</si>
  <si>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</si>
  <si>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</si>
  <si>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</si>
  <si>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</si>
  <si>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</si>
  <si>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</si>
  <si>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</si>
  <si>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</si>
  <si>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</si>
  <si>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</si>
  <si>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</si>
  <si>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</si>
  <si>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</si>
  <si>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</si>
  <si>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</si>
  <si>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</si>
  <si>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</si>
  <si>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</si>
  <si>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</si>
  <si>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</si>
  <si>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</si>
  <si>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</si>
  <si>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</si>
  <si>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</si>
  <si>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</si>
  <si>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</si>
  <si>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</si>
  <si>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</si>
  <si>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</si>
  <si>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</si>
  <si>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</si>
  <si>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</si>
  <si>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</si>
  <si>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</si>
  <si>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</si>
  <si>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</si>
  <si>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</si>
  <si>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</si>
  <si>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</si>
  <si>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</si>
  <si>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</si>
  <si>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</si>
  <si>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</si>
  <si>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</si>
  <si>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</si>
  <si>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</si>
  <si>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</si>
  <si>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</si>
  <si>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</si>
  <si>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</si>
  <si>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</si>
  <si>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</si>
  <si>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</si>
  <si>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</si>
  <si>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</si>
  <si>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</si>
  <si>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</si>
  <si>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</si>
  <si>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</si>
  <si>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</si>
  <si>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</si>
  <si>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</si>
  <si>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</si>
  <si>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</si>
  <si>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</si>
  <si>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</si>
  <si>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</si>
  <si>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</si>
  <si>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</si>
  <si>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</si>
  <si>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</si>
  <si>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</si>
  <si>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</si>
  <si>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</si>
  <si>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</si>
  <si>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</si>
  <si>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</si>
  <si>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</si>
  <si>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</si>
  <si>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</si>
  <si>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</si>
  <si>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</si>
  <si>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</si>
  <si>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</si>
  <si>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</si>
  <si>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</si>
  <si>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</si>
  <si>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</si>
  <si>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</si>
  <si>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</si>
  <si>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</si>
  <si>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</si>
  <si>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</si>
  <si>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</si>
  <si>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</si>
  <si>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</si>
  <si>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</si>
  <si>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</si>
  <si>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</si>
  <si>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</si>
  <si>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</si>
  <si>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</si>
  <si>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</si>
  <si>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</si>
  <si>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</si>
  <si>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</si>
  <si>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</si>
  <si>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</si>
  <si>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</si>
  <si>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</si>
  <si>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</si>
  <si>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</si>
  <si>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</si>
  <si>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</si>
  <si>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</si>
  <si>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</si>
  <si>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</si>
  <si>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</si>
  <si>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</si>
  <si>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</si>
  <si>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</si>
  <si>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</si>
  <si>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</si>
  <si>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</si>
  <si>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</si>
  <si>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</si>
  <si>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</si>
  <si>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</si>
  <si>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</si>
  <si>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</si>
  <si>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</si>
  <si>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</si>
  <si>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</si>
  <si>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</si>
  <si>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</si>
  <si>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</si>
  <si>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</si>
  <si>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</si>
  <si>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</si>
  <si>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</si>
  <si>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</si>
  <si>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</si>
  <si>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</si>
  <si>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</si>
  <si>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</si>
  <si>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</si>
  <si>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</si>
  <si>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</si>
  <si>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</si>
  <si>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</si>
  <si>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</si>
  <si>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</si>
  <si>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</si>
  <si>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</si>
  <si>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</si>
  <si>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</si>
  <si>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</si>
  <si>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</si>
  <si>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</si>
  <si>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</si>
  <si>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</si>
  <si>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</si>
  <si>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</si>
  <si>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</si>
  <si>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</si>
  <si>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</si>
  <si>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</si>
  <si>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</si>
  <si>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</si>
  <si>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</si>
  <si>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</si>
  <si>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</si>
  <si>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</si>
  <si>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</si>
  <si>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</si>
  <si>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</si>
  <si>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</si>
  <si>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</si>
  <si>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</si>
  <si>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</si>
  <si>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</si>
  <si>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</si>
  <si>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</si>
  <si>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</si>
  <si>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</si>
  <si>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</si>
  <si>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</si>
  <si>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</si>
  <si>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</si>
  <si>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</si>
  <si>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</si>
  <si>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</si>
  <si>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</si>
  <si>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</si>
  <si>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</si>
  <si>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</si>
  <si>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</si>
  <si>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</si>
  <si>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</si>
  <si>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</si>
  <si>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</si>
  <si>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</si>
  <si>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</si>
  <si>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</si>
  <si>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</si>
  <si>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</si>
  <si>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</si>
  <si>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</si>
  <si>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</si>
  <si>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</si>
  <si>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</si>
  <si>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</si>
  <si>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</si>
  <si>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</si>
  <si>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</si>
  <si>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</si>
  <si>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</si>
  <si>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</si>
  <si>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</si>
  <si>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</si>
  <si>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</si>
  <si>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</si>
  <si>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</si>
  <si>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</si>
  <si>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</si>
  <si>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</si>
  <si>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</si>
  <si>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</si>
  <si>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</si>
  <si>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</si>
  <si>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</si>
  <si>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</si>
  <si>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</si>
  <si>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</si>
  <si>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</si>
  <si>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</si>
  <si>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</si>
  <si>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</si>
  <si>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</si>
  <si>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</si>
  <si>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</si>
  <si>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</si>
  <si>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</si>
  <si>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</si>
  <si>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</si>
  <si>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</si>
  <si>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</si>
  <si>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</si>
  <si>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</si>
  <si>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</si>
  <si>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</si>
  <si>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</si>
  <si>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</si>
  <si>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</si>
  <si>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</si>
  <si>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</si>
  <si>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</si>
  <si>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</si>
  <si>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</si>
  <si>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</si>
  <si>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</si>
  <si>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</si>
  <si>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</si>
  <si>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</si>
  <si>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</si>
  <si>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</si>
  <si>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</si>
  <si>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</si>
  <si>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</si>
  <si>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</si>
  <si>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</si>
  <si>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</si>
  <si>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</si>
  <si>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</si>
  <si>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</si>
  <si>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</si>
  <si>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</si>
  <si>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</si>
  <si>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</si>
  <si>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</si>
  <si>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</si>
  <si>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</si>
  <si>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</si>
  <si>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</si>
  <si>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</si>
  <si>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</si>
  <si>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</si>
  <si>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</si>
  <si>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</si>
  <si>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</si>
  <si>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</si>
  <si>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</si>
  <si>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</si>
  <si>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</si>
  <si>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</si>
  <si>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</si>
  <si>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</si>
  <si>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</si>
  <si>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</si>
  <si>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</si>
  <si>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</si>
  <si>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</si>
  <si>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</si>
  <si>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</si>
  <si>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</si>
  <si>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</si>
  <si>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</si>
  <si>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</si>
  <si>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</si>
  <si>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</si>
  <si>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</si>
  <si>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</si>
  <si>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</si>
  <si>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</si>
  <si>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</si>
  <si>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</si>
  <si>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</si>
  <si>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</si>
  <si>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</si>
  <si>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</si>
  <si>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</si>
  <si>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</si>
  <si>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</si>
  <si>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</si>
  <si>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</si>
  <si>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</si>
  <si>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</si>
  <si>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</si>
  <si>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</si>
  <si>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</si>
  <si>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</si>
  <si>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</si>
  <si>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</si>
  <si>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</si>
  <si>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</si>
  <si>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</si>
  <si>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</si>
  <si>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</si>
  <si>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</si>
  <si>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</si>
  <si>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</si>
  <si>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</si>
  <si>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</si>
  <si>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</si>
  <si>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</si>
  <si>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</si>
  <si>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</si>
  <si>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</si>
  <si>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</si>
  <si>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</si>
  <si>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</si>
  <si>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</si>
  <si>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</si>
  <si>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</si>
  <si>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</si>
  <si>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</si>
  <si>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</si>
  <si>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</si>
  <si>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</si>
  <si>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</si>
  <si>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</si>
  <si>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</si>
  <si>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</si>
  <si>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</si>
  <si>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</si>
  <si>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</si>
  <si>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</si>
  <si>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</si>
  <si>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</si>
  <si>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</si>
  <si>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</si>
  <si>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</si>
  <si>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</si>
  <si>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</si>
  <si>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</si>
  <si>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</si>
  <si>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</si>
  <si>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</si>
  <si>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</si>
  <si>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</si>
  <si>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</si>
  <si>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</si>
  <si>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</si>
  <si>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</si>
  <si>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</si>
  <si>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</si>
  <si>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</si>
  <si>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</si>
  <si>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</si>
  <si>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</si>
  <si>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</si>
  <si>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</si>
  <si>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</si>
  <si>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</si>
  <si>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</si>
  <si>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</si>
  <si>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</si>
  <si>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</si>
  <si>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</si>
  <si>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</si>
  <si>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</si>
  <si>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</si>
  <si>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</si>
  <si>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</si>
  <si>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</si>
  <si>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</si>
  <si>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</si>
  <si>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</si>
  <si>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</si>
  <si>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</si>
  <si>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</si>
  <si>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</si>
  <si>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</si>
  <si>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</si>
  <si>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</si>
  <si>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</si>
  <si>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</si>
  <si>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</si>
  <si>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</si>
  <si>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</si>
  <si>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</si>
  <si>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</si>
  <si>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</si>
  <si>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</si>
  <si>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</si>
  <si>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</si>
  <si>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</si>
  <si>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</si>
  <si>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</si>
  <si>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</si>
  <si>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</si>
  <si>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</si>
  <si>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</si>
  <si>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</si>
  <si>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</si>
  <si>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</si>
  <si>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</si>
  <si>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</si>
  <si>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</si>
  <si>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</si>
  <si>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</si>
  <si>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</si>
  <si>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</si>
  <si>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</si>
  <si>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</si>
  <si>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</si>
  <si>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</si>
  <si>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</si>
  <si>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</si>
  <si>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</si>
  <si>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</si>
  <si>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</si>
  <si>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</si>
  <si>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</si>
  <si>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</si>
  <si>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</si>
  <si>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</si>
  <si>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</si>
  <si>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</si>
  <si>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</si>
  <si>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</si>
  <si>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</si>
  <si>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</si>
  <si>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</si>
  <si>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</si>
  <si>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</si>
  <si>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</si>
  <si>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</si>
  <si>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</si>
  <si>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</si>
  <si>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</si>
  <si>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</si>
  <si>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</si>
  <si>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</si>
  <si>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</si>
  <si>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</si>
  <si>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</si>
  <si>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</si>
  <si>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</si>
  <si>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</si>
  <si>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</si>
  <si>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</si>
  <si>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</si>
  <si>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</si>
  <si>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</si>
  <si>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</si>
  <si>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</si>
  <si>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</si>
  <si>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</si>
  <si>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</si>
  <si>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</si>
  <si>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</si>
  <si>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</si>
  <si>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</si>
  <si>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</si>
  <si>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</si>
  <si>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</si>
  <si>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</si>
  <si>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</si>
  <si>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</si>
  <si>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</si>
  <si>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</si>
  <si>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</si>
  <si>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</si>
  <si>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</si>
  <si>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</si>
  <si>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</si>
  <si>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</si>
  <si>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</si>
  <si>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</si>
  <si>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</si>
  <si>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</si>
  <si>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</si>
  <si>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</si>
  <si>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</si>
  <si>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</si>
  <si>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</si>
  <si>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</si>
  <si>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</si>
  <si>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</si>
  <si>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</si>
  <si>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</si>
  <si>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</si>
  <si>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</si>
  <si>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</si>
  <si>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</si>
  <si>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</si>
  <si>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</si>
  <si>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</si>
  <si>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</si>
  <si>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</si>
  <si>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</si>
  <si>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</si>
  <si>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</si>
  <si>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</si>
  <si>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</si>
  <si>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</si>
  <si>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</si>
  <si>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</si>
  <si>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</si>
  <si>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</si>
  <si>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</si>
  <si>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</si>
  <si>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</si>
  <si>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</si>
  <si>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</si>
  <si>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</si>
  <si>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</si>
  <si>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</si>
  <si>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</si>
  <si>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</si>
  <si>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</si>
  <si>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</si>
  <si>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</si>
  <si>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</si>
  <si>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</si>
  <si>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</si>
  <si>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</si>
  <si>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</si>
  <si>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</si>
  <si>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</si>
  <si>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</si>
  <si>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</si>
  <si>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</si>
  <si>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</si>
  <si>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</si>
  <si>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</si>
  <si>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</si>
  <si>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</si>
  <si>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</si>
  <si>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</si>
  <si>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</si>
  <si>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</si>
  <si>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</si>
  <si>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</si>
  <si>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</si>
  <si>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</si>
  <si>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</si>
  <si>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</si>
  <si>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</si>
  <si>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</si>
  <si>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</si>
  <si>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</si>
  <si>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</si>
  <si>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</si>
  <si>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</si>
  <si>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</si>
  <si>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</si>
  <si>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</si>
  <si>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</si>
  <si>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</si>
  <si>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</si>
  <si>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</si>
  <si>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</si>
  <si>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</si>
  <si>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</si>
  <si>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</si>
  <si>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</si>
  <si>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</si>
  <si>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</si>
  <si>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</si>
  <si>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</si>
  <si>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</si>
  <si>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</si>
  <si>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</si>
  <si>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</si>
  <si>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</si>
  <si>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</si>
  <si>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</si>
  <si>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</si>
  <si>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</si>
  <si>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</si>
  <si>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</si>
  <si>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</si>
  <si>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</si>
  <si>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</si>
  <si>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</si>
  <si>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</si>
  <si>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</si>
  <si>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</si>
  <si>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</si>
  <si>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</si>
  <si>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</si>
  <si>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</si>
  <si>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</si>
  <si>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</si>
  <si>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</si>
  <si>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</si>
  <si>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</si>
  <si>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</si>
  <si>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</si>
  <si>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</si>
  <si>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</si>
  <si>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</si>
  <si>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</si>
  <si>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</si>
  <si>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</si>
  <si>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</si>
  <si>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</si>
  <si>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</si>
  <si>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</si>
  <si>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</si>
  <si>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</si>
  <si>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</si>
  <si>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</si>
  <si>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</si>
  <si>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</si>
  <si>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</si>
  <si>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</si>
  <si>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</si>
  <si>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</si>
  <si>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</si>
  <si>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</si>
  <si>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</si>
  <si>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</si>
  <si>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</si>
  <si>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</si>
  <si>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</si>
  <si>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</si>
  <si>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</si>
  <si>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</si>
  <si>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</si>
  <si>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</si>
  <si>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</si>
  <si>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</si>
  <si>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</si>
  <si>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</si>
  <si>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</si>
  <si>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</si>
  <si>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</si>
  <si>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</si>
  <si>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</si>
  <si>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</si>
  <si>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</si>
  <si>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Vernon</t>
  </si>
  <si>
    <t>White sucker</t>
  </si>
  <si>
    <t>Fantail darter</t>
  </si>
  <si>
    <t>Creek chub</t>
  </si>
  <si>
    <t>Johnny darter</t>
  </si>
  <si>
    <t>Common shiner</t>
  </si>
  <si>
    <t>Bluntnose minnow</t>
  </si>
  <si>
    <t>Brown trout</t>
  </si>
  <si>
    <t>Brook trout</t>
  </si>
  <si>
    <t>Slimy sculpin</t>
  </si>
  <si>
    <t>Western blacknose dace</t>
  </si>
  <si>
    <t>Yes</t>
  </si>
  <si>
    <t>Verified</t>
  </si>
  <si>
    <t>West Branch Baraboo River 50 yds above HWY 33 bridge crossing</t>
  </si>
  <si>
    <t>West Branch Baraboo River</t>
  </si>
  <si>
    <t>Jean Unmuth (Victoria Ziegler)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</si>
</sst>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115" zoomScaleNormal="115" workbookViewId="0">
      <selection activeCell="B5" sqref="B5:D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881</v>
      </c>
      <c r="F1" s="2"/>
      <c r="G1" s="2"/>
      <c r="H1" s="2"/>
      <c r="I1" s="2"/>
      <c r="J1" s="2"/>
      <c r="K1" s="2"/>
      <c r="L1" s="2"/>
      <c r="M1" s="2"/>
      <c r="N1" s="2"/>
      <c r="O1" s="2"/>
      <c r="P1" s="2"/>
      <c r="Q1" s="2"/>
    </row>
    <row r="2" spans="1:20" x14ac:dyDescent="0.25">
      <c r="A2" s="12" t="s">
        <v>877</v>
      </c>
      <c r="B2" s="2"/>
      <c r="C2" s="2"/>
      <c r="D2" s="2"/>
      <c r="E2" s="2"/>
      <c r="F2" s="2"/>
      <c r="G2" s="2"/>
      <c r="H2" s="2"/>
      <c r="I2" s="2"/>
      <c r="J2" s="2"/>
      <c r="K2" s="2"/>
      <c r="L2" s="2"/>
      <c r="M2" s="2"/>
      <c r="N2" s="2"/>
      <c r="O2" s="2"/>
      <c r="P2" s="2"/>
      <c r="Q2" s="2"/>
    </row>
    <row r="4" spans="1:20" x14ac:dyDescent="0.25">
      <c r="A4" s="1" t="s">
        <v>38</v>
      </c>
      <c r="B4" s="140" t="s">
        <v>929</v>
      </c>
      <c r="C4" s="141"/>
      <c r="D4" s="142"/>
      <c r="F4" s="2" t="s">
        <v>837</v>
      </c>
    </row>
    <row r="5" spans="1:20" x14ac:dyDescent="0.25">
      <c r="A5" s="1" t="s">
        <v>833</v>
      </c>
      <c r="B5" s="150">
        <v>42765</v>
      </c>
      <c r="C5" s="141"/>
      <c r="D5" s="142"/>
      <c r="F5" s="84"/>
      <c r="G5" s="28"/>
      <c r="H5" s="28"/>
      <c r="I5" s="28"/>
      <c r="J5" s="28"/>
      <c r="K5" s="28"/>
      <c r="L5" s="28"/>
      <c r="M5" s="28"/>
      <c r="N5" s="28"/>
      <c r="O5" s="28"/>
      <c r="P5" s="28"/>
      <c r="Q5" s="28"/>
      <c r="R5" s="28" t="s">
        <v>869</v>
      </c>
    </row>
    <row r="6" spans="1:20" x14ac:dyDescent="0.25">
      <c r="A6" s="1" t="s">
        <v>831</v>
      </c>
      <c r="B6" s="151">
        <v>41101</v>
      </c>
      <c r="C6" s="152"/>
      <c r="D6" s="153"/>
      <c r="F6" s="26"/>
      <c r="G6" s="28"/>
      <c r="H6" s="28"/>
      <c r="I6" s="28"/>
      <c r="J6" s="28"/>
      <c r="K6" s="28"/>
      <c r="L6" s="28"/>
      <c r="M6" s="28"/>
      <c r="N6" s="28"/>
      <c r="O6" s="28"/>
      <c r="P6" s="28"/>
      <c r="Q6" s="28"/>
      <c r="R6" s="28" t="s">
        <v>378</v>
      </c>
    </row>
    <row r="7" spans="1:20" s="28" customFormat="1" x14ac:dyDescent="0.25">
      <c r="A7" s="28" t="s">
        <v>872</v>
      </c>
      <c r="B7" s="154">
        <v>10039097</v>
      </c>
      <c r="C7" s="152"/>
      <c r="D7" s="153"/>
      <c r="F7" s="27"/>
    </row>
    <row r="8" spans="1:20" s="28" customFormat="1" x14ac:dyDescent="0.25">
      <c r="A8" s="28" t="s">
        <v>875</v>
      </c>
      <c r="B8" s="154" t="s">
        <v>927</v>
      </c>
      <c r="C8" s="152"/>
      <c r="D8" s="153"/>
      <c r="F8" s="27"/>
    </row>
    <row r="9" spans="1:20" x14ac:dyDescent="0.25">
      <c r="A9" s="1" t="s">
        <v>49</v>
      </c>
      <c r="B9" s="143" t="s">
        <v>873</v>
      </c>
      <c r="C9" s="143"/>
      <c r="D9" s="143"/>
    </row>
    <row r="10" spans="1:20" x14ac:dyDescent="0.25">
      <c r="B10" s="88"/>
      <c r="C10" s="88"/>
      <c r="D10" s="88"/>
    </row>
    <row r="11" spans="1:20" x14ac:dyDescent="0.25">
      <c r="A11" s="1" t="s">
        <v>34</v>
      </c>
      <c r="B11" s="154" t="s">
        <v>928</v>
      </c>
      <c r="C11" s="152"/>
      <c r="D11" s="153"/>
      <c r="F11" s="27"/>
      <c r="G11" s="27"/>
      <c r="H11" s="27"/>
      <c r="I11" s="27"/>
      <c r="J11" s="27"/>
      <c r="K11" s="27"/>
      <c r="L11" s="27"/>
      <c r="M11" s="27"/>
      <c r="N11" s="27"/>
      <c r="O11" s="27"/>
      <c r="P11" s="27"/>
      <c r="Q11" s="27"/>
      <c r="R11" s="27"/>
    </row>
    <row r="12" spans="1:20" x14ac:dyDescent="0.25">
      <c r="A12" s="1" t="s">
        <v>37</v>
      </c>
      <c r="B12" s="143" t="s">
        <v>914</v>
      </c>
      <c r="C12" s="143"/>
      <c r="D12" s="143"/>
    </row>
    <row r="13" spans="1:20" x14ac:dyDescent="0.25">
      <c r="A13" s="1" t="s">
        <v>35</v>
      </c>
      <c r="B13" s="143">
        <v>888011</v>
      </c>
      <c r="C13" s="143"/>
      <c r="D13" s="143"/>
      <c r="F13" s="27"/>
      <c r="G13" s="27"/>
      <c r="H13" s="27"/>
      <c r="I13" s="27"/>
      <c r="J13" s="27"/>
      <c r="K13" s="27"/>
      <c r="L13" s="27"/>
      <c r="M13" s="27"/>
      <c r="N13" s="27"/>
      <c r="O13" s="27"/>
      <c r="P13" s="27"/>
      <c r="Q13" s="27"/>
      <c r="R13" s="27"/>
    </row>
    <row r="14" spans="1:20" x14ac:dyDescent="0.25">
      <c r="A14" s="1" t="s">
        <v>36</v>
      </c>
      <c r="B14" s="143">
        <v>1288400</v>
      </c>
      <c r="C14" s="143"/>
      <c r="D14" s="143"/>
      <c r="F14" s="27"/>
      <c r="G14" s="27"/>
      <c r="H14" s="27"/>
      <c r="I14" s="27"/>
      <c r="J14" s="27"/>
      <c r="K14" s="27"/>
      <c r="L14" s="27"/>
      <c r="M14" s="27"/>
      <c r="N14" s="27"/>
      <c r="O14" s="27"/>
      <c r="P14" s="27"/>
      <c r="Q14" s="27"/>
      <c r="R14" s="27"/>
    </row>
    <row r="15" spans="1:20" s="28" customFormat="1" x14ac:dyDescent="0.25">
      <c r="A15" s="28" t="s">
        <v>836</v>
      </c>
      <c r="B15" s="155" t="s">
        <v>699</v>
      </c>
      <c r="C15" s="141"/>
      <c r="D15" s="142"/>
      <c r="E15" s="11" t="s">
        <v>871</v>
      </c>
      <c r="F15" s="27"/>
    </row>
    <row r="16" spans="1:20" x14ac:dyDescent="0.25">
      <c r="B16" s="132"/>
      <c r="C16" s="132"/>
      <c r="D16" s="132"/>
      <c r="T16" s="37"/>
    </row>
    <row r="17" spans="1:25" x14ac:dyDescent="0.25">
      <c r="A17" s="1" t="s">
        <v>33</v>
      </c>
      <c r="B17" s="140" t="s">
        <v>21</v>
      </c>
      <c r="C17" s="146"/>
      <c r="D17" s="147"/>
      <c r="E17" s="11" t="s">
        <v>838</v>
      </c>
      <c r="F17" s="24"/>
      <c r="G17" s="24"/>
      <c r="S17" s="11"/>
    </row>
    <row r="18" spans="1:25" x14ac:dyDescent="0.25">
      <c r="G18" s="148" t="s">
        <v>59</v>
      </c>
      <c r="H18" s="149"/>
      <c r="I18" s="149"/>
      <c r="J18" s="149"/>
      <c r="K18" s="149"/>
      <c r="L18" s="149"/>
      <c r="M18" s="149"/>
      <c r="N18" s="149"/>
      <c r="O18" s="149"/>
      <c r="P18" s="149"/>
      <c r="Q18" s="149"/>
    </row>
    <row r="19" spans="1:25" x14ac:dyDescent="0.25">
      <c r="A19" s="2" t="s">
        <v>868</v>
      </c>
      <c r="C19" s="28"/>
      <c r="D19" s="28"/>
      <c r="E19" s="28"/>
      <c r="F19" s="28"/>
      <c r="G19" s="144" t="s">
        <v>377</v>
      </c>
      <c r="H19" s="137" t="s">
        <v>5</v>
      </c>
      <c r="I19" s="138"/>
      <c r="J19" s="139"/>
      <c r="K19" s="137" t="s">
        <v>64</v>
      </c>
      <c r="L19" s="138"/>
      <c r="M19" s="138"/>
      <c r="N19" s="139"/>
      <c r="O19" s="137" t="s">
        <v>1</v>
      </c>
      <c r="P19" s="138"/>
      <c r="Q19" s="139"/>
      <c r="R19" s="28"/>
    </row>
    <row r="20" spans="1:25" ht="45" x14ac:dyDescent="0.25">
      <c r="A20" s="5" t="s">
        <v>50</v>
      </c>
      <c r="B20" s="4" t="s">
        <v>4</v>
      </c>
      <c r="C20" s="5" t="s">
        <v>2</v>
      </c>
      <c r="D20" s="5" t="s">
        <v>3</v>
      </c>
      <c r="E20" s="5" t="s">
        <v>44</v>
      </c>
      <c r="F20" s="30" t="s">
        <v>376</v>
      </c>
      <c r="G20" s="14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915</v>
      </c>
      <c r="B21" s="80">
        <v>150</v>
      </c>
      <c r="C21" s="26" t="str">
        <f>IFERROR(VLOOKUP($A21,'Species guilds'!$A$3:$F$301,3,FALSE),0)</f>
        <v>T</v>
      </c>
      <c r="D21" s="26" t="str">
        <f>IFERROR(VLOOKUP($A21,'Species guilds'!$A$3:$F$301,4,FALSE),0)</f>
        <v>M</v>
      </c>
      <c r="E21" s="26" t="str">
        <f>IFERROR(VLOOKUP($A21,'Species guilds'!$A$3:$F$301,5,FALSE),0)</f>
        <v>T</v>
      </c>
      <c r="F21" s="26">
        <f t="shared" ref="F21:F53" si="0">IF(AND(M21&gt;0,B21&gt;0)=FALSE,B21,0)</f>
        <v>150</v>
      </c>
      <c r="G21" s="26">
        <f>IF(D21="Lake",0,1)</f>
        <v>1</v>
      </c>
      <c r="H21" s="26">
        <f>IF($C21=H$20,$B21*G21,0)</f>
        <v>0</v>
      </c>
      <c r="I21" s="26">
        <f>IF($C21=I$20,$B21*G21,0)</f>
        <v>150</v>
      </c>
      <c r="J21" s="26">
        <f>IF($C21=J$20,$B21*G21,0)</f>
        <v>0</v>
      </c>
      <c r="K21" s="26">
        <f>IF($D21=K$20,$B21*G21,0)</f>
        <v>0</v>
      </c>
      <c r="L21" s="26">
        <f>IF($D21=L$20,$B21*G21,0)</f>
        <v>150</v>
      </c>
      <c r="M21" s="26">
        <f>IF($D21=M$20,$B21,0)</f>
        <v>0</v>
      </c>
      <c r="N21" s="26">
        <f>IF($D21=N$20,$B21*G21,0)</f>
        <v>0</v>
      </c>
      <c r="O21" s="26">
        <f>IF($E21=O$20,$B21*G21,0)</f>
        <v>0</v>
      </c>
      <c r="P21" s="26">
        <f>IF($E21=P$20,$B21*G21,0)</f>
        <v>0</v>
      </c>
      <c r="Q21" s="26">
        <f>IF($E21=Q$20,$B21*G21,0)</f>
        <v>150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916</v>
      </c>
      <c r="B22" s="80">
        <v>36</v>
      </c>
      <c r="C22" s="26" t="str">
        <f>IFERROR(VLOOKUP($A22,'Species guilds'!$A$3:$F$301,3,FALSE),0)</f>
        <v>W</v>
      </c>
      <c r="D22" s="26" t="str">
        <f>IFERROR(VLOOKUP($A22,'Species guilds'!$A$3:$F$301,4,FALSE),0)</f>
        <v>S</v>
      </c>
      <c r="E22" s="26" t="str">
        <f>IFERROR(VLOOKUP($A22,'Species guilds'!$A$3:$F$301,5,FALSE),0)</f>
        <v>IM</v>
      </c>
      <c r="F22" s="26">
        <f t="shared" si="0"/>
        <v>36</v>
      </c>
      <c r="G22" s="26">
        <f t="shared" ref="G22:G53" si="1">IF(D22="Lake",0,1)</f>
        <v>1</v>
      </c>
      <c r="H22" s="26">
        <f t="shared" ref="H22:H53" si="2">IF($C22=H$20,$B22*G22,0)</f>
        <v>0</v>
      </c>
      <c r="I22" s="26">
        <f t="shared" ref="I22:I53" si="3">IF($C22=I$20,$B22*G22,0)</f>
        <v>0</v>
      </c>
      <c r="J22" s="26">
        <f t="shared" ref="J22:J53" si="4">IF($C22=J$20,$B22*G22,0)</f>
        <v>36</v>
      </c>
      <c r="K22" s="26">
        <f t="shared" ref="K22:K53" si="5">IF($D22=K$20,$B22*G22,0)</f>
        <v>36</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36</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917</v>
      </c>
      <c r="B23" s="80">
        <v>11</v>
      </c>
      <c r="C23" s="26" t="str">
        <f>IFERROR(VLOOKUP($A23,'Species guilds'!$A$3:$F$301,3,FALSE),0)</f>
        <v>T</v>
      </c>
      <c r="D23" s="26" t="str">
        <f>IFERROR(VLOOKUP($A23,'Species guilds'!$A$3:$F$301,4,FALSE),0)</f>
        <v>S</v>
      </c>
      <c r="E23" s="26" t="str">
        <f>IFERROR(VLOOKUP($A23,'Species guilds'!$A$3:$F$301,5,FALSE),0)</f>
        <v>T</v>
      </c>
      <c r="F23" s="26">
        <f t="shared" si="0"/>
        <v>11</v>
      </c>
      <c r="G23" s="26">
        <f t="shared" si="1"/>
        <v>1</v>
      </c>
      <c r="H23" s="26">
        <f t="shared" si="2"/>
        <v>0</v>
      </c>
      <c r="I23" s="26">
        <f t="shared" si="3"/>
        <v>11</v>
      </c>
      <c r="J23" s="26">
        <f t="shared" si="4"/>
        <v>0</v>
      </c>
      <c r="K23" s="26">
        <f t="shared" si="5"/>
        <v>11</v>
      </c>
      <c r="L23" s="26">
        <f t="shared" si="6"/>
        <v>0</v>
      </c>
      <c r="M23" s="26">
        <f t="shared" si="7"/>
        <v>0</v>
      </c>
      <c r="N23" s="26">
        <f t="shared" si="8"/>
        <v>0</v>
      </c>
      <c r="O23" s="26">
        <f t="shared" si="9"/>
        <v>0</v>
      </c>
      <c r="P23" s="26">
        <f t="shared" si="10"/>
        <v>0</v>
      </c>
      <c r="Q23" s="26">
        <f t="shared" si="11"/>
        <v>11</v>
      </c>
      <c r="R23" s="81" t="str">
        <f t="shared" si="12"/>
        <v/>
      </c>
      <c r="T23" s="43"/>
      <c r="U23" s="43"/>
      <c r="V23" s="43"/>
      <c r="W23" s="43"/>
      <c r="X23" s="43"/>
      <c r="Y23" s="43"/>
    </row>
    <row r="24" spans="1:25" x14ac:dyDescent="0.25">
      <c r="A24" s="79" t="s">
        <v>918</v>
      </c>
      <c r="B24" s="80">
        <v>2</v>
      </c>
      <c r="C24" s="26" t="str">
        <f>IFERROR(VLOOKUP($A24,'Species guilds'!$A$3:$F$301,3,FALSE),0)</f>
        <v>T</v>
      </c>
      <c r="D24" s="26" t="str">
        <f>IFERROR(VLOOKUP($A24,'Species guilds'!$A$3:$F$301,4,FALSE),0)</f>
        <v>M</v>
      </c>
      <c r="E24" s="26" t="str">
        <f>IFERROR(VLOOKUP($A24,'Species guilds'!$A$3:$F$301,5,FALSE),0)</f>
        <v>IM</v>
      </c>
      <c r="F24" s="26">
        <f t="shared" si="0"/>
        <v>2</v>
      </c>
      <c r="G24" s="26">
        <f t="shared" si="1"/>
        <v>1</v>
      </c>
      <c r="H24" s="26">
        <f t="shared" si="2"/>
        <v>0</v>
      </c>
      <c r="I24" s="26">
        <f t="shared" si="3"/>
        <v>2</v>
      </c>
      <c r="J24" s="26">
        <f t="shared" si="4"/>
        <v>0</v>
      </c>
      <c r="K24" s="26">
        <f t="shared" si="5"/>
        <v>0</v>
      </c>
      <c r="L24" s="26">
        <f t="shared" si="6"/>
        <v>2</v>
      </c>
      <c r="M24" s="26">
        <f t="shared" si="7"/>
        <v>0</v>
      </c>
      <c r="N24" s="26">
        <f t="shared" si="8"/>
        <v>0</v>
      </c>
      <c r="O24" s="26">
        <f t="shared" si="9"/>
        <v>0</v>
      </c>
      <c r="P24" s="26">
        <f t="shared" si="10"/>
        <v>2</v>
      </c>
      <c r="Q24" s="26">
        <f t="shared" si="11"/>
        <v>0</v>
      </c>
      <c r="R24" s="81" t="str">
        <f t="shared" si="12"/>
        <v/>
      </c>
      <c r="T24" s="43"/>
      <c r="U24" s="43"/>
      <c r="V24" s="43"/>
      <c r="W24" s="43"/>
      <c r="X24" s="43"/>
      <c r="Y24" s="43"/>
    </row>
    <row r="25" spans="1:25" x14ac:dyDescent="0.25">
      <c r="A25" s="79" t="s">
        <v>919</v>
      </c>
      <c r="B25" s="80"/>
      <c r="C25" s="26" t="str">
        <f>IFERROR(VLOOKUP($A25,'Species guilds'!$A$3:$F$301,3,FALSE),0)</f>
        <v>W</v>
      </c>
      <c r="D25" s="26" t="str">
        <f>IFERROR(VLOOKUP($A25,'Species guilds'!$A$3:$F$301,4,FALSE),0)</f>
        <v>M</v>
      </c>
      <c r="E25" s="26" t="str">
        <f>IFERROR(VLOOKUP($A25,'Species guilds'!$A$3:$F$301,5,FALSE),0)</f>
        <v>IM</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t="s">
        <v>920</v>
      </c>
      <c r="B26" s="25"/>
      <c r="C26" s="26" t="str">
        <f>IFERROR(VLOOKUP($A26,'Species guilds'!$A$3:$F$301,3,FALSE),0)</f>
        <v>W</v>
      </c>
      <c r="D26" s="26" t="str">
        <f>IFERROR(VLOOKUP($A26,'Species guilds'!$A$3:$F$301,4,FALSE),0)</f>
        <v>M</v>
      </c>
      <c r="E26" s="26" t="str">
        <f>IFERROR(VLOOKUP($A26,'Species guilds'!$A$3:$F$301,5,FALSE),0)</f>
        <v>T</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t="s">
        <v>921</v>
      </c>
      <c r="B27" s="25">
        <v>8</v>
      </c>
      <c r="C27" s="26" t="str">
        <f>IFERROR(VLOOKUP($A27,'Species guilds'!$A$3:$F$301,3,FALSE),0)</f>
        <v>C</v>
      </c>
      <c r="D27" s="26" t="str">
        <f>IFERROR(VLOOKUP($A27,'Species guilds'!$A$3:$F$301,4,FALSE),0)</f>
        <v>M</v>
      </c>
      <c r="E27" s="26" t="str">
        <f>IFERROR(VLOOKUP($A27,'Species guilds'!$A$3:$F$301,5,FALSE),0)</f>
        <v>IM</v>
      </c>
      <c r="F27" s="26">
        <f t="shared" si="0"/>
        <v>8</v>
      </c>
      <c r="G27" s="26">
        <f t="shared" si="1"/>
        <v>1</v>
      </c>
      <c r="H27" s="26">
        <f t="shared" si="2"/>
        <v>8</v>
      </c>
      <c r="I27" s="26">
        <f t="shared" si="3"/>
        <v>0</v>
      </c>
      <c r="J27" s="26">
        <f t="shared" si="4"/>
        <v>0</v>
      </c>
      <c r="K27" s="26">
        <f t="shared" si="5"/>
        <v>0</v>
      </c>
      <c r="L27" s="26">
        <f t="shared" si="6"/>
        <v>8</v>
      </c>
      <c r="M27" s="26">
        <f t="shared" si="7"/>
        <v>0</v>
      </c>
      <c r="N27" s="26">
        <f t="shared" si="8"/>
        <v>0</v>
      </c>
      <c r="O27" s="26">
        <f t="shared" si="9"/>
        <v>0</v>
      </c>
      <c r="P27" s="26">
        <f t="shared" si="10"/>
        <v>8</v>
      </c>
      <c r="Q27" s="26">
        <f t="shared" si="11"/>
        <v>0</v>
      </c>
      <c r="R27" s="81" t="str">
        <f t="shared" si="12"/>
        <v/>
      </c>
      <c r="T27" s="43"/>
      <c r="U27" s="43"/>
      <c r="V27" s="43"/>
      <c r="W27" s="43"/>
      <c r="X27" s="43"/>
      <c r="Y27" s="43"/>
    </row>
    <row r="28" spans="1:25" x14ac:dyDescent="0.25">
      <c r="A28" s="25" t="s">
        <v>922</v>
      </c>
      <c r="B28" s="25">
        <v>21</v>
      </c>
      <c r="C28" s="26" t="str">
        <f>IFERROR(VLOOKUP($A28,'Species guilds'!$A$3:$F$301,3,FALSE),0)</f>
        <v>C</v>
      </c>
      <c r="D28" s="26" t="str">
        <f>IFERROR(VLOOKUP($A28,'Species guilds'!$A$3:$F$301,4,FALSE),0)</f>
        <v>S</v>
      </c>
      <c r="E28" s="26" t="str">
        <f>IFERROR(VLOOKUP($A28,'Species guilds'!$A$3:$F$301,5,FALSE),0)</f>
        <v>IT</v>
      </c>
      <c r="F28" s="26">
        <f t="shared" si="0"/>
        <v>21</v>
      </c>
      <c r="G28" s="26">
        <f t="shared" si="1"/>
        <v>1</v>
      </c>
      <c r="H28" s="26">
        <f t="shared" si="2"/>
        <v>21</v>
      </c>
      <c r="I28" s="26">
        <f t="shared" si="3"/>
        <v>0</v>
      </c>
      <c r="J28" s="26">
        <f t="shared" si="4"/>
        <v>0</v>
      </c>
      <c r="K28" s="26">
        <f t="shared" si="5"/>
        <v>21</v>
      </c>
      <c r="L28" s="26">
        <f t="shared" si="6"/>
        <v>0</v>
      </c>
      <c r="M28" s="26">
        <f t="shared" si="7"/>
        <v>0</v>
      </c>
      <c r="N28" s="26">
        <f t="shared" si="8"/>
        <v>0</v>
      </c>
      <c r="O28" s="26">
        <f t="shared" si="9"/>
        <v>21</v>
      </c>
      <c r="P28" s="26">
        <f t="shared" si="10"/>
        <v>0</v>
      </c>
      <c r="Q28" s="26">
        <f t="shared" si="11"/>
        <v>0</v>
      </c>
      <c r="R28" s="81" t="str">
        <f t="shared" si="12"/>
        <v/>
      </c>
      <c r="T28" s="31"/>
      <c r="U28" s="43"/>
      <c r="V28" s="43"/>
      <c r="W28" s="43"/>
      <c r="X28" s="43"/>
      <c r="Y28" s="43"/>
    </row>
    <row r="29" spans="1:25" x14ac:dyDescent="0.25">
      <c r="A29" s="25" t="s">
        <v>923</v>
      </c>
      <c r="B29" s="25">
        <v>30</v>
      </c>
      <c r="C29" s="26" t="str">
        <f>IFERROR(VLOOKUP($A29,'Species guilds'!$A$3:$F$301,3,FALSE),0)</f>
        <v>C</v>
      </c>
      <c r="D29" s="26" t="str">
        <f>IFERROR(VLOOKUP($A29,'Species guilds'!$A$3:$F$301,4,FALSE),0)</f>
        <v>S</v>
      </c>
      <c r="E29" s="26" t="str">
        <f>IFERROR(VLOOKUP($A29,'Species guilds'!$A$3:$F$301,5,FALSE),0)</f>
        <v>IT</v>
      </c>
      <c r="F29" s="26">
        <f t="shared" si="0"/>
        <v>30</v>
      </c>
      <c r="G29" s="26">
        <f t="shared" si="1"/>
        <v>1</v>
      </c>
      <c r="H29" s="26">
        <f t="shared" si="2"/>
        <v>30</v>
      </c>
      <c r="I29" s="26">
        <f t="shared" si="3"/>
        <v>0</v>
      </c>
      <c r="J29" s="26">
        <f t="shared" si="4"/>
        <v>0</v>
      </c>
      <c r="K29" s="26">
        <f t="shared" si="5"/>
        <v>30</v>
      </c>
      <c r="L29" s="26">
        <f t="shared" si="6"/>
        <v>0</v>
      </c>
      <c r="M29" s="26">
        <f t="shared" si="7"/>
        <v>0</v>
      </c>
      <c r="N29" s="26">
        <f t="shared" si="8"/>
        <v>0</v>
      </c>
      <c r="O29" s="26">
        <f t="shared" si="9"/>
        <v>30</v>
      </c>
      <c r="P29" s="26">
        <f t="shared" si="10"/>
        <v>0</v>
      </c>
      <c r="Q29" s="26">
        <f t="shared" si="11"/>
        <v>0</v>
      </c>
      <c r="R29" s="81" t="str">
        <f t="shared" si="12"/>
        <v/>
      </c>
      <c r="T29" s="45"/>
      <c r="U29" s="45"/>
      <c r="V29" s="45"/>
      <c r="W29" s="45"/>
      <c r="X29" s="45"/>
      <c r="Y29" s="43"/>
    </row>
    <row r="30" spans="1:25" x14ac:dyDescent="0.25">
      <c r="A30" s="25" t="s">
        <v>924</v>
      </c>
      <c r="B30" s="25">
        <v>5</v>
      </c>
      <c r="C30" s="26" t="str">
        <f>IFERROR(VLOOKUP($A30,'Species guilds'!$A$3:$F$301,3,FALSE),0)</f>
        <v>T</v>
      </c>
      <c r="D30" s="26" t="str">
        <f>IFERROR(VLOOKUP($A30,'Species guilds'!$A$3:$F$301,4,FALSE),0)</f>
        <v>S</v>
      </c>
      <c r="E30" s="26" t="str">
        <f>IFERROR(VLOOKUP($A30,'Species guilds'!$A$3:$F$301,5,FALSE),0)</f>
        <v>T</v>
      </c>
      <c r="F30" s="26">
        <f t="shared" si="0"/>
        <v>5</v>
      </c>
      <c r="G30" s="26">
        <f t="shared" si="1"/>
        <v>1</v>
      </c>
      <c r="H30" s="26">
        <f t="shared" si="2"/>
        <v>0</v>
      </c>
      <c r="I30" s="26">
        <f t="shared" si="3"/>
        <v>5</v>
      </c>
      <c r="J30" s="26">
        <f t="shared" si="4"/>
        <v>0</v>
      </c>
      <c r="K30" s="26">
        <f t="shared" si="5"/>
        <v>5</v>
      </c>
      <c r="L30" s="26">
        <f t="shared" si="6"/>
        <v>0</v>
      </c>
      <c r="M30" s="26">
        <f t="shared" si="7"/>
        <v>0</v>
      </c>
      <c r="N30" s="26">
        <f t="shared" si="8"/>
        <v>0</v>
      </c>
      <c r="O30" s="26">
        <f t="shared" si="9"/>
        <v>0</v>
      </c>
      <c r="P30" s="26">
        <f t="shared" si="10"/>
        <v>0</v>
      </c>
      <c r="Q30" s="26">
        <f t="shared" si="11"/>
        <v>5</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263</v>
      </c>
      <c r="F54" s="9">
        <f>SUM(F21:F53)</f>
        <v>263</v>
      </c>
      <c r="G54" s="2"/>
      <c r="H54" s="9">
        <f>SUM(H21:H53)</f>
        <v>59</v>
      </c>
      <c r="I54" s="9">
        <f t="shared" ref="I54:Q54" si="14">SUM(I21:I53)</f>
        <v>168</v>
      </c>
      <c r="J54" s="9">
        <f t="shared" si="14"/>
        <v>36</v>
      </c>
      <c r="K54" s="9">
        <f t="shared" si="14"/>
        <v>103</v>
      </c>
      <c r="L54" s="9">
        <f t="shared" si="14"/>
        <v>160</v>
      </c>
      <c r="M54" s="9">
        <f t="shared" si="14"/>
        <v>0</v>
      </c>
      <c r="N54" s="9">
        <f t="shared" si="14"/>
        <v>0</v>
      </c>
      <c r="O54" s="9">
        <f t="shared" si="14"/>
        <v>51</v>
      </c>
      <c r="P54" s="9">
        <f t="shared" si="14"/>
        <v>46</v>
      </c>
      <c r="Q54" s="9">
        <f t="shared" si="14"/>
        <v>166</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B21" sqref="B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9" t="s">
        <v>379</v>
      </c>
      <c r="B1" s="89"/>
      <c r="C1" s="89"/>
      <c r="D1" s="89"/>
      <c r="E1" s="89" t="s">
        <v>881</v>
      </c>
      <c r="F1" s="89"/>
    </row>
    <row r="2" spans="1:18" x14ac:dyDescent="0.2">
      <c r="A2" s="90" t="s">
        <v>857</v>
      </c>
      <c r="B2" s="89"/>
      <c r="C2" s="89"/>
      <c r="D2" s="89"/>
      <c r="E2" s="89"/>
      <c r="F2" s="89"/>
    </row>
    <row r="3" spans="1:18" x14ac:dyDescent="0.2">
      <c r="A3" s="65"/>
      <c r="B3" s="65"/>
      <c r="C3" s="65"/>
      <c r="D3" s="65"/>
      <c r="E3" s="65"/>
      <c r="F3" s="65"/>
    </row>
    <row r="4" spans="1:18" ht="15" x14ac:dyDescent="0.2">
      <c r="A4" s="65" t="s">
        <v>38</v>
      </c>
      <c r="B4" s="183" t="str">
        <f>'Enter field data'!B4</f>
        <v>Jean Unmuth (Victoria Ziegler)</v>
      </c>
      <c r="C4" s="185"/>
      <c r="D4" s="87"/>
      <c r="E4" s="65"/>
      <c r="F4" s="91" t="s">
        <v>837</v>
      </c>
      <c r="G4" s="85"/>
      <c r="H4" s="85"/>
      <c r="I4" s="85"/>
      <c r="J4" s="85"/>
      <c r="K4" s="85"/>
      <c r="L4" s="85"/>
      <c r="M4" s="85"/>
      <c r="N4" s="85"/>
      <c r="O4" s="85"/>
      <c r="P4" s="85"/>
      <c r="Q4" s="85"/>
      <c r="R4" s="85"/>
    </row>
    <row r="5" spans="1:18" ht="15" x14ac:dyDescent="0.2">
      <c r="A5" s="65" t="s">
        <v>832</v>
      </c>
      <c r="B5" s="186">
        <f>'Enter field data'!B5</f>
        <v>42765</v>
      </c>
      <c r="C5" s="187"/>
      <c r="D5" s="87"/>
      <c r="E5" s="65"/>
      <c r="F5" s="92"/>
      <c r="G5" s="85" t="s">
        <v>878</v>
      </c>
      <c r="H5" s="85"/>
      <c r="I5" s="85"/>
      <c r="J5" s="85"/>
      <c r="K5" s="85"/>
      <c r="L5" s="85"/>
      <c r="M5" s="85"/>
      <c r="N5" s="85"/>
      <c r="O5" s="85"/>
      <c r="P5" s="85"/>
      <c r="Q5" s="85"/>
      <c r="R5" s="85" t="s">
        <v>869</v>
      </c>
    </row>
    <row r="6" spans="1:18" ht="15" x14ac:dyDescent="0.2">
      <c r="A6" s="65" t="s">
        <v>831</v>
      </c>
      <c r="B6" s="186">
        <f>'Enter field data'!B6</f>
        <v>41101</v>
      </c>
      <c r="C6" s="187"/>
      <c r="D6" s="87"/>
      <c r="E6" s="65"/>
      <c r="F6" s="93"/>
      <c r="G6" s="85" t="s">
        <v>879</v>
      </c>
      <c r="H6" s="85"/>
      <c r="I6" s="85"/>
      <c r="J6" s="85"/>
      <c r="K6" s="85"/>
      <c r="L6" s="85"/>
      <c r="M6" s="85"/>
      <c r="N6" s="85"/>
      <c r="O6" s="85"/>
      <c r="P6" s="85"/>
      <c r="Q6" s="85"/>
      <c r="R6" s="85" t="s">
        <v>378</v>
      </c>
    </row>
    <row r="7" spans="1:18" x14ac:dyDescent="0.2">
      <c r="A7" s="65" t="s">
        <v>872</v>
      </c>
      <c r="B7" s="183">
        <f>'Enter field data'!B7</f>
        <v>10039097</v>
      </c>
      <c r="C7" s="184"/>
      <c r="D7" s="87"/>
      <c r="E7" s="65"/>
      <c r="F7" s="65"/>
    </row>
    <row r="8" spans="1:18" x14ac:dyDescent="0.2">
      <c r="A8" s="65" t="s">
        <v>875</v>
      </c>
      <c r="B8" s="183" t="str">
        <f>'Enter field data'!B8</f>
        <v>West Branch Baraboo River 50 yds above HWY 33 bridge crossing</v>
      </c>
      <c r="C8" s="184"/>
      <c r="D8" s="87"/>
      <c r="E8" s="65"/>
      <c r="F8" s="65"/>
    </row>
    <row r="9" spans="1:18" x14ac:dyDescent="0.2">
      <c r="A9" s="65" t="s">
        <v>49</v>
      </c>
      <c r="B9" s="183" t="str">
        <f>'Enter field data'!B9</f>
        <v>Fish survey</v>
      </c>
      <c r="C9" s="184"/>
      <c r="D9" s="87"/>
      <c r="E9" s="65"/>
      <c r="F9" s="65"/>
    </row>
    <row r="10" spans="1:18" x14ac:dyDescent="0.2">
      <c r="A10" s="65"/>
      <c r="B10" s="66"/>
      <c r="C10" s="87"/>
      <c r="D10" s="87"/>
      <c r="E10" s="65"/>
      <c r="F10" s="65"/>
    </row>
    <row r="11" spans="1:18" x14ac:dyDescent="0.2">
      <c r="A11" s="65" t="s">
        <v>34</v>
      </c>
      <c r="B11" s="183" t="str">
        <f>'Enter field data'!B11</f>
        <v>West Branch Baraboo River</v>
      </c>
      <c r="C11" s="184"/>
      <c r="D11" s="87"/>
      <c r="E11" s="65"/>
      <c r="F11" s="94"/>
    </row>
    <row r="12" spans="1:18" x14ac:dyDescent="0.2">
      <c r="A12" s="65" t="s">
        <v>37</v>
      </c>
      <c r="B12" s="183" t="str">
        <f>'Enter field data'!B12</f>
        <v>Vernon</v>
      </c>
      <c r="C12" s="184"/>
      <c r="D12" s="87"/>
      <c r="E12" s="65"/>
      <c r="F12" s="65"/>
    </row>
    <row r="13" spans="1:18" x14ac:dyDescent="0.2">
      <c r="A13" s="65" t="s">
        <v>35</v>
      </c>
      <c r="B13" s="183">
        <f>'Enter field data'!B13</f>
        <v>888011</v>
      </c>
      <c r="C13" s="184"/>
      <c r="D13" s="87"/>
      <c r="E13" s="65"/>
      <c r="F13" s="94"/>
    </row>
    <row r="14" spans="1:18" x14ac:dyDescent="0.2">
      <c r="A14" s="65" t="s">
        <v>36</v>
      </c>
      <c r="B14" s="183">
        <f>'Enter field data'!B14</f>
        <v>1288400</v>
      </c>
      <c r="C14" s="184"/>
      <c r="D14" s="87"/>
      <c r="E14" s="65"/>
      <c r="F14" s="94"/>
    </row>
    <row r="15" spans="1:18" ht="15" x14ac:dyDescent="0.2">
      <c r="A15" s="65" t="s">
        <v>866</v>
      </c>
      <c r="B15" s="172" t="str">
        <f>'Enter field data'!B15</f>
        <v>0707000401</v>
      </c>
      <c r="C15" s="173"/>
      <c r="D15" s="86"/>
      <c r="E15" s="65"/>
      <c r="F15" s="94"/>
    </row>
    <row r="16" spans="1:18" x14ac:dyDescent="0.2">
      <c r="A16" s="65"/>
      <c r="B16" s="65"/>
      <c r="C16" s="65"/>
      <c r="D16" s="65"/>
      <c r="E16" s="65"/>
      <c r="F16" s="65"/>
    </row>
    <row r="17" spans="1:6" ht="15" x14ac:dyDescent="0.2">
      <c r="A17" s="65" t="s">
        <v>33</v>
      </c>
      <c r="B17" s="65"/>
      <c r="C17" s="87"/>
      <c r="D17" s="182" t="str">
        <f>'Enter field data'!B17</f>
        <v>Cool-Cold Headwater</v>
      </c>
      <c r="E17" s="149"/>
      <c r="F17" s="68"/>
    </row>
    <row r="18" spans="1:6" x14ac:dyDescent="0.2">
      <c r="A18" s="65"/>
      <c r="B18" s="65"/>
      <c r="C18" s="68"/>
      <c r="D18" s="68"/>
      <c r="E18" s="68"/>
      <c r="F18" s="68"/>
    </row>
    <row r="19" spans="1:6" x14ac:dyDescent="0.2">
      <c r="A19" s="69" t="s">
        <v>850</v>
      </c>
      <c r="B19" s="65"/>
      <c r="C19" s="68"/>
      <c r="D19" s="68"/>
      <c r="E19" s="68"/>
      <c r="F19" s="68"/>
    </row>
    <row r="20" spans="1:6" x14ac:dyDescent="0.2">
      <c r="A20" s="178" t="s">
        <v>851</v>
      </c>
      <c r="B20" s="178"/>
      <c r="C20" s="179"/>
      <c r="D20" s="180" t="s">
        <v>926</v>
      </c>
      <c r="E20" s="181"/>
      <c r="F20" s="95"/>
    </row>
    <row r="21" spans="1:6" x14ac:dyDescent="0.2">
      <c r="A21" s="65" t="s">
        <v>852</v>
      </c>
      <c r="B21" s="65"/>
      <c r="C21" s="67"/>
      <c r="D21" s="160"/>
      <c r="E21" s="161"/>
      <c r="F21" s="95"/>
    </row>
    <row r="22" spans="1:6" x14ac:dyDescent="0.2">
      <c r="A22" s="65"/>
      <c r="B22" s="65"/>
      <c r="C22" s="68"/>
      <c r="D22" s="68"/>
      <c r="E22" s="68"/>
      <c r="F22" s="95"/>
    </row>
    <row r="23" spans="1:6" x14ac:dyDescent="0.2">
      <c r="A23" s="70" t="s">
        <v>856</v>
      </c>
      <c r="B23" s="96"/>
      <c r="C23" s="96"/>
      <c r="D23" s="96"/>
      <c r="E23" s="97"/>
      <c r="F23" s="95"/>
    </row>
    <row r="24" spans="1:6" x14ac:dyDescent="0.2">
      <c r="A24" s="98" t="s">
        <v>863</v>
      </c>
      <c r="B24" s="99"/>
      <c r="C24" s="99"/>
      <c r="D24" s="171"/>
      <c r="E24" s="171"/>
      <c r="F24" s="95"/>
    </row>
    <row r="25" spans="1:6" x14ac:dyDescent="0.2">
      <c r="A25" s="98" t="s">
        <v>855</v>
      </c>
      <c r="B25" s="99"/>
      <c r="C25" s="99"/>
      <c r="D25" s="171"/>
      <c r="E25" s="171"/>
      <c r="F25" s="95"/>
    </row>
    <row r="26" spans="1:6" x14ac:dyDescent="0.2">
      <c r="A26" s="100" t="s">
        <v>864</v>
      </c>
      <c r="B26" s="101"/>
      <c r="C26" s="101"/>
      <c r="D26" s="171"/>
      <c r="E26" s="171"/>
      <c r="F26" s="95"/>
    </row>
    <row r="28" spans="1:6" x14ac:dyDescent="0.2">
      <c r="A28" s="102" t="s">
        <v>390</v>
      </c>
    </row>
    <row r="29" spans="1:6" x14ac:dyDescent="0.2">
      <c r="A29" s="103" t="s">
        <v>391</v>
      </c>
    </row>
    <row r="31" spans="1:6" x14ac:dyDescent="0.2">
      <c r="A31" s="104" t="s">
        <v>60</v>
      </c>
      <c r="B31" s="65"/>
      <c r="C31" s="65"/>
      <c r="D31" s="65"/>
      <c r="E31" s="65"/>
      <c r="F31" s="65"/>
    </row>
    <row r="32" spans="1:6" x14ac:dyDescent="0.2">
      <c r="A32" s="82" t="s">
        <v>5</v>
      </c>
      <c r="B32" s="105"/>
      <c r="C32" s="106" t="s">
        <v>0</v>
      </c>
      <c r="D32" s="107"/>
      <c r="E32" s="108" t="s">
        <v>1</v>
      </c>
      <c r="F32" s="109"/>
    </row>
    <row r="33" spans="1:6" x14ac:dyDescent="0.2">
      <c r="A33" s="110" t="s">
        <v>6</v>
      </c>
      <c r="B33" s="83">
        <f>'Enter field data'!H54</f>
        <v>59</v>
      </c>
      <c r="C33" s="111" t="s">
        <v>9</v>
      </c>
      <c r="D33" s="112">
        <f>'Enter field data'!$K$54</f>
        <v>103</v>
      </c>
      <c r="E33" s="113" t="s">
        <v>12</v>
      </c>
      <c r="F33" s="114">
        <f>'Enter field data'!$O$54</f>
        <v>51</v>
      </c>
    </row>
    <row r="34" spans="1:6" x14ac:dyDescent="0.2">
      <c r="A34" s="110" t="s">
        <v>7</v>
      </c>
      <c r="B34" s="83">
        <f>'Enter field data'!$I$54</f>
        <v>168</v>
      </c>
      <c r="C34" s="111" t="s">
        <v>10</v>
      </c>
      <c r="D34" s="112">
        <f>'Enter field data'!$L$54</f>
        <v>160</v>
      </c>
      <c r="E34" s="113" t="s">
        <v>13</v>
      </c>
      <c r="F34" s="114">
        <f>'Enter field data'!$P$54</f>
        <v>46</v>
      </c>
    </row>
    <row r="35" spans="1:6" x14ac:dyDescent="0.2">
      <c r="A35" s="110" t="s">
        <v>8</v>
      </c>
      <c r="B35" s="83">
        <f>'Enter field data'!$J$54</f>
        <v>36</v>
      </c>
      <c r="C35" s="111" t="s">
        <v>11</v>
      </c>
      <c r="D35" s="112">
        <f>'Enter field data'!$N$54</f>
        <v>0</v>
      </c>
      <c r="E35" s="113" t="s">
        <v>14</v>
      </c>
      <c r="F35" s="114">
        <f>'Enter field data'!$Q$54</f>
        <v>166</v>
      </c>
    </row>
    <row r="36" spans="1:6" x14ac:dyDescent="0.2">
      <c r="A36" s="65"/>
      <c r="B36" s="65"/>
      <c r="C36" s="65"/>
      <c r="D36" s="65"/>
      <c r="E36" s="65"/>
      <c r="F36" s="65"/>
    </row>
    <row r="37" spans="1:6" x14ac:dyDescent="0.2">
      <c r="A37" s="89" t="s">
        <v>67</v>
      </c>
      <c r="B37" s="65"/>
      <c r="C37" s="65"/>
      <c r="D37" s="65"/>
      <c r="E37" s="65"/>
      <c r="F37" s="65"/>
    </row>
    <row r="38" spans="1:6" x14ac:dyDescent="0.2">
      <c r="A38" s="162" t="s">
        <v>5</v>
      </c>
      <c r="B38" s="163"/>
      <c r="C38" s="163"/>
      <c r="D38" s="163"/>
      <c r="E38" s="164"/>
      <c r="F38" s="65"/>
    </row>
    <row r="39" spans="1:6" x14ac:dyDescent="0.2">
      <c r="A39" s="115" t="s">
        <v>55</v>
      </c>
      <c r="B39" s="165" t="s">
        <v>65</v>
      </c>
      <c r="C39" s="167" t="s">
        <v>66</v>
      </c>
      <c r="D39" s="168"/>
      <c r="E39" s="169" t="s">
        <v>56</v>
      </c>
      <c r="F39" s="65"/>
    </row>
    <row r="40" spans="1:6" x14ac:dyDescent="0.2">
      <c r="A40" s="116"/>
      <c r="B40" s="166"/>
      <c r="C40" s="117" t="s">
        <v>62</v>
      </c>
      <c r="D40" s="118" t="s">
        <v>63</v>
      </c>
      <c r="E40" s="170"/>
      <c r="F40" s="65"/>
    </row>
    <row r="41" spans="1:6" x14ac:dyDescent="0.2">
      <c r="A41" s="110" t="s">
        <v>6</v>
      </c>
      <c r="B41" s="119">
        <f>($B$33/'Enter field data'!$F$54)</f>
        <v>0.22433460076045628</v>
      </c>
      <c r="C41" s="120">
        <f>VLOOKUP($D$17,'Expected guild %'!$A$5:$G$13,2,FALSE)</f>
        <v>0.05</v>
      </c>
      <c r="D41" s="120">
        <f>VLOOKUP($D$17,'Expected guild %'!$A$5:$G$13,3,FALSE)</f>
        <v>0.75</v>
      </c>
      <c r="E41" s="121" t="str">
        <f>IF(AND(C41&lt;=B41,B41&lt;= D41)=TRUE,"Y","N")</f>
        <v>Y</v>
      </c>
      <c r="F41" s="65"/>
    </row>
    <row r="42" spans="1:6" x14ac:dyDescent="0.2">
      <c r="A42" s="110" t="s">
        <v>7</v>
      </c>
      <c r="B42" s="119">
        <f>($B$34/'Enter field data'!$F$54)</f>
        <v>0.63878326996197721</v>
      </c>
      <c r="C42" s="120">
        <f>VLOOKUP($D$17,'Expected guild %'!$A$5:$G$13,4,FALSE)</f>
        <v>0.25</v>
      </c>
      <c r="D42" s="120">
        <f>VLOOKUP($D$17,'Expected guild %'!$A$5:$G$13,5,FALSE)</f>
        <v>1</v>
      </c>
      <c r="E42" s="121" t="str">
        <f>IF(AND(C42&lt;=B42,B42&lt;= D42)=TRUE,"Y","N")</f>
        <v>Y</v>
      </c>
      <c r="F42" s="65"/>
    </row>
    <row r="43" spans="1:6" x14ac:dyDescent="0.2">
      <c r="A43" s="110" t="s">
        <v>8</v>
      </c>
      <c r="B43" s="119">
        <f>($B$35/'Enter field data'!$F$54)</f>
        <v>0.13688212927756654</v>
      </c>
      <c r="C43" s="120">
        <f>VLOOKUP($D$17,'Expected guild %'!$A$5:$G$13,6,FALSE)</f>
        <v>0</v>
      </c>
      <c r="D43" s="120">
        <f>VLOOKUP($D$17,'Expected guild %'!$A$5:$G$13,7,FALSE)</f>
        <v>0.25</v>
      </c>
      <c r="E43" s="121" t="str">
        <f>IF(AND(C43&lt;=B43,B43&lt;= D43)=TRUE,"Y","N")</f>
        <v>Y</v>
      </c>
      <c r="F43" s="65"/>
    </row>
    <row r="44" spans="1:6" x14ac:dyDescent="0.2">
      <c r="A44" s="65"/>
      <c r="B44" s="65"/>
      <c r="C44" s="65"/>
      <c r="D44" s="65"/>
      <c r="E44" s="65"/>
      <c r="F44" s="65"/>
    </row>
    <row r="45" spans="1:6" x14ac:dyDescent="0.2">
      <c r="A45" s="162" t="s">
        <v>0</v>
      </c>
      <c r="B45" s="163"/>
      <c r="C45" s="163"/>
      <c r="D45" s="163"/>
      <c r="E45" s="164"/>
      <c r="F45" s="65"/>
    </row>
    <row r="46" spans="1:6" x14ac:dyDescent="0.2">
      <c r="A46" s="165" t="s">
        <v>55</v>
      </c>
      <c r="B46" s="165" t="s">
        <v>65</v>
      </c>
      <c r="C46" s="167" t="s">
        <v>66</v>
      </c>
      <c r="D46" s="168"/>
      <c r="E46" s="169" t="s">
        <v>56</v>
      </c>
      <c r="F46" s="65"/>
    </row>
    <row r="47" spans="1:6" x14ac:dyDescent="0.2">
      <c r="A47" s="166"/>
      <c r="B47" s="166"/>
      <c r="C47" s="117" t="s">
        <v>62</v>
      </c>
      <c r="D47" s="118" t="s">
        <v>63</v>
      </c>
      <c r="E47" s="170"/>
      <c r="F47" s="65"/>
    </row>
    <row r="48" spans="1:6" x14ac:dyDescent="0.2">
      <c r="A48" s="110" t="s">
        <v>9</v>
      </c>
      <c r="B48" s="120">
        <f>($D$33/'Enter field data'!$F$54)</f>
        <v>0.39163498098859317</v>
      </c>
      <c r="C48" s="122">
        <f>VLOOKUP($D$17,'Expected guild %'!$A$19:$G$27,2,FALSE)</f>
        <v>0.5</v>
      </c>
      <c r="D48" s="120">
        <f>VLOOKUP($D$17,'Expected guild %'!$A$19:$G$27,3,FALSE)</f>
        <v>1</v>
      </c>
      <c r="E48" s="121" t="str">
        <f>IF(AND(C48&lt;=B48,B48&lt;= D48)=TRUE,"Y","N")</f>
        <v>N</v>
      </c>
      <c r="F48" s="65"/>
    </row>
    <row r="49" spans="1:7" x14ac:dyDescent="0.2">
      <c r="A49" s="110" t="s">
        <v>10</v>
      </c>
      <c r="B49" s="120">
        <f>($D$34/'Enter field data'!$F$54)</f>
        <v>0.60836501901140683</v>
      </c>
      <c r="C49" s="122">
        <f>VLOOKUP($D$17,'Expected guild %'!$A$19:$G$27,4,FALSE)</f>
        <v>0</v>
      </c>
      <c r="D49" s="120">
        <f>VLOOKUP($D$17,'Expected guild %'!$A$19:$G$27,5,FALSE)</f>
        <v>0.5</v>
      </c>
      <c r="E49" s="121" t="str">
        <f>IF(AND(C49&lt;=B49,B49&lt;= D49)=TRUE,"Y","N")</f>
        <v>N</v>
      </c>
      <c r="F49" s="65"/>
    </row>
    <row r="50" spans="1:7" x14ac:dyDescent="0.2">
      <c r="A50" s="110" t="s">
        <v>11</v>
      </c>
      <c r="B50" s="120">
        <f>($D$35/'Enter field data'!$F$54)</f>
        <v>0</v>
      </c>
      <c r="C50" s="122">
        <f>VLOOKUP($D$17,'Expected guild %'!$A$19:$G$27,6,FALSE)</f>
        <v>0</v>
      </c>
      <c r="D50" s="120">
        <f>VLOOKUP($D$17,'Expected guild %'!$A$19:$G$27,7,FALSE)</f>
        <v>0.1</v>
      </c>
      <c r="E50" s="121" t="str">
        <f>IF(AND(C50&lt;=B50,B50&lt;= D50)=TRUE,"Y","N")</f>
        <v>Y</v>
      </c>
      <c r="F50" s="65"/>
    </row>
    <row r="51" spans="1:7" x14ac:dyDescent="0.2">
      <c r="A51" s="65"/>
      <c r="B51" s="65"/>
      <c r="C51" s="65"/>
      <c r="D51" s="65"/>
      <c r="E51" s="65"/>
      <c r="F51" s="65"/>
    </row>
    <row r="52" spans="1:7" x14ac:dyDescent="0.2">
      <c r="A52" s="95" t="s">
        <v>392</v>
      </c>
      <c r="B52" s="65"/>
      <c r="C52" s="65"/>
      <c r="D52" s="65"/>
      <c r="E52" s="65"/>
      <c r="F52" s="65"/>
    </row>
    <row r="53" spans="1:7" x14ac:dyDescent="0.2">
      <c r="A53" s="95" t="s">
        <v>382</v>
      </c>
      <c r="B53" s="123"/>
      <c r="C53" s="123"/>
      <c r="D53" s="123"/>
      <c r="E53" s="123"/>
      <c r="F53" s="65"/>
    </row>
    <row r="54" spans="1:7" ht="15" x14ac:dyDescent="0.25">
      <c r="A54" s="156" t="s">
        <v>925</v>
      </c>
      <c r="B54" s="157"/>
      <c r="C54" s="157"/>
      <c r="D54" s="157"/>
      <c r="E54" s="157"/>
      <c r="F54" s="158"/>
      <c r="G54" s="159"/>
    </row>
    <row r="55" spans="1:7" x14ac:dyDescent="0.2">
      <c r="A55" s="124" t="s">
        <v>860</v>
      </c>
      <c r="B55" s="125"/>
      <c r="C55" s="125"/>
      <c r="D55" s="125"/>
      <c r="E55" s="125"/>
      <c r="F55" s="65"/>
    </row>
    <row r="56" spans="1:7" s="127" customFormat="1" x14ac:dyDescent="0.2">
      <c r="A56" s="124" t="s">
        <v>861</v>
      </c>
      <c r="B56" s="126"/>
      <c r="C56" s="126"/>
      <c r="D56" s="126"/>
      <c r="E56" s="126"/>
      <c r="F56" s="65"/>
    </row>
    <row r="57" spans="1:7" s="127" customFormat="1" x14ac:dyDescent="0.2">
      <c r="A57" s="124" t="s">
        <v>862</v>
      </c>
      <c r="B57" s="126"/>
      <c r="C57" s="126"/>
      <c r="D57" s="126"/>
      <c r="E57" s="126"/>
      <c r="F57" s="65"/>
    </row>
    <row r="58" spans="1:7" s="127" customFormat="1" x14ac:dyDescent="0.2">
      <c r="A58" s="65"/>
      <c r="B58" s="65"/>
      <c r="C58" s="65"/>
      <c r="D58" s="65"/>
      <c r="E58" s="65"/>
      <c r="F58" s="65"/>
    </row>
    <row r="59" spans="1:7" x14ac:dyDescent="0.2">
      <c r="A59" s="89" t="s">
        <v>834</v>
      </c>
      <c r="B59" s="65"/>
      <c r="C59" s="65"/>
      <c r="D59" s="65"/>
      <c r="E59" s="65"/>
      <c r="F59" s="65"/>
    </row>
    <row r="60" spans="1:7" x14ac:dyDescent="0.2">
      <c r="A60" s="95" t="s">
        <v>383</v>
      </c>
      <c r="B60" s="65"/>
      <c r="C60" s="65"/>
      <c r="D60" s="65"/>
      <c r="E60" s="65"/>
      <c r="F60" s="65"/>
    </row>
    <row r="61" spans="1:7" x14ac:dyDescent="0.2">
      <c r="A61" s="95" t="s">
        <v>384</v>
      </c>
      <c r="B61" s="65"/>
      <c r="C61" s="65"/>
      <c r="D61" s="65"/>
      <c r="E61" s="65"/>
      <c r="F61" s="65"/>
    </row>
    <row r="62" spans="1:7" x14ac:dyDescent="0.2">
      <c r="A62" s="95" t="s">
        <v>385</v>
      </c>
      <c r="B62" s="65"/>
      <c r="C62" s="65"/>
      <c r="D62" s="65"/>
      <c r="E62" s="65"/>
      <c r="F62" s="65"/>
    </row>
    <row r="63" spans="1:7" x14ac:dyDescent="0.2">
      <c r="A63" s="128" t="s">
        <v>858</v>
      </c>
      <c r="B63" s="65"/>
      <c r="C63" s="65"/>
      <c r="D63" s="65"/>
      <c r="E63" s="65"/>
      <c r="F63" s="65"/>
    </row>
    <row r="64" spans="1:7" x14ac:dyDescent="0.2">
      <c r="A64" s="95" t="s">
        <v>387</v>
      </c>
      <c r="B64" s="65"/>
      <c r="C64" s="65"/>
      <c r="D64" s="65"/>
      <c r="E64" s="65"/>
      <c r="F64" s="65"/>
    </row>
    <row r="65" spans="1:7" x14ac:dyDescent="0.2">
      <c r="A65" s="128" t="s">
        <v>859</v>
      </c>
      <c r="B65" s="65"/>
      <c r="C65" s="65"/>
      <c r="D65" s="65"/>
      <c r="E65" s="65"/>
      <c r="F65" s="65"/>
    </row>
    <row r="66" spans="1:7" x14ac:dyDescent="0.2">
      <c r="A66" s="95" t="s">
        <v>388</v>
      </c>
      <c r="B66" s="65"/>
      <c r="C66" s="65"/>
      <c r="D66" s="65"/>
      <c r="E66" s="65"/>
      <c r="F66" s="65"/>
    </row>
    <row r="67" spans="1:7" x14ac:dyDescent="0.2">
      <c r="A67" s="95"/>
      <c r="B67" s="65"/>
      <c r="C67" s="65"/>
      <c r="D67" s="65"/>
      <c r="E67" s="65"/>
      <c r="F67" s="65"/>
    </row>
    <row r="68" spans="1:7" x14ac:dyDescent="0.2">
      <c r="A68" s="162" t="s">
        <v>1</v>
      </c>
      <c r="B68" s="163"/>
      <c r="C68" s="163"/>
      <c r="D68" s="163"/>
      <c r="E68" s="164"/>
      <c r="F68" s="65"/>
    </row>
    <row r="69" spans="1:7" x14ac:dyDescent="0.2">
      <c r="A69" s="165" t="s">
        <v>55</v>
      </c>
      <c r="B69" s="165" t="s">
        <v>65</v>
      </c>
      <c r="C69" s="167" t="s">
        <v>66</v>
      </c>
      <c r="D69" s="168"/>
      <c r="E69" s="169" t="s">
        <v>56</v>
      </c>
      <c r="F69" s="65"/>
    </row>
    <row r="70" spans="1:7" x14ac:dyDescent="0.2">
      <c r="A70" s="166"/>
      <c r="B70" s="166"/>
      <c r="C70" s="117" t="s">
        <v>62</v>
      </c>
      <c r="D70" s="118" t="s">
        <v>63</v>
      </c>
      <c r="E70" s="170"/>
      <c r="F70" s="65"/>
    </row>
    <row r="71" spans="1:7" x14ac:dyDescent="0.2">
      <c r="A71" s="110" t="s">
        <v>12</v>
      </c>
      <c r="B71" s="119">
        <f>($F$33/'Enter field data'!$F$54)</f>
        <v>0.19391634980988592</v>
      </c>
      <c r="C71" s="129" t="str">
        <f>VLOOKUP($D$17,'Expected guild %'!$A$33:$G$41,2,FALSE)</f>
        <v>PRESENT</v>
      </c>
      <c r="D71" s="120">
        <f>VLOOKUP($D$17,'Expected guild %'!$A$33:$G$41,3,FALSE)</f>
        <v>1</v>
      </c>
      <c r="E71" s="121" t="str">
        <f>IF(AND(B71&gt;0,B71&lt;= D71)=TRUE,"Y","N")</f>
        <v>Y</v>
      </c>
      <c r="F71" s="65"/>
    </row>
    <row r="72" spans="1:7" x14ac:dyDescent="0.2">
      <c r="A72" s="110" t="s">
        <v>386</v>
      </c>
      <c r="B72" s="119">
        <f>($F$34/'Enter field data'!$F$54)</f>
        <v>0.17490494296577946</v>
      </c>
      <c r="C72" s="129">
        <f>VLOOKUP($D$17,'Expected guild %'!$A$33:$G$41,4,FALSE)</f>
        <v>0</v>
      </c>
      <c r="D72" s="120">
        <f>VLOOKUP($D$17,'Expected guild %'!$A$33:$G$41,5,FALSE)</f>
        <v>1</v>
      </c>
      <c r="E72" s="121" t="str">
        <f>IF(AND(C72&lt;=B72,B72&lt;= D72)=TRUE,"Y","N")</f>
        <v>Y</v>
      </c>
    </row>
    <row r="73" spans="1:7" x14ac:dyDescent="0.2">
      <c r="A73" s="110" t="s">
        <v>14</v>
      </c>
      <c r="B73" s="119">
        <f>($F$35/'Enter field data'!$F$54)</f>
        <v>0.63117870722433456</v>
      </c>
      <c r="C73" s="129">
        <f>VLOOKUP($D$17,'Expected guild %'!$A$33:$G$41,6,FALSE)</f>
        <v>0</v>
      </c>
      <c r="D73" s="120">
        <f>VLOOKUP($D$17,'Expected guild %'!$A$33:$G$41,7,FALSE)</f>
        <v>0.75</v>
      </c>
      <c r="E73" s="121"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5" t="s">
        <v>847</v>
      </c>
      <c r="B76" s="65"/>
      <c r="C76" s="65"/>
      <c r="D76" s="65"/>
      <c r="E76" s="65"/>
      <c r="F76" s="65"/>
    </row>
    <row r="77" spans="1:7" x14ac:dyDescent="0.2">
      <c r="A77" s="95" t="s">
        <v>848</v>
      </c>
      <c r="B77" s="65"/>
      <c r="C77" s="65"/>
      <c r="D77" s="65"/>
      <c r="E77" s="65"/>
      <c r="F77" s="65"/>
    </row>
    <row r="78" spans="1:7" x14ac:dyDescent="0.2">
      <c r="A78" s="95" t="s">
        <v>382</v>
      </c>
      <c r="B78" s="123"/>
      <c r="C78" s="123"/>
      <c r="D78" s="123"/>
      <c r="E78" s="123"/>
      <c r="F78" s="65"/>
    </row>
    <row r="79" spans="1:7" ht="15" x14ac:dyDescent="0.25">
      <c r="A79" s="156"/>
      <c r="B79" s="158"/>
      <c r="C79" s="158"/>
      <c r="D79" s="158"/>
      <c r="E79" s="158"/>
      <c r="F79" s="158"/>
      <c r="G79" s="159"/>
    </row>
    <row r="81" spans="1:4" x14ac:dyDescent="0.2">
      <c r="A81" s="130" t="s">
        <v>835</v>
      </c>
    </row>
    <row r="82" spans="1:4" x14ac:dyDescent="0.2">
      <c r="A82" s="103" t="s">
        <v>843</v>
      </c>
    </row>
    <row r="83" spans="1:4" x14ac:dyDescent="0.2">
      <c r="A83" s="103" t="s">
        <v>844</v>
      </c>
    </row>
    <row r="85" spans="1:4" x14ac:dyDescent="0.2">
      <c r="A85" s="177" t="s">
        <v>817</v>
      </c>
      <c r="B85" s="71" t="s">
        <v>818</v>
      </c>
      <c r="C85" s="72"/>
      <c r="D85" s="73" t="e">
        <f>'Weather Results'!C17</f>
        <v>#DIV/0!</v>
      </c>
    </row>
    <row r="86" spans="1:4" x14ac:dyDescent="0.2">
      <c r="A86" s="177"/>
      <c r="B86" s="71" t="s">
        <v>819</v>
      </c>
      <c r="C86" s="72"/>
      <c r="D86" s="73">
        <f>'Weather Results'!C18</f>
        <v>18.603800999999997</v>
      </c>
    </row>
    <row r="87" spans="1:4" x14ac:dyDescent="0.2">
      <c r="A87" s="177"/>
      <c r="B87" s="71" t="s">
        <v>820</v>
      </c>
      <c r="C87" s="72"/>
      <c r="D87" s="73">
        <f>'Weather Results'!C19</f>
        <v>21.759890666666667</v>
      </c>
    </row>
    <row r="88" spans="1:4" x14ac:dyDescent="0.2">
      <c r="A88" s="177"/>
      <c r="B88" s="74" t="s">
        <v>821</v>
      </c>
      <c r="C88" s="72"/>
      <c r="D88" s="75" t="e">
        <f>'Weather Results'!C20</f>
        <v>#DIV/0!</v>
      </c>
    </row>
    <row r="90" spans="1:4" x14ac:dyDescent="0.2">
      <c r="A90" s="176" t="s">
        <v>822</v>
      </c>
      <c r="B90" s="71" t="s">
        <v>823</v>
      </c>
      <c r="C90" s="72"/>
      <c r="D90" s="73" t="e">
        <f>'Weather Results'!C22</f>
        <v>#DIV/0!</v>
      </c>
    </row>
    <row r="91" spans="1:4" x14ac:dyDescent="0.2">
      <c r="A91" s="176"/>
      <c r="B91" s="71" t="s">
        <v>824</v>
      </c>
      <c r="C91" s="72"/>
      <c r="D91" s="73" t="e">
        <f>'Weather Results'!C23</f>
        <v>#DIV/0!</v>
      </c>
    </row>
    <row r="92" spans="1:4" x14ac:dyDescent="0.2">
      <c r="A92" s="176"/>
      <c r="B92" s="71" t="s">
        <v>825</v>
      </c>
      <c r="C92" s="72"/>
      <c r="D92" s="73" t="e">
        <f>'Weather Results'!C24</f>
        <v>#DIV/0!</v>
      </c>
    </row>
    <row r="93" spans="1:4" x14ac:dyDescent="0.2">
      <c r="A93" s="176"/>
      <c r="B93" s="71" t="s">
        <v>826</v>
      </c>
      <c r="C93" s="72"/>
      <c r="D93" s="73" t="e">
        <f>'Weather Results'!C25</f>
        <v>#DIV/0!</v>
      </c>
    </row>
    <row r="94" spans="1:4" x14ac:dyDescent="0.2">
      <c r="A94" s="176"/>
      <c r="B94" s="71" t="s">
        <v>827</v>
      </c>
      <c r="C94" s="72"/>
      <c r="D94" s="73" t="e">
        <f>'Weather Results'!C26</f>
        <v>#DIV/0!</v>
      </c>
    </row>
    <row r="95" spans="1:4" x14ac:dyDescent="0.2">
      <c r="A95" s="176"/>
      <c r="B95" s="71" t="s">
        <v>828</v>
      </c>
      <c r="C95" s="72"/>
      <c r="D95" s="73">
        <f>'Weather Results'!C27</f>
        <v>2.1022076666666667</v>
      </c>
    </row>
    <row r="96" spans="1:4" x14ac:dyDescent="0.2">
      <c r="A96" s="176"/>
      <c r="B96" s="71" t="s">
        <v>829</v>
      </c>
      <c r="C96" s="72"/>
      <c r="D96" s="73">
        <f>'Weather Results'!C28</f>
        <v>4.5875977333333333</v>
      </c>
    </row>
    <row r="97" spans="1:7" x14ac:dyDescent="0.2">
      <c r="A97" s="176"/>
      <c r="B97" s="74" t="s">
        <v>830</v>
      </c>
      <c r="C97" s="77"/>
      <c r="D97" s="75" t="e">
        <f>'Weather Results'!C29</f>
        <v>#DIV/0!</v>
      </c>
    </row>
    <row r="99" spans="1:7" x14ac:dyDescent="0.2">
      <c r="A99" s="103" t="s">
        <v>849</v>
      </c>
    </row>
    <row r="100" spans="1:7" ht="16.5" customHeight="1" x14ac:dyDescent="0.25">
      <c r="A100" s="174"/>
      <c r="B100" s="175"/>
      <c r="C100" s="175"/>
      <c r="D100" s="175"/>
      <c r="E100" s="175"/>
      <c r="F100" s="158"/>
      <c r="G100" s="159"/>
    </row>
    <row r="101" spans="1:7" x14ac:dyDescent="0.2">
      <c r="A101" s="103" t="s">
        <v>845</v>
      </c>
    </row>
    <row r="102" spans="1:7" x14ac:dyDescent="0.2">
      <c r="A102" s="103" t="s">
        <v>853</v>
      </c>
    </row>
    <row r="103" spans="1:7" x14ac:dyDescent="0.2">
      <c r="A103" s="103" t="s">
        <v>846</v>
      </c>
    </row>
    <row r="104" spans="1:7" x14ac:dyDescent="0.2">
      <c r="A104" s="103" t="s">
        <v>854</v>
      </c>
    </row>
    <row r="105" spans="1:7" ht="15" x14ac:dyDescent="0.25">
      <c r="A105" s="174"/>
      <c r="B105" s="158"/>
      <c r="C105" s="158"/>
      <c r="D105" s="158"/>
      <c r="E105" s="158"/>
      <c r="F105" s="158"/>
      <c r="G105" s="159"/>
    </row>
    <row r="107" spans="1:7" x14ac:dyDescent="0.2">
      <c r="A107" s="131" t="s">
        <v>865</v>
      </c>
    </row>
    <row r="108" spans="1:7" x14ac:dyDescent="0.2">
      <c r="A108" s="131"/>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870</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913</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904</v>
      </c>
    </row>
    <row r="12" spans="1:1" ht="37.5" customHeight="1" x14ac:dyDescent="0.25">
      <c r="A12" s="36" t="s">
        <v>905</v>
      </c>
    </row>
    <row r="13" spans="1:1" ht="23.25" customHeight="1" x14ac:dyDescent="0.25">
      <c r="A13" s="36" t="s">
        <v>906</v>
      </c>
    </row>
    <row r="14" spans="1:1" ht="23.25" customHeight="1" x14ac:dyDescent="0.25">
      <c r="A14" s="36" t="s">
        <v>907</v>
      </c>
    </row>
    <row r="15" spans="1:1" ht="39.75" customHeight="1" x14ac:dyDescent="0.25">
      <c r="A15" s="36" t="s">
        <v>908</v>
      </c>
    </row>
    <row r="16" spans="1:1" ht="23.25" customHeight="1" x14ac:dyDescent="0.25">
      <c r="A16" s="36" t="s">
        <v>909</v>
      </c>
    </row>
    <row r="17" spans="1:1" ht="38.25" customHeight="1" x14ac:dyDescent="0.25">
      <c r="A17" s="36" t="s">
        <v>910</v>
      </c>
    </row>
    <row r="18" spans="1:1" ht="53.25" customHeight="1" x14ac:dyDescent="0.25">
      <c r="A18" s="36" t="s">
        <v>911</v>
      </c>
    </row>
    <row r="19" spans="1:1" ht="53.25" customHeight="1" x14ac:dyDescent="0.25">
      <c r="A19" s="36" t="s">
        <v>912</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8" t="s">
        <v>803</v>
      </c>
      <c r="B1" s="61" t="s">
        <v>804</v>
      </c>
      <c r="C1" s="59">
        <f>'Enter field data'!B6</f>
        <v>41101</v>
      </c>
    </row>
    <row r="2" spans="1:5" s="39" customFormat="1" x14ac:dyDescent="0.25">
      <c r="A2" s="188"/>
      <c r="B2" s="61" t="s">
        <v>805</v>
      </c>
      <c r="C2" s="60" t="str">
        <f>'Enter field data'!$B$15</f>
        <v>0707000401</v>
      </c>
      <c r="E2" s="78" t="s">
        <v>867</v>
      </c>
    </row>
    <row r="3" spans="1:5" s="39" customFormat="1" x14ac:dyDescent="0.25">
      <c r="A3" s="48"/>
      <c r="B3" s="48"/>
      <c r="C3" s="49"/>
    </row>
    <row r="4" spans="1:5" hidden="1" x14ac:dyDescent="0.25">
      <c r="A4" s="37"/>
      <c r="B4" s="37" t="s">
        <v>41</v>
      </c>
      <c r="C4" s="50" t="str">
        <f>CONCATENATE(YEAR(C1),IF(MONTH(C1)&lt;10,"0"&amp;MONTH(C1),MONTH(C1)),IF(DAY(C1)&lt;10,"0"&amp;DAY(C1),DAY(C1)))</f>
        <v>20120711</v>
      </c>
    </row>
    <row r="5" spans="1:5" hidden="1" x14ac:dyDescent="0.25">
      <c r="A5" s="37"/>
      <c r="B5" s="37" t="s">
        <v>806</v>
      </c>
      <c r="C5" s="50" t="str">
        <f>CONCATENATE(YEAR(C1-30),IF(MONTH(C1-30)&lt;10,"0"&amp;MONTH(C1-30),MONTH(C1-30)),IF(DAY(C1-30)&lt;10,"0"&amp;DAY(C1-30),DAY(C1-30)))</f>
        <v>20120611</v>
      </c>
    </row>
    <row r="6" spans="1:5" hidden="1" x14ac:dyDescent="0.25">
      <c r="A6" s="37"/>
      <c r="B6" s="37" t="s">
        <v>807</v>
      </c>
      <c r="C6" s="50" t="str">
        <f>CONCATENATE(YEAR(C1-90),IF(MONTH(C1-90)&lt;10,"0"&amp;MONTH(C1-90),MONTH(C1-90)),IF(DAY(C1-90)&lt;10,"0"&amp;DAY(C1-90),DAY(C1-90)))</f>
        <v>20120412</v>
      </c>
    </row>
    <row r="7" spans="1:5" hidden="1" x14ac:dyDescent="0.25">
      <c r="A7" s="37"/>
      <c r="B7" s="37" t="s">
        <v>808</v>
      </c>
      <c r="C7" s="50" t="str">
        <f>CONCATENATE(YEAR(C1-365),IF(MONTH(C1-365)&lt;10,"0"&amp;MONTH(C1-365),MONTH(C1-365)),IF(DAY(C1-365)&lt;10,"0"&amp;DAY(C1-365),DAY(C1-365)))</f>
        <v>20110712</v>
      </c>
    </row>
    <row r="8" spans="1:5" hidden="1" x14ac:dyDescent="0.25">
      <c r="A8" s="37"/>
      <c r="B8" s="37" t="s">
        <v>809</v>
      </c>
      <c r="C8" s="50" t="str">
        <f>CONCATENATE(YEAR(C1-1460),IF(MONTH(C1-1460)&lt;10,"0"&amp;MONTH(C1-1460),MONTH(C1-1460)),IF(DAY(C1-1460)&lt;10,"0"&amp;DAY(C1-1460),DAY(C1-1460)))</f>
        <v>20080712</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19</v>
      </c>
    </row>
    <row r="12" spans="1:5" hidden="1" x14ac:dyDescent="0.25">
      <c r="A12" s="37"/>
      <c r="B12" s="37" t="s">
        <v>813</v>
      </c>
      <c r="C12" s="50">
        <f>IF(MONTH($C$1)=7,DAY($C$1),0)+IF(MONTH($C$1)=8,30-DAY($C$1),0)</f>
        <v>11</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189"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189"/>
      <c r="B18" s="58" t="s">
        <v>819</v>
      </c>
      <c r="C18" s="56">
        <f>(VLOOKUP($C$2,temp!$A$1:$O$369,2,FALSE)*$C$9+VLOOKUP($C$2,temp!$A$1:$O$369,4,FALSE)*$C$10+VLOOKUP($C$2,temp!$A$1:$O$369,6,FALSE)*$C$11+VLOOKUP($C$2,temp!$A$1:$O$369,8,FALSE)*$C$12+VLOOKUP($C$2,temp!$A$1:$O$369,10,FALSE)*$C$13+VLOOKUP($C$2,temp!$A$1:$O$369,12,FALSE)*$C$14+VLOOKUP($C$2,temp!$A$1:$O$369,14,FALSE)*$C$15)/30</f>
        <v>18.603800999999997</v>
      </c>
    </row>
    <row r="19" spans="1:3" x14ac:dyDescent="0.25">
      <c r="A19" s="189"/>
      <c r="B19" s="58" t="s">
        <v>820</v>
      </c>
      <c r="C19" s="56">
        <f>(VLOOKUP($C$2,temp!$A$1:$O$369,3,FALSE)*$C$9+VLOOKUP($C$2,temp!$A$1:$O$369,5,FALSE)*$C$10+VLOOKUP($C$2,temp!$A$1:$O$369,7,FALSE)*$C$11+VLOOKUP($C$2,temp!$A$1:$O$369,9,FALSE)*$C$12+VLOOKUP($C$2,temp!$A$1:$O$369,11,FALSE)*$C$13+VLOOKUP($C$2,temp!$A$1:$O$369,13,FALSE)*$C$14+VLOOKUP($C$2,temp!$A$1:$O$369,15,FALSE)*$C$15)/30</f>
        <v>21.759890666666667</v>
      </c>
    </row>
    <row r="20" spans="1:3" x14ac:dyDescent="0.25">
      <c r="A20" s="189"/>
      <c r="B20" s="62" t="s">
        <v>821</v>
      </c>
      <c r="C20" s="63" t="e">
        <f>IF(C17&gt;C19,"WARM",IF(C17&lt;C18,"COOL","NO"))</f>
        <v>#DIV/0!</v>
      </c>
    </row>
    <row r="21" spans="1:3" x14ac:dyDescent="0.25">
      <c r="A21" s="37"/>
      <c r="B21" s="37"/>
      <c r="C21" s="50"/>
    </row>
    <row r="22" spans="1:3" x14ac:dyDescent="0.25">
      <c r="A22" s="189" t="s">
        <v>822</v>
      </c>
      <c r="B22" s="58" t="s">
        <v>823</v>
      </c>
      <c r="C22" s="57" t="e">
        <f>AVERAGEIFS('Enter weather'!$B:$B,'Enter weather'!$A:$A,"&lt;="&amp;$C$4,'Enter weather'!$A:$A,"&gt;="&amp;$C$5,'Enter weather'!$B:$B,"&lt;&gt;"&amp;-9999)</f>
        <v>#DIV/0!</v>
      </c>
    </row>
    <row r="23" spans="1:3" x14ac:dyDescent="0.25">
      <c r="A23" s="189"/>
      <c r="B23" s="58" t="s">
        <v>824</v>
      </c>
      <c r="C23" s="57" t="e">
        <f>AVERAGEIFS('Enter weather'!$B:$B,'Enter weather'!$A:$A,"&lt;="&amp;$C$5,'Enter weather'!$A:$A,"&gt;="&amp;$C$6,'Enter weather'!$B:$B,"&lt;&gt;"&amp;-9999)</f>
        <v>#DIV/0!</v>
      </c>
    </row>
    <row r="24" spans="1:3" x14ac:dyDescent="0.25">
      <c r="A24" s="189"/>
      <c r="B24" s="58" t="s">
        <v>825</v>
      </c>
      <c r="C24" s="57" t="e">
        <f>AVERAGEIFS('Enter weather'!$B:$B,'Enter weather'!$A:$A,"&lt;="&amp;$C$6,'Enter weather'!$A:$A,"&gt;="&amp;$C$7,'Enter weather'!$B:$B,"&lt;&gt;"&amp;-9999)</f>
        <v>#DIV/0!</v>
      </c>
    </row>
    <row r="25" spans="1:3" x14ac:dyDescent="0.25">
      <c r="A25" s="189"/>
      <c r="B25" s="58" t="s">
        <v>826</v>
      </c>
      <c r="C25" s="57" t="e">
        <f>AVERAGEIFS('Enter weather'!$B:$B,'Enter weather'!$A:$A,"&lt;="&amp;$C$7,'Enter weather'!$A:$A,"&gt;="&amp;$C$8,'Enter weather'!$B:$B,"&lt;&gt;"&amp;-9999)</f>
        <v>#DIV/0!</v>
      </c>
    </row>
    <row r="26" spans="1:3" x14ac:dyDescent="0.25">
      <c r="A26" s="189"/>
      <c r="B26" s="58" t="s">
        <v>827</v>
      </c>
      <c r="C26" s="57" t="e">
        <f>$C$22*0.4+$C$23*0.3+$C$24*0.15+$C$25*0.15</f>
        <v>#DIV/0!</v>
      </c>
    </row>
    <row r="27" spans="1:3" x14ac:dyDescent="0.25">
      <c r="A27" s="189"/>
      <c r="B27" s="58" t="s">
        <v>828</v>
      </c>
      <c r="C27" s="56">
        <f>(VLOOKUP($C$2,prcp!$A$1:$O$369,2,FALSE)*$C$9+VLOOKUP($C$2,prcp!$A$1:$O$369,4,FALSE)*$C$10+VLOOKUP($C$2,prcp!$A$1:$O$369,6,FALSE)*$C$11+VLOOKUP($C$2,prcp!$A$1:$O$369,8,FALSE)*$C$12+VLOOKUP($C$2,prcp!$A$1:$O$369,10,FALSE)*$C$13+VLOOKUP($C$2,prcp!$A$1:$O$369,12,FALSE)*$C$14+VLOOKUP($C$2,prcp!$A$1:$O$369,14,FALSE)*$C$15)/30</f>
        <v>2.1022076666666667</v>
      </c>
    </row>
    <row r="28" spans="1:3" x14ac:dyDescent="0.25">
      <c r="A28" s="189"/>
      <c r="B28" s="58" t="s">
        <v>829</v>
      </c>
      <c r="C28" s="56">
        <f>(VLOOKUP($C$2,prcp!$A$1:$O$369,3,FALSE)*$C$9+VLOOKUP($C$2,prcp!$A$1:$O$369,5,FALSE)*$C$10+VLOOKUP($C$2,prcp!$A$1:$O$369,7,FALSE)*$C$11+VLOOKUP($C$2,prcp!$A$1:$O$369,9,FALSE)*$C$12+VLOOKUP($C$2,prcp!$A$1:$O$369,11,FALSE)*$C$13+VLOOKUP($C$2,prcp!$A$1:$O$369,13,FALSE)*$C$14+VLOOKUP($C$2,prcp!$A$1:$O$369,15,FALSE)*$C$15)/30</f>
        <v>4.5875977333333333</v>
      </c>
    </row>
    <row r="29" spans="1:3" x14ac:dyDescent="0.25">
      <c r="A29" s="189"/>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90" t="s">
        <v>16</v>
      </c>
      <c r="B3" s="192" t="s">
        <v>18</v>
      </c>
      <c r="C3" s="193"/>
      <c r="D3" s="192" t="s">
        <v>17</v>
      </c>
      <c r="E3" s="193"/>
      <c r="F3" s="192" t="s">
        <v>19</v>
      </c>
      <c r="G3" s="193"/>
      <c r="J3" s="190" t="s">
        <v>381</v>
      </c>
    </row>
    <row r="4" spans="1:10" x14ac:dyDescent="0.25">
      <c r="A4" s="191"/>
      <c r="B4" s="5" t="s">
        <v>62</v>
      </c>
      <c r="C4" s="5" t="s">
        <v>63</v>
      </c>
      <c r="D4" s="5" t="s">
        <v>62</v>
      </c>
      <c r="E4" s="5" t="s">
        <v>63</v>
      </c>
      <c r="F4" s="5" t="s">
        <v>62</v>
      </c>
      <c r="G4" s="5" t="s">
        <v>63</v>
      </c>
      <c r="J4" s="191"/>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90" t="s">
        <v>16</v>
      </c>
      <c r="B17" s="192" t="s">
        <v>9</v>
      </c>
      <c r="C17" s="193"/>
      <c r="D17" s="192" t="s">
        <v>10</v>
      </c>
      <c r="E17" s="193"/>
      <c r="F17" s="192" t="s">
        <v>11</v>
      </c>
      <c r="G17" s="193"/>
    </row>
    <row r="18" spans="1:7" x14ac:dyDescent="0.25">
      <c r="A18" s="19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90" t="s">
        <v>16</v>
      </c>
      <c r="B31" s="192" t="s">
        <v>12</v>
      </c>
      <c r="C31" s="193"/>
      <c r="D31" s="192" t="s">
        <v>13</v>
      </c>
      <c r="E31" s="193"/>
      <c r="F31" s="192" t="s">
        <v>14</v>
      </c>
      <c r="G31" s="193"/>
    </row>
    <row r="32" spans="1:7" x14ac:dyDescent="0.25">
      <c r="A32" s="19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903</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874</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882</v>
      </c>
      <c r="C22" s="13" t="s">
        <v>43</v>
      </c>
      <c r="D22" s="13" t="s">
        <v>41</v>
      </c>
      <c r="E22" s="13" t="s">
        <v>46</v>
      </c>
      <c r="F22" s="13"/>
      <c r="G22" s="14"/>
      <c r="H22" s="13"/>
      <c r="I22" s="13"/>
      <c r="K22" s="13"/>
      <c r="L22" s="13"/>
    </row>
    <row r="23" spans="1:12" x14ac:dyDescent="0.25">
      <c r="A23" s="13" t="s">
        <v>876</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883</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884</v>
      </c>
      <c r="B38" s="14" t="s">
        <v>885</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886</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887</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888</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889</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890</v>
      </c>
      <c r="B51" s="14" t="s">
        <v>902</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891</v>
      </c>
      <c r="C53" s="13" t="s">
        <v>43</v>
      </c>
      <c r="D53" s="13" t="s">
        <v>40</v>
      </c>
      <c r="E53" s="13" t="s">
        <v>46</v>
      </c>
      <c r="F53" s="13"/>
      <c r="G53" s="14"/>
      <c r="H53" s="13"/>
      <c r="I53" s="13"/>
      <c r="K53" s="13"/>
      <c r="L53" s="13"/>
    </row>
    <row r="54" spans="1:12" x14ac:dyDescent="0.25">
      <c r="A54" s="13" t="s">
        <v>153</v>
      </c>
      <c r="B54" s="14" t="s">
        <v>892</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893</v>
      </c>
      <c r="C59" s="13" t="s">
        <v>42</v>
      </c>
      <c r="D59" s="13" t="s">
        <v>41</v>
      </c>
      <c r="E59" s="13" t="s">
        <v>46</v>
      </c>
      <c r="F59" s="13"/>
      <c r="G59" s="14"/>
      <c r="H59" s="13"/>
      <c r="I59" s="13"/>
      <c r="K59" s="13"/>
      <c r="L59" s="13"/>
    </row>
    <row r="60" spans="1:12" x14ac:dyDescent="0.25">
      <c r="A60" s="13" t="s">
        <v>163</v>
      </c>
      <c r="B60" s="14" t="s">
        <v>894</v>
      </c>
      <c r="C60" s="13" t="s">
        <v>43</v>
      </c>
      <c r="D60" s="13" t="s">
        <v>41</v>
      </c>
      <c r="E60" s="13" t="s">
        <v>46</v>
      </c>
      <c r="F60" s="13"/>
      <c r="G60" s="14"/>
      <c r="H60" s="13"/>
      <c r="I60" s="13"/>
      <c r="K60" s="13"/>
      <c r="L60" s="13"/>
    </row>
    <row r="61" spans="1:12" x14ac:dyDescent="0.25">
      <c r="A61" s="13" t="s">
        <v>164</v>
      </c>
      <c r="B61" s="14" t="s">
        <v>895</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896</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897</v>
      </c>
      <c r="B74" s="14" t="s">
        <v>898</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899</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880</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900</v>
      </c>
      <c r="B142" s="14" t="s">
        <v>901</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2017-01-30T17:18:52Z</dcterms:modified>
</cp:coreProperties>
</file>