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05" windowWidth="9900" windowHeight="957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<sst xmlns="http://schemas.openxmlformats.org/spreadsheetml/2006/main" count="2049" uniqueCount="935">
  <si>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</si>
  <si>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</si>
  <si>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</si>
  <si>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</si>
  <si>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</si>
  <si>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</si>
  <si>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</si>
  <si>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</si>
  <si>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</si>
  <si>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</si>
  <si>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</si>
  <si>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</si>
  <si>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</si>
  <si>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</si>
  <si>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</si>
  <si>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</si>
  <si>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</si>
  <si>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</si>
  <si>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</si>
  <si>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</si>
  <si>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</si>
  <si>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</si>
  <si>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</si>
  <si>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</si>
  <si>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</si>
  <si>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</si>
  <si>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</si>
  <si>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</si>
  <si>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</si>
  <si>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</si>
  <si>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</si>
  <si>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</si>
  <si>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</si>
  <si>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</si>
  <si>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</si>
  <si>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</si>
  <si>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</si>
  <si>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</si>
  <si>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</si>
  <si>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</si>
  <si>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</si>
  <si>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</si>
  <si>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</si>
  <si>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</si>
  <si>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</si>
  <si>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</si>
  <si>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</si>
  <si>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</si>
  <si>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</si>
  <si>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</si>
  <si>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</si>
  <si>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</si>
  <si>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</si>
  <si>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</si>
  <si>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</si>
  <si>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</si>
  <si>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</si>
  <si>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</si>
  <si>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</si>
  <si>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</si>
  <si>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</si>
  <si>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</si>
  <si>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</si>
  <si>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</si>
  <si>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</si>
  <si>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</si>
  <si>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</si>
  <si>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</si>
  <si>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</si>
  <si>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</si>
  <si>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</si>
  <si>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</si>
  <si>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</si>
  <si>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</si>
  <si>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</si>
  <si>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</si>
  <si>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</si>
  <si>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</si>
  <si>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</si>
  <si>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</si>
  <si>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</si>
  <si>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</si>
  <si>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</si>
  <si>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</si>
  <si>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</si>
  <si>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</si>
  <si>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</si>
  <si>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</si>
  <si>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</si>
  <si>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</si>
  <si>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</si>
  <si>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</si>
  <si>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</si>
  <si>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</si>
  <si>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</si>
  <si>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</si>
  <si>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</si>
  <si>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</si>
  <si>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</si>
  <si>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</si>
  <si>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</si>
  <si>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</si>
  <si>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</si>
  <si>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</si>
  <si>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</si>
  <si>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</si>
  <si>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</si>
  <si>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</si>
  <si>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</si>
  <si>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</si>
  <si>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</si>
  <si>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</si>
  <si>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</si>
  <si>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</si>
  <si>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</si>
  <si>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</si>
  <si>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</si>
  <si>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</si>
  <si>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</si>
  <si>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</si>
  <si>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</si>
  <si>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</si>
  <si>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</si>
  <si>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</si>
  <si>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</si>
  <si>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</si>
  <si>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</si>
  <si>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</si>
  <si>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</si>
  <si>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</si>
  <si>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</si>
  <si>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</si>
  <si>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</si>
  <si>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</si>
  <si>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</si>
  <si>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</si>
  <si>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</si>
  <si>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</si>
  <si>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</si>
  <si>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</si>
  <si>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</si>
  <si>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</si>
  <si>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</si>
  <si>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</si>
  <si>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</si>
  <si>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</si>
  <si>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</si>
  <si>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</si>
  <si>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</si>
  <si>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</si>
  <si>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</si>
  <si>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</si>
  <si>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</si>
  <si>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</si>
  <si>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</si>
  <si>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</si>
  <si>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</si>
  <si>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</si>
  <si>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</si>
  <si>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</si>
  <si>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</si>
  <si>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</si>
  <si>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</si>
  <si>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</si>
  <si>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</si>
  <si>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</si>
  <si>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</si>
  <si>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</si>
  <si>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</si>
  <si>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</si>
  <si>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</si>
  <si>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</si>
  <si>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</si>
  <si>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</si>
  <si>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</si>
  <si>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</si>
  <si>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</si>
  <si>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</si>
  <si>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</si>
  <si>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</si>
  <si>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</si>
  <si>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</si>
  <si>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</si>
  <si>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</si>
  <si>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</si>
  <si>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</si>
  <si>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</si>
  <si>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</si>
  <si>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</si>
  <si>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</si>
  <si>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</si>
  <si>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</si>
  <si>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</si>
  <si>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</si>
  <si>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</si>
  <si>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</si>
  <si>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</si>
  <si>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</si>
  <si>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</si>
  <si>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</si>
  <si>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</si>
  <si>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</si>
  <si>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</si>
  <si>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</si>
  <si>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</si>
  <si>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</si>
  <si>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</si>
  <si>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</si>
  <si>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</si>
  <si>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</si>
  <si>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</si>
  <si>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</si>
  <si>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</si>
  <si>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</si>
  <si>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</si>
  <si>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</si>
  <si>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</si>
  <si>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</si>
  <si>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</si>
  <si>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</si>
  <si>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</si>
  <si>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</si>
  <si>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</si>
  <si>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</si>
  <si>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</si>
  <si>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</si>
  <si>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</si>
  <si>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</si>
  <si>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</si>
  <si>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</si>
  <si>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</si>
  <si>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</si>
  <si>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</si>
  <si>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</si>
  <si>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</si>
  <si>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</si>
  <si>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</si>
  <si>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</si>
  <si>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</si>
  <si>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</si>
  <si>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</si>
  <si>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</si>
  <si>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</si>
  <si>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</si>
  <si>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</si>
  <si>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</si>
  <si>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</si>
  <si>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</si>
  <si>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</si>
  <si>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</si>
  <si>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</si>
  <si>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</si>
  <si>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</si>
  <si>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</si>
  <si>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</si>
  <si>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</si>
  <si>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</si>
  <si>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</si>
  <si>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</si>
  <si>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</si>
  <si>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</si>
  <si>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</si>
  <si>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</si>
  <si>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</si>
  <si>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</si>
  <si>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</si>
  <si>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</si>
  <si>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</si>
  <si>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</si>
  <si>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</si>
  <si>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</si>
  <si>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</si>
  <si>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</si>
  <si>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</si>
  <si>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</si>
  <si>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</si>
  <si>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</si>
  <si>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</si>
  <si>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</si>
  <si>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</si>
  <si>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</si>
  <si>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</si>
  <si>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</si>
  <si>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</si>
  <si>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</si>
  <si>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</si>
  <si>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</si>
  <si>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</si>
  <si>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</si>
  <si>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</si>
  <si>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</si>
  <si>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</si>
  <si>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</si>
  <si>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</si>
  <si>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</si>
  <si>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</si>
  <si>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</si>
  <si>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</si>
  <si>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</si>
  <si>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</si>
  <si>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</si>
  <si>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</si>
  <si>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</si>
  <si>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</si>
  <si>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</si>
  <si>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</si>
  <si>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</si>
  <si>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</si>
  <si>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</si>
  <si>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</si>
  <si>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</si>
  <si>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</si>
  <si>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</si>
  <si>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</si>
  <si>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</si>
  <si>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</si>
  <si>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</si>
  <si>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</si>
  <si>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</si>
  <si>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</si>
  <si>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</si>
  <si>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</si>
  <si>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</si>
  <si>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</si>
  <si>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</si>
  <si>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</si>
  <si>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</si>
  <si>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</si>
  <si>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</si>
  <si>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</si>
  <si>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</si>
  <si>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</si>
  <si>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</si>
  <si>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</si>
  <si>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</si>
  <si>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</si>
  <si>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</si>
  <si>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</si>
  <si>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</si>
  <si>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</si>
  <si>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</si>
  <si>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</si>
  <si>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</si>
  <si>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</si>
  <si>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</si>
  <si>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</si>
  <si>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</si>
  <si>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</si>
  <si>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</si>
  <si>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</si>
  <si>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</si>
  <si>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</si>
  <si>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</si>
  <si>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</si>
  <si>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</si>
  <si>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</si>
  <si>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</si>
  <si>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</si>
  <si>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</si>
  <si>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</si>
  <si>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</si>
  <si>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</si>
  <si>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</si>
  <si>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</si>
  <si>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</si>
  <si>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</si>
  <si>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</si>
  <si>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</si>
  <si>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</si>
  <si>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</si>
  <si>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</si>
  <si>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</si>
  <si>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</si>
  <si>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</si>
  <si>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</si>
  <si>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</si>
  <si>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</si>
  <si>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</si>
  <si>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</si>
  <si>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</si>
  <si>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</si>
  <si>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</si>
  <si>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</si>
  <si>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</si>
  <si>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</si>
  <si>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</si>
  <si>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</si>
  <si>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</si>
  <si>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</si>
  <si>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</si>
  <si>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</si>
  <si>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</si>
  <si>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</si>
  <si>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</si>
  <si>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</si>
  <si>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</si>
  <si>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</si>
  <si>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</si>
  <si>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</si>
  <si>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</si>
  <si>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</si>
  <si>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</si>
  <si>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</si>
  <si>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</si>
  <si>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</si>
  <si>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</si>
  <si>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</si>
  <si>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</si>
  <si>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</si>
  <si>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</si>
  <si>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</si>
  <si>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</si>
  <si>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</si>
  <si>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</si>
  <si>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</si>
  <si>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</si>
  <si>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</si>
  <si>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</si>
  <si>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</si>
  <si>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</si>
  <si>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</si>
  <si>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</si>
  <si>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</si>
  <si>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</si>
  <si>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</si>
  <si>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</si>
  <si>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</si>
  <si>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</si>
  <si>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</si>
  <si>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</si>
  <si>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</si>
  <si>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</si>
  <si>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</si>
  <si>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</si>
  <si>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</si>
  <si>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</si>
  <si>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</si>
  <si>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</si>
  <si>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</si>
  <si>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</si>
  <si>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</si>
  <si>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</si>
  <si>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</si>
  <si>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</si>
  <si>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</si>
  <si>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</si>
  <si>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</si>
  <si>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</si>
  <si>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</si>
  <si>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</si>
  <si>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</si>
  <si>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</si>
  <si>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</si>
  <si>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</si>
  <si>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</si>
  <si>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</si>
  <si>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</si>
  <si>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</si>
  <si>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</si>
  <si>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</si>
  <si>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</si>
  <si>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</si>
  <si>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</si>
  <si>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</si>
  <si>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</si>
  <si>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</si>
  <si>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</si>
  <si>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</si>
  <si>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</si>
  <si>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</si>
  <si>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</si>
  <si>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</si>
  <si>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</si>
  <si>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</si>
  <si>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</si>
  <si>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</si>
  <si>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</si>
  <si>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</si>
  <si>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</si>
  <si>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</si>
  <si>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</si>
  <si>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</si>
  <si>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</si>
  <si>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</si>
  <si>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</si>
  <si>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</si>
  <si>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</si>
  <si>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</si>
  <si>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</si>
  <si>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</si>
  <si>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</si>
  <si>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</si>
  <si>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</si>
  <si>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</si>
  <si>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</si>
  <si>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</si>
  <si>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</si>
  <si>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</si>
  <si>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</si>
  <si>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</si>
  <si>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</si>
  <si>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</si>
  <si>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</si>
  <si>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</si>
  <si>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</si>
  <si>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</si>
  <si>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</si>
  <si>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</si>
  <si>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</si>
  <si>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</si>
  <si>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</si>
  <si>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</si>
  <si>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</si>
  <si>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</si>
  <si>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</si>
  <si>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</si>
  <si>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</si>
  <si>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</si>
  <si>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</si>
  <si>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</si>
  <si>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</si>
  <si>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</si>
  <si>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</si>
  <si>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</si>
  <si>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</si>
  <si>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</si>
  <si>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</si>
  <si>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</si>
  <si>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</si>
  <si>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</si>
  <si>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</si>
  <si>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</si>
  <si>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</si>
  <si>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</si>
  <si>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</si>
  <si>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</si>
  <si>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</si>
  <si>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</si>
  <si>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</si>
  <si>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</si>
  <si>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</si>
  <si>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</si>
  <si>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</si>
  <si>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</si>
  <si>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</si>
  <si>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</si>
  <si>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</si>
  <si>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</si>
  <si>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</si>
  <si>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</si>
  <si>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</si>
  <si>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</si>
  <si>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</si>
  <si>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</si>
  <si>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</si>
  <si>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</si>
  <si>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</si>
  <si>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</si>
  <si>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</si>
  <si>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</si>
  <si>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</si>
  <si>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</si>
  <si>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</si>
  <si>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</si>
  <si>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</si>
  <si>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</si>
  <si>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</si>
  <si>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</si>
  <si>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</si>
  <si>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</si>
  <si>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</si>
  <si>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</si>
  <si>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</si>
  <si>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</si>
  <si>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</si>
  <si>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</si>
  <si>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</si>
  <si>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</si>
  <si>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</si>
  <si>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</si>
  <si>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</si>
  <si>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</si>
  <si>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</si>
  <si>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</si>
  <si>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</si>
  <si>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</si>
  <si>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</si>
  <si>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</si>
  <si>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</si>
  <si>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</si>
  <si>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</si>
  <si>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</si>
  <si>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</si>
  <si>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</si>
  <si>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</si>
  <si>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</si>
  <si>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</si>
  <si>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</si>
  <si>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</si>
  <si>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</si>
  <si>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</si>
  <si>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</si>
  <si>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</si>
  <si>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</si>
  <si>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</si>
  <si>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</si>
  <si>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</si>
  <si>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</si>
  <si>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</si>
  <si>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</si>
  <si>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</si>
  <si>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</si>
  <si>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</si>
  <si>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</si>
  <si>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</si>
  <si>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</si>
  <si>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</si>
  <si>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</si>
  <si>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</si>
  <si>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</si>
  <si>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</si>
  <si>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</si>
  <si>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</si>
  <si>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</si>
  <si>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</si>
  <si>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</si>
  <si>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</si>
  <si>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</si>
  <si>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</si>
  <si>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</si>
  <si>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</si>
  <si>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</si>
  <si>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</si>
  <si>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</si>
  <si>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</si>
  <si>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</si>
  <si>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</si>
  <si>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</si>
  <si>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</si>
  <si>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</si>
  <si>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</si>
  <si>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</si>
  <si>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</si>
  <si>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</si>
  <si>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</si>
  <si>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</si>
  <si>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</si>
  <si>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</si>
  <si>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</si>
  <si>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</si>
  <si>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</si>
  <si>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</si>
  <si>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</si>
  <si>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</si>
  <si>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</si>
  <si>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</si>
  <si>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</si>
  <si>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</si>
  <si>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</si>
  <si>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</si>
  <si>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</si>
  <si>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</si>
  <si>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</si>
  <si>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</si>
  <si>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</si>
  <si>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</si>
  <si>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</si>
  <si>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</si>
  <si>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</si>
  <si>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</si>
  <si>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</si>
  <si>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</si>
  <si>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</si>
  <si>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</si>
  <si>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</si>
  <si>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</si>
  <si>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</si>
  <si>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</si>
  <si>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</si>
  <si>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</si>
  <si>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</si>
  <si>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</si>
  <si>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</si>
  <si>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</si>
  <si>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</si>
  <si>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</si>
  <si>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</si>
  <si>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</si>
  <si>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</si>
  <si>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</si>
  <si>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</si>
  <si>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</si>
  <si>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</si>
  <si>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</si>
  <si>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</si>
  <si>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</si>
  <si>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</si>
  <si>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</si>
  <si>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</si>
  <si>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</si>
  <si>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</si>
  <si>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</si>
  <si>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</si>
  <si>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</si>
  <si>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</si>
  <si>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</si>
  <si>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</si>
  <si>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</si>
  <si>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</si>
  <si>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</si>
  <si>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</si>
  <si>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</si>
  <si>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</si>
  <si>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</si>
  <si>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</si>
  <si>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</si>
  <si>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</si>
  <si>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</si>
  <si>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</si>
  <si>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</si>
  <si>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</si>
  <si>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</si>
  <si>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</si>
  <si>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</si>
  <si>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</si>
  <si>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</si>
  <si>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</si>
  <si>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</si>
  <si>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</si>
  <si>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</si>
  <si>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</si>
  <si>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</si>
  <si>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</si>
  <si>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</si>
  <si>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</si>
  <si>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</si>
  <si>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</si>
  <si>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</si>
  <si>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</si>
  <si>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</si>
  <si>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</si>
  <si>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</si>
  <si>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</si>
  <si>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</si>
  <si>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</si>
  <si>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</si>
  <si>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</si>
  <si>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</si>
  <si>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</si>
  <si>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</si>
  <si>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</si>
  <si>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</si>
  <si>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</si>
  <si>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</si>
  <si>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</si>
  <si>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</si>
  <si>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</si>
  <si>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</si>
  <si>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</si>
  <si>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</si>
  <si>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</si>
  <si>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</si>
  <si>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</si>
  <si>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</si>
  <si>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</si>
  <si>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</si>
  <si>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</si>
  <si>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</si>
  <si>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</si>
  <si>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</si>
  <si>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</si>
  <si>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</si>
  <si>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</si>
  <si>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</si>
  <si>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</si>
  <si>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</si>
  <si>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</si>
  <si>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</si>
  <si>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</si>
  <si>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</si>
  <si>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</si>
  <si>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</si>
  <si>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</si>
  <si>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</si>
  <si>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</si>
  <si>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</si>
  <si>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</si>
  <si>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</si>
  <si>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</si>
  <si>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</si>
  <si>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</si>
  <si>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</si>
  <si>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</si>
  <si>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</si>
  <si>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</si>
  <si>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</si>
  <si>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</si>
  <si>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</si>
  <si>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</si>
  <si>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</si>
  <si>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</si>
  <si>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</si>
  <si>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</si>
  <si>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</si>
  <si>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</si>
  <si>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</si>
  <si>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</si>
  <si>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</si>
  <si>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</si>
  <si>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</si>
  <si>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</si>
  <si>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</si>
  <si>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</si>
  <si>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</si>
  <si>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</si>
  <si>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</si>
  <si>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</si>
  <si>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</si>
  <si>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</si>
  <si>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</si>
  <si>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</si>
  <si>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</si>
  <si>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</si>
  <si>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</si>
  <si>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</si>
  <si>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</si>
  <si>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</si>
  <si>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</si>
  <si>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</si>
  <si>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</si>
  <si>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</si>
  <si>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</si>
  <si>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</si>
  <si>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</si>
  <si>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</si>
  <si>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</si>
  <si>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</si>
  <si>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</si>
  <si>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</si>
  <si>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</si>
  <si>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</si>
  <si>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</si>
  <si>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</si>
  <si>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</si>
  <si>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</si>
  <si>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</si>
  <si>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</si>
  <si>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</si>
  <si>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</si>
  <si>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</si>
  <si>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</si>
  <si>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</si>
  <si>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</si>
  <si>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</si>
  <si>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</si>
  <si>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</si>
  <si>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</si>
  <si>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</si>
  <si>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</si>
  <si>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</si>
  <si>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</si>
  <si>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</si>
  <si>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</si>
  <si>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</si>
  <si>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</si>
  <si>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</si>
  <si>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</si>
  <si>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</si>
  <si>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</si>
  <si>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</si>
  <si>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</si>
  <si>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</si>
  <si>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</si>
  <si>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</si>
  <si>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</si>
  <si>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</si>
  <si>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</si>
  <si>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</si>
  <si>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</si>
  <si>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</si>
  <si>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</si>
  <si>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</si>
  <si>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</si>
  <si>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</si>
  <si>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</si>
  <si>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</si>
  <si>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</si>
  <si>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</si>
  <si>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</si>
  <si>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</si>
  <si>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</si>
  <si>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</si>
  <si>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</si>
  <si>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</si>
  <si>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</si>
  <si>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</si>
  <si>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</si>
  <si>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</si>
  <si>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</si>
  <si>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</si>
  <si>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</si>
  <si>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</si>
  <si>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</si>
  <si>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</si>
  <si>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</si>
  <si>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</si>
  <si>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</si>
  <si>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</si>
  <si>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</si>
  <si>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</si>
  <si>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</si>
  <si>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</si>
  <si>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</si>
  <si>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</si>
  <si>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</si>
  <si>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</si>
  <si>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</si>
  <si>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</si>
  <si>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</si>
  <si>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</si>
  <si>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</si>
  <si>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</si>
  <si>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</si>
  <si>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</si>
  <si>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</si>
  <si>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</si>
  <si>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</si>
  <si>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</si>
  <si>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</si>
  <si>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</si>
  <si>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</si>
  <si>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Dave Bolha</t>
  </si>
  <si>
    <t xml:space="preserve">Roy Creek </t>
  </si>
  <si>
    <t>Roy Creek US Cty O</t>
  </si>
  <si>
    <t>Green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</si>
</sst>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wrapText="1"/>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pplyProtection="1">
      <alignment horizontal="left" indent="1"/>
      <protection locked="0"/>
    </xf>
    <xf numFmtId="0" fontId="0" fillId="0" borderId="0" xfId="0" applyNumberForma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7" zoomScale="75" zoomScaleNormal="75" workbookViewId="0">
      <selection activeCell="B31" sqref="B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1"/>
      <c r="D4" s="161"/>
      <c r="F4" s="2" t="s">
        <v>836</v>
      </c>
    </row>
    <row r="5" spans="1:20" x14ac:dyDescent="0.25">
      <c r="A5" s="1" t="s">
        <v>832</v>
      </c>
      <c r="B5" s="162">
        <v>42018</v>
      </c>
      <c r="C5" s="161"/>
      <c r="D5" s="161"/>
      <c r="F5" s="82"/>
      <c r="G5" s="28"/>
      <c r="H5" s="28"/>
      <c r="I5" s="28"/>
      <c r="J5" s="28"/>
      <c r="K5" s="28"/>
      <c r="L5" s="28"/>
      <c r="M5" s="28"/>
      <c r="N5" s="28"/>
      <c r="O5" s="28"/>
      <c r="P5" s="28"/>
      <c r="Q5" s="28"/>
      <c r="R5" s="28" t="s">
        <v>866</v>
      </c>
    </row>
    <row r="6" spans="1:20" x14ac:dyDescent="0.25">
      <c r="A6" s="1" t="s">
        <v>830</v>
      </c>
      <c r="B6" s="162">
        <v>41830</v>
      </c>
      <c r="C6" s="161"/>
      <c r="D6" s="161"/>
      <c r="F6" s="26"/>
      <c r="G6" s="28"/>
      <c r="H6" s="28"/>
      <c r="I6" s="28"/>
      <c r="J6" s="28"/>
      <c r="K6" s="28"/>
      <c r="L6" s="28"/>
      <c r="M6" s="28"/>
      <c r="N6" s="28"/>
      <c r="O6" s="28"/>
      <c r="P6" s="28"/>
      <c r="Q6" s="28"/>
      <c r="R6" s="28" t="s">
        <v>378</v>
      </c>
    </row>
    <row r="7" spans="1:20" s="28" customFormat="1" x14ac:dyDescent="0.25">
      <c r="A7" s="28" t="s">
        <v>869</v>
      </c>
      <c r="B7" s="171">
        <v>10021317</v>
      </c>
      <c r="C7" s="172"/>
      <c r="D7" s="173"/>
      <c r="F7" s="27"/>
    </row>
    <row r="8" spans="1:20" s="28" customFormat="1" x14ac:dyDescent="0.25">
      <c r="A8" s="28" t="s">
        <v>872</v>
      </c>
      <c r="B8" s="174" t="s">
        <v>933</v>
      </c>
      <c r="C8" s="172"/>
      <c r="D8" s="173"/>
      <c r="F8" s="27"/>
    </row>
    <row r="9" spans="1:20" x14ac:dyDescent="0.25">
      <c r="A9" s="1" t="s">
        <v>49</v>
      </c>
      <c r="B9" s="163" t="s">
        <v>870</v>
      </c>
      <c r="C9" s="163"/>
      <c r="D9" s="163"/>
    </row>
    <row r="10" spans="1:20" x14ac:dyDescent="0.25">
      <c r="B10" s="86"/>
      <c r="C10" s="86"/>
      <c r="D10" s="86"/>
    </row>
    <row r="11" spans="1:20" x14ac:dyDescent="0.25">
      <c r="A11" s="1" t="s">
        <v>34</v>
      </c>
      <c r="B11" s="174" t="s">
        <v>932</v>
      </c>
      <c r="C11" s="172"/>
      <c r="D11" s="173"/>
      <c r="F11" s="27"/>
      <c r="G11" s="27"/>
      <c r="H11" s="27"/>
      <c r="I11" s="27"/>
      <c r="J11" s="27"/>
      <c r="K11" s="27"/>
      <c r="L11" s="27"/>
      <c r="M11" s="27"/>
      <c r="N11" s="27"/>
      <c r="O11" s="27"/>
      <c r="P11" s="27"/>
      <c r="Q11" s="27"/>
      <c r="R11" s="27"/>
    </row>
    <row r="12" spans="1:20" x14ac:dyDescent="0.25">
      <c r="A12" s="1" t="s">
        <v>37</v>
      </c>
      <c r="B12" s="163" t="s">
        <v>934</v>
      </c>
      <c r="C12" s="163"/>
      <c r="D12" s="163"/>
    </row>
    <row r="13" spans="1:20" x14ac:dyDescent="0.25">
      <c r="A13" s="1" t="s">
        <v>35</v>
      </c>
      <c r="B13" s="163"/>
      <c r="C13" s="163"/>
      <c r="D13" s="163"/>
      <c r="F13" s="27"/>
      <c r="G13" s="27"/>
      <c r="H13" s="27"/>
      <c r="I13" s="27"/>
      <c r="J13" s="27"/>
      <c r="K13" s="27"/>
      <c r="L13" s="27"/>
      <c r="M13" s="27"/>
      <c r="N13" s="27"/>
      <c r="O13" s="27"/>
      <c r="P13" s="27"/>
      <c r="Q13" s="27"/>
      <c r="R13" s="27"/>
    </row>
    <row r="14" spans="1:20" x14ac:dyDescent="0.25">
      <c r="A14" s="1" t="s">
        <v>36</v>
      </c>
      <c r="B14" s="163">
        <v>148200</v>
      </c>
      <c r="C14" s="163"/>
      <c r="D14" s="163"/>
      <c r="F14" s="27"/>
      <c r="G14" s="27"/>
      <c r="H14" s="27"/>
      <c r="I14" s="27"/>
      <c r="J14" s="27"/>
      <c r="K14" s="27"/>
      <c r="L14" s="27"/>
      <c r="M14" s="27"/>
      <c r="N14" s="27"/>
      <c r="O14" s="27"/>
      <c r="P14" s="27"/>
      <c r="Q14" s="27"/>
      <c r="R14" s="27"/>
    </row>
    <row r="15" spans="1:20" s="28" customFormat="1" x14ac:dyDescent="0.25">
      <c r="A15" s="28" t="s">
        <v>835</v>
      </c>
      <c r="B15" s="175" t="s">
        <v>488</v>
      </c>
      <c r="C15" s="176"/>
      <c r="D15" s="177"/>
      <c r="E15" s="11" t="s">
        <v>868</v>
      </c>
      <c r="F15" s="27"/>
    </row>
    <row r="16" spans="1:20" x14ac:dyDescent="0.25">
      <c r="B16" s="130"/>
      <c r="C16" s="130"/>
      <c r="D16" s="130"/>
      <c r="T16" s="37"/>
    </row>
    <row r="17" spans="1:25" x14ac:dyDescent="0.25">
      <c r="A17" s="1" t="s">
        <v>33</v>
      </c>
      <c r="B17" s="166" t="s">
        <v>6</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4"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9" t="s">
        <v>260</v>
      </c>
      <c r="B21" s="220">
        <v>13</v>
      </c>
      <c r="C21" s="26" t="str">
        <f>IFERROR(VLOOKUP($A21,'Species guilds'!$A$3:$F$301,3,FALSE),0)</f>
        <v>C</v>
      </c>
      <c r="D21" s="26" t="str">
        <f>IFERROR(VLOOKUP($A21,'Species guilds'!$A$3:$F$301,4,FALSE),0)</f>
        <v>S</v>
      </c>
      <c r="E21" s="26" t="str">
        <f>IFERROR(VLOOKUP($A21,'Species guilds'!$A$3:$F$301,5,FALSE),0)</f>
        <v>IT</v>
      </c>
      <c r="F21" s="26">
        <f t="shared" ref="F21:F53" si="0">IF(AND(M21&gt;0,B21&gt;0)=FALSE,B21,0)</f>
        <v>13</v>
      </c>
      <c r="G21" s="26">
        <f>IF(D21="Lake",0,1)</f>
        <v>1</v>
      </c>
      <c r="H21" s="26">
        <f>IF($C21=H$20,$B21*G21,0)</f>
        <v>13</v>
      </c>
      <c r="I21" s="26">
        <f>IF($C21=I$20,$B21*G21,0)</f>
        <v>0</v>
      </c>
      <c r="J21" s="26">
        <f>IF($C21=J$20,$B21*G21,0)</f>
        <v>0</v>
      </c>
      <c r="K21" s="26">
        <f>IF($D21=K$20,$B21*G21,0)</f>
        <v>13</v>
      </c>
      <c r="L21" s="26">
        <f>IF($D21=L$20,$B21*G21,0)</f>
        <v>0</v>
      </c>
      <c r="M21" s="26">
        <f>IF($D21=M$20,$B21,0)</f>
        <v>0</v>
      </c>
      <c r="N21" s="26">
        <f>IF($D21=N$20,$B21*G21,0)</f>
        <v>0</v>
      </c>
      <c r="O21" s="26">
        <f>IF($E21=O$20,$B21*G21,0)</f>
        <v>13</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9" t="s">
        <v>198</v>
      </c>
      <c r="B22" s="220">
        <v>2</v>
      </c>
      <c r="C22" s="26" t="str">
        <f>IFERROR(VLOOKUP($A22,'Species guilds'!$A$3:$F$301,3,FALSE),0)</f>
        <v>T</v>
      </c>
      <c r="D22" s="26" t="str">
        <f>IFERROR(VLOOKUP($A22,'Species guilds'!$A$3:$F$301,4,FALSE),0)</f>
        <v>S</v>
      </c>
      <c r="E22" s="26" t="str">
        <f>IFERROR(VLOOKUP($A22,'Species guilds'!$A$3:$F$301,5,FALSE),0)</f>
        <v>T</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9" t="s">
        <v>167</v>
      </c>
      <c r="B23" s="220">
        <v>12</v>
      </c>
      <c r="C23" s="26" t="str">
        <f>IFERROR(VLOOKUP($A23,'Species guilds'!$A$3:$F$301,3,FALSE),0)</f>
        <v>W</v>
      </c>
      <c r="D23" s="26" t="str">
        <f>IFERROR(VLOOKUP($A23,'Species guilds'!$A$3:$F$301,4,FALSE),0)</f>
        <v>S</v>
      </c>
      <c r="E23" s="26" t="str">
        <f>IFERROR(VLOOKUP($A23,'Species guilds'!$A$3:$F$301,5,FALSE),0)</f>
        <v>T</v>
      </c>
      <c r="F23" s="26">
        <f t="shared" si="0"/>
        <v>12</v>
      </c>
      <c r="G23" s="26">
        <f t="shared" si="1"/>
        <v>1</v>
      </c>
      <c r="H23" s="26">
        <f t="shared" si="2"/>
        <v>0</v>
      </c>
      <c r="I23" s="26">
        <f t="shared" si="3"/>
        <v>0</v>
      </c>
      <c r="J23" s="26">
        <f t="shared" si="4"/>
        <v>12</v>
      </c>
      <c r="K23" s="26">
        <f t="shared" si="5"/>
        <v>12</v>
      </c>
      <c r="L23" s="26">
        <f t="shared" si="6"/>
        <v>0</v>
      </c>
      <c r="M23" s="26">
        <f t="shared" si="7"/>
        <v>0</v>
      </c>
      <c r="N23" s="26">
        <f t="shared" si="8"/>
        <v>0</v>
      </c>
      <c r="O23" s="26">
        <f t="shared" si="9"/>
        <v>0</v>
      </c>
      <c r="P23" s="26">
        <f t="shared" si="10"/>
        <v>0</v>
      </c>
      <c r="Q23" s="26">
        <f t="shared" si="11"/>
        <v>12</v>
      </c>
      <c r="R23" s="79" t="str">
        <f t="shared" si="12"/>
        <v/>
      </c>
      <c r="T23" s="43"/>
      <c r="U23" s="43"/>
      <c r="V23" s="43"/>
      <c r="W23" s="43"/>
      <c r="X23" s="43"/>
      <c r="Y23" s="43"/>
    </row>
    <row r="24" spans="1:25" x14ac:dyDescent="0.25">
      <c r="A24" s="156"/>
      <c r="B24" s="157"/>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79" t="str">
        <f t="shared" si="12"/>
        <v/>
      </c>
      <c r="T24" s="43"/>
      <c r="U24" s="43"/>
      <c r="V24" s="43"/>
      <c r="W24" s="43"/>
      <c r="X24" s="43"/>
      <c r="Y24" s="43"/>
    </row>
    <row r="25" spans="1:25" x14ac:dyDescent="0.25">
      <c r="A25" s="156"/>
      <c r="B25" s="157"/>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27</v>
      </c>
      <c r="F54" s="9">
        <f>SUM(F21:F53)</f>
        <v>27</v>
      </c>
      <c r="G54" s="2"/>
      <c r="H54" s="9">
        <f>SUM(H21:H53)</f>
        <v>13</v>
      </c>
      <c r="I54" s="9">
        <f t="shared" ref="I54:Q54" si="14">SUM(I21:I53)</f>
        <v>2</v>
      </c>
      <c r="J54" s="9">
        <f t="shared" si="14"/>
        <v>12</v>
      </c>
      <c r="K54" s="9">
        <f t="shared" si="14"/>
        <v>27</v>
      </c>
      <c r="L54" s="9">
        <f t="shared" si="14"/>
        <v>0</v>
      </c>
      <c r="M54" s="9">
        <f t="shared" si="14"/>
        <v>0</v>
      </c>
      <c r="N54" s="9">
        <f t="shared" si="14"/>
        <v>0</v>
      </c>
      <c r="O54" s="9">
        <f t="shared" si="14"/>
        <v>13</v>
      </c>
      <c r="P54" s="9">
        <f t="shared" si="14"/>
        <v>0</v>
      </c>
      <c r="Q54" s="9">
        <f t="shared" si="14"/>
        <v>14</v>
      </c>
    </row>
  </sheetData>
  <sheetProtection sheet="1" objects="1" scenarios="1"/>
  <mergeCells count="17">
    <mergeCell ref="B15:D15"/>
    <mergeCell ref="K19:N19"/>
    <mergeCell ref="B4:D4"/>
    <mergeCell ref="B5:D5"/>
    <mergeCell ref="B6:D6"/>
    <mergeCell ref="O19:Q19"/>
    <mergeCell ref="B13:D13"/>
    <mergeCell ref="B14:D14"/>
    <mergeCell ref="G19:G20"/>
    <mergeCell ref="H19:J19"/>
    <mergeCell ref="B17:D17"/>
    <mergeCell ref="B12:D12"/>
    <mergeCell ref="G18:Q18"/>
    <mergeCell ref="B9:D9"/>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H22" zoomScaleNormal="100" workbookViewId="0">
      <selection activeCell="I24" sqref="I2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6" t="str">
        <f>'Enter field data'!B4</f>
        <v>Dave Bolha</v>
      </c>
      <c r="C4" s="207"/>
      <c r="D4" s="85"/>
      <c r="E4" s="65"/>
      <c r="F4" s="89" t="s">
        <v>836</v>
      </c>
      <c r="G4" s="83"/>
      <c r="H4" s="83"/>
      <c r="I4" s="83"/>
      <c r="J4" s="83"/>
      <c r="K4" s="83"/>
      <c r="L4" s="83"/>
      <c r="M4" s="83"/>
      <c r="N4" s="83"/>
      <c r="O4" s="83"/>
      <c r="P4" s="83"/>
    </row>
    <row r="5" spans="1:16" ht="15" x14ac:dyDescent="0.2">
      <c r="A5" s="65" t="s">
        <v>831</v>
      </c>
      <c r="B5" s="208">
        <f>'Enter field data'!B5</f>
        <v>42018</v>
      </c>
      <c r="C5" s="209"/>
      <c r="D5" s="85"/>
      <c r="E5" s="65"/>
      <c r="F5" s="90"/>
      <c r="G5" s="83" t="s">
        <v>875</v>
      </c>
      <c r="H5" s="83"/>
      <c r="I5" s="83"/>
      <c r="J5" s="83"/>
      <c r="K5" s="83"/>
      <c r="L5" s="83"/>
      <c r="M5" s="83"/>
      <c r="N5" s="83"/>
      <c r="O5" s="83"/>
      <c r="P5" s="83"/>
    </row>
    <row r="6" spans="1:16" ht="15" x14ac:dyDescent="0.2">
      <c r="A6" s="65" t="s">
        <v>830</v>
      </c>
      <c r="B6" s="208">
        <f>'Enter field data'!B6</f>
        <v>41830</v>
      </c>
      <c r="C6" s="209"/>
      <c r="D6" s="85"/>
      <c r="E6" s="65"/>
      <c r="F6" s="91"/>
      <c r="G6" s="83" t="s">
        <v>876</v>
      </c>
      <c r="H6" s="83"/>
      <c r="I6" s="83"/>
      <c r="J6" s="83"/>
      <c r="K6" s="83"/>
      <c r="L6" s="83"/>
      <c r="M6" s="83"/>
      <c r="N6" s="83"/>
      <c r="O6" s="83"/>
      <c r="P6" s="83"/>
    </row>
    <row r="7" spans="1:16" x14ac:dyDescent="0.2">
      <c r="A7" s="65" t="s">
        <v>869</v>
      </c>
      <c r="B7" s="206">
        <f>'Enter field data'!B7</f>
        <v>10021317</v>
      </c>
      <c r="C7" s="210"/>
      <c r="D7" s="85"/>
      <c r="E7" s="65"/>
      <c r="F7" s="65"/>
    </row>
    <row r="8" spans="1:16" x14ac:dyDescent="0.2">
      <c r="A8" s="65" t="s">
        <v>872</v>
      </c>
      <c r="B8" s="206" t="str">
        <f>'Enter field data'!B8</f>
        <v>Roy Creek US Cty O</v>
      </c>
      <c r="C8" s="210"/>
      <c r="D8" s="85"/>
      <c r="E8" s="65"/>
      <c r="F8" s="65"/>
    </row>
    <row r="9" spans="1:16" x14ac:dyDescent="0.2">
      <c r="A9" s="65" t="s">
        <v>49</v>
      </c>
      <c r="B9" s="206" t="str">
        <f>'Enter field data'!B9</f>
        <v>Fish survey</v>
      </c>
      <c r="C9" s="210"/>
      <c r="D9" s="85"/>
      <c r="E9" s="65"/>
      <c r="F9" s="65"/>
    </row>
    <row r="10" spans="1:16" x14ac:dyDescent="0.2">
      <c r="A10" s="65"/>
      <c r="B10" s="66"/>
      <c r="C10" s="85"/>
      <c r="D10" s="85"/>
      <c r="E10" s="65"/>
      <c r="F10" s="65"/>
    </row>
    <row r="11" spans="1:16" x14ac:dyDescent="0.2">
      <c r="A11" s="65" t="s">
        <v>34</v>
      </c>
      <c r="B11" s="206" t="str">
        <f>'Enter field data'!B11</f>
        <v xml:space="preserve">Roy Creek </v>
      </c>
      <c r="C11" s="210"/>
      <c r="D11" s="85"/>
      <c r="E11" s="65"/>
      <c r="F11" s="92"/>
    </row>
    <row r="12" spans="1:16" x14ac:dyDescent="0.2">
      <c r="A12" s="65" t="s">
        <v>37</v>
      </c>
      <c r="B12" s="206" t="str">
        <f>'Enter field data'!B12</f>
        <v>Green Lake</v>
      </c>
      <c r="C12" s="210"/>
      <c r="D12" s="85"/>
      <c r="E12" s="65"/>
      <c r="F12" s="65"/>
    </row>
    <row r="13" spans="1:16" x14ac:dyDescent="0.2">
      <c r="A13" s="65" t="s">
        <v>35</v>
      </c>
      <c r="B13" s="206">
        <f>'Enter field data'!B13</f>
        <v>0</v>
      </c>
      <c r="C13" s="210"/>
      <c r="D13" s="85"/>
      <c r="E13" s="65"/>
      <c r="F13" s="92"/>
    </row>
    <row r="14" spans="1:16" x14ac:dyDescent="0.2">
      <c r="A14" s="65" t="s">
        <v>36</v>
      </c>
      <c r="B14" s="206">
        <f>'Enter field data'!B14</f>
        <v>148200</v>
      </c>
      <c r="C14" s="210"/>
      <c r="D14" s="85"/>
      <c r="E14" s="65"/>
      <c r="F14" s="92"/>
    </row>
    <row r="15" spans="1:16" ht="15" x14ac:dyDescent="0.2">
      <c r="A15" s="65" t="s">
        <v>863</v>
      </c>
      <c r="B15" s="211" t="str">
        <f>'Enter field data'!B15</f>
        <v>0403020109</v>
      </c>
      <c r="C15" s="212"/>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6" t="s">
        <v>916</v>
      </c>
      <c r="B18" s="196"/>
      <c r="C18" s="197"/>
      <c r="D18" s="161" t="str">
        <f>'Enter field data'!$B$17</f>
        <v>Coldwater</v>
      </c>
      <c r="E18" s="170"/>
      <c r="F18" s="68"/>
      <c r="I18" s="141"/>
      <c r="J18" s="68"/>
      <c r="K18" s="68"/>
      <c r="L18" s="68"/>
      <c r="M18" s="68"/>
      <c r="N18" s="68"/>
    </row>
    <row r="19" spans="1:30" ht="12.75" customHeight="1" x14ac:dyDescent="0.2">
      <c r="A19" s="196" t="s">
        <v>850</v>
      </c>
      <c r="B19" s="196"/>
      <c r="C19" s="197"/>
      <c r="D19" s="198" t="s">
        <v>918</v>
      </c>
      <c r="E19" s="199"/>
      <c r="F19" s="93"/>
      <c r="I19" s="192"/>
      <c r="J19" s="192"/>
      <c r="K19" s="192"/>
      <c r="L19" s="143"/>
      <c r="M19" s="143"/>
      <c r="N19" s="142"/>
    </row>
    <row r="20" spans="1:30" x14ac:dyDescent="0.2">
      <c r="A20" s="65" t="s">
        <v>851</v>
      </c>
      <c r="B20" s="65"/>
      <c r="C20" s="67"/>
      <c r="D20" s="193"/>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61" t="str">
        <f>'Enter field data'!$B$17</f>
        <v>Coldwater</v>
      </c>
      <c r="E29" s="170"/>
      <c r="H29" s="148"/>
      <c r="I29" s="100" t="s">
        <v>913</v>
      </c>
      <c r="L29" s="178" t="s">
        <v>6</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13</v>
      </c>
      <c r="C36" s="109" t="s">
        <v>9</v>
      </c>
      <c r="D36" s="110">
        <f>'Enter field data'!$K$54</f>
        <v>27</v>
      </c>
      <c r="E36" s="111" t="s">
        <v>12</v>
      </c>
      <c r="F36" s="112">
        <f>'Enter field data'!$O$54</f>
        <v>13</v>
      </c>
      <c r="H36" s="148"/>
      <c r="I36" s="108" t="s">
        <v>6</v>
      </c>
      <c r="J36" s="81">
        <f>'Enter field data'!$H$54</f>
        <v>13</v>
      </c>
      <c r="K36" s="109" t="s">
        <v>9</v>
      </c>
      <c r="L36" s="110">
        <f>'Enter field data'!$K$54</f>
        <v>27</v>
      </c>
      <c r="M36" s="111" t="s">
        <v>12</v>
      </c>
      <c r="N36" s="112">
        <f>'Enter field data'!$O$54</f>
        <v>13</v>
      </c>
      <c r="P36" s="108" t="s">
        <v>6</v>
      </c>
      <c r="Q36" s="81">
        <f>'Enter field data'!$H$54</f>
        <v>13</v>
      </c>
      <c r="R36" s="109" t="s">
        <v>9</v>
      </c>
      <c r="S36" s="110">
        <f>'Enter field data'!$K$54</f>
        <v>27</v>
      </c>
      <c r="T36" s="111" t="s">
        <v>12</v>
      </c>
      <c r="U36" s="112">
        <f>'Enter field data'!$O$54</f>
        <v>13</v>
      </c>
      <c r="W36" s="108" t="s">
        <v>6</v>
      </c>
      <c r="X36" s="81">
        <f>'Enter field data'!$H$54</f>
        <v>13</v>
      </c>
      <c r="Y36" s="109" t="s">
        <v>9</v>
      </c>
      <c r="Z36" s="110">
        <f>'Enter field data'!$K$54</f>
        <v>27</v>
      </c>
      <c r="AA36" s="111" t="s">
        <v>12</v>
      </c>
      <c r="AB36" s="112">
        <f>'Enter field data'!$O$54</f>
        <v>13</v>
      </c>
    </row>
    <row r="37" spans="1:28" x14ac:dyDescent="0.2">
      <c r="A37" s="108" t="s">
        <v>7</v>
      </c>
      <c r="B37" s="81">
        <f>'Enter field data'!$I$54</f>
        <v>2</v>
      </c>
      <c r="C37" s="109" t="s">
        <v>10</v>
      </c>
      <c r="D37" s="110">
        <f>'Enter field data'!$L$54</f>
        <v>0</v>
      </c>
      <c r="E37" s="111" t="s">
        <v>13</v>
      </c>
      <c r="F37" s="112">
        <f>'Enter field data'!$P$54</f>
        <v>0</v>
      </c>
      <c r="H37" s="148"/>
      <c r="I37" s="108" t="s">
        <v>7</v>
      </c>
      <c r="J37" s="81">
        <f>'Enter field data'!$I$54</f>
        <v>2</v>
      </c>
      <c r="K37" s="109" t="s">
        <v>10</v>
      </c>
      <c r="L37" s="110">
        <f>'Enter field data'!$L$54</f>
        <v>0</v>
      </c>
      <c r="M37" s="111" t="s">
        <v>13</v>
      </c>
      <c r="N37" s="112">
        <f>'Enter field data'!$P$54</f>
        <v>0</v>
      </c>
      <c r="P37" s="108" t="s">
        <v>7</v>
      </c>
      <c r="Q37" s="81">
        <f>'Enter field data'!$I$54</f>
        <v>2</v>
      </c>
      <c r="R37" s="109" t="s">
        <v>10</v>
      </c>
      <c r="S37" s="110">
        <f>'Enter field data'!$L$54</f>
        <v>0</v>
      </c>
      <c r="T37" s="111" t="s">
        <v>13</v>
      </c>
      <c r="U37" s="112">
        <f>'Enter field data'!$P$54</f>
        <v>0</v>
      </c>
      <c r="W37" s="108" t="s">
        <v>7</v>
      </c>
      <c r="X37" s="81">
        <f>'Enter field data'!$I$54</f>
        <v>2</v>
      </c>
      <c r="Y37" s="109" t="s">
        <v>10</v>
      </c>
      <c r="Z37" s="110">
        <f>'Enter field data'!$L$54</f>
        <v>0</v>
      </c>
      <c r="AA37" s="111" t="s">
        <v>13</v>
      </c>
      <c r="AB37" s="112">
        <f>'Enter field data'!$P$54</f>
        <v>0</v>
      </c>
    </row>
    <row r="38" spans="1:28" x14ac:dyDescent="0.2">
      <c r="A38" s="108" t="s">
        <v>8</v>
      </c>
      <c r="B38" s="81">
        <f>'Enter field data'!$J$54</f>
        <v>12</v>
      </c>
      <c r="C38" s="109" t="s">
        <v>11</v>
      </c>
      <c r="D38" s="110">
        <f>'Enter field data'!$N$54</f>
        <v>0</v>
      </c>
      <c r="E38" s="111" t="s">
        <v>14</v>
      </c>
      <c r="F38" s="112">
        <f>'Enter field data'!$Q$54</f>
        <v>14</v>
      </c>
      <c r="H38" s="148"/>
      <c r="I38" s="108" t="s">
        <v>8</v>
      </c>
      <c r="J38" s="81">
        <f>'Enter field data'!$J$54</f>
        <v>12</v>
      </c>
      <c r="K38" s="109" t="s">
        <v>11</v>
      </c>
      <c r="L38" s="110">
        <f>'Enter field data'!$N$54</f>
        <v>0</v>
      </c>
      <c r="M38" s="111" t="s">
        <v>14</v>
      </c>
      <c r="N38" s="112">
        <f>'Enter field data'!$Q$54</f>
        <v>14</v>
      </c>
      <c r="P38" s="108" t="s">
        <v>8</v>
      </c>
      <c r="Q38" s="81">
        <f>'Enter field data'!$J$54</f>
        <v>12</v>
      </c>
      <c r="R38" s="109" t="s">
        <v>11</v>
      </c>
      <c r="S38" s="110">
        <f>'Enter field data'!$N$54</f>
        <v>0</v>
      </c>
      <c r="T38" s="111" t="s">
        <v>14</v>
      </c>
      <c r="U38" s="112">
        <f>'Enter field data'!$Q$54</f>
        <v>14</v>
      </c>
      <c r="W38" s="108" t="s">
        <v>8</v>
      </c>
      <c r="X38" s="81">
        <f>'Enter field data'!$J$54</f>
        <v>12</v>
      </c>
      <c r="Y38" s="109" t="s">
        <v>11</v>
      </c>
      <c r="Z38" s="110">
        <f>'Enter field data'!$N$54</f>
        <v>0</v>
      </c>
      <c r="AA38" s="111" t="s">
        <v>14</v>
      </c>
      <c r="AB38" s="112">
        <f>'Enter field data'!$Q$54</f>
        <v>14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0.48148148148148145</v>
      </c>
      <c r="C44" s="118">
        <f>VLOOKUP($D$29,'Expected guild %'!$A$5:$G$13,2,FALSE)</f>
        <v>0.75</v>
      </c>
      <c r="D44" s="118">
        <f>VLOOKUP($D$29,'Expected guild %'!$A$5:$G$13,3,FALSE)</f>
        <v>1</v>
      </c>
      <c r="E44" s="119" t="str">
        <f>IF(AND(C44&lt;=B44,B44&lt;= D44)=TRUE,"Y","N")</f>
        <v>N</v>
      </c>
      <c r="F44" s="65"/>
      <c r="H44" s="148"/>
      <c r="I44" s="108" t="s">
        <v>6</v>
      </c>
      <c r="J44" s="117">
        <f>($B$36/'Enter field data'!$F$54)</f>
        <v>0.48148148148148145</v>
      </c>
      <c r="K44" s="118">
        <f>VLOOKUP(L$29,'Expected guild %'!$A$5:$G$13,2,FALSE)</f>
        <v>0.75</v>
      </c>
      <c r="L44" s="118">
        <f>VLOOKUP(L$29,'Expected guild %'!$A$5:$G$13,3,FALSE)</f>
        <v>1</v>
      </c>
      <c r="M44" s="119" t="str">
        <f>IF(AND(K44&lt;=J44,J44&lt;= L44)=TRUE,"Y","N")</f>
        <v>N</v>
      </c>
      <c r="N44" s="65"/>
      <c r="P44" s="108" t="s">
        <v>6</v>
      </c>
      <c r="Q44" s="117">
        <f>($B$36/'Enter field data'!$F$54)</f>
        <v>0.48148148148148145</v>
      </c>
      <c r="R44" s="118" t="e">
        <f>VLOOKUP(S$29,'Expected guild %'!$A$5:$G$13,2,FALSE)</f>
        <v>#N/A</v>
      </c>
      <c r="S44" s="118" t="e">
        <f>VLOOKUP(S$29,'Expected guild %'!$A$5:$G$13,3,FALSE)</f>
        <v>#N/A</v>
      </c>
      <c r="T44" s="119" t="e">
        <f>IF(AND(R44&lt;=Q44,Q44&lt;= S44)=TRUE,"Y","N")</f>
        <v>#N/A</v>
      </c>
      <c r="U44" s="65"/>
      <c r="W44" s="108" t="s">
        <v>6</v>
      </c>
      <c r="X44" s="117">
        <f>($B$36/'Enter field data'!$F$54)</f>
        <v>0.48148148148148145</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7.407407407407407E-2</v>
      </c>
      <c r="C45" s="118">
        <f>VLOOKUP($D$29,'Expected guild %'!$A$5:$G$13,4,FALSE)</f>
        <v>0</v>
      </c>
      <c r="D45" s="118">
        <f>VLOOKUP($D$29,'Expected guild %'!$A$5:$G$13,5,FALSE)</f>
        <v>0.25</v>
      </c>
      <c r="E45" s="119" t="str">
        <f>IF(AND(C45&lt;=B45,B45&lt;= D45)=TRUE,"Y","N")</f>
        <v>Y</v>
      </c>
      <c r="F45" s="65"/>
      <c r="H45" s="148"/>
      <c r="I45" s="108" t="s">
        <v>7</v>
      </c>
      <c r="J45" s="117">
        <f>($B$37/'Enter field data'!$F$54)</f>
        <v>7.407407407407407E-2</v>
      </c>
      <c r="K45" s="118">
        <f>VLOOKUP(L$29,'Expected guild %'!$A$5:$G$13,4,FALSE)</f>
        <v>0</v>
      </c>
      <c r="L45" s="118">
        <f>VLOOKUP(L$29,'Expected guild %'!$A$5:$G$13,5,FALSE)</f>
        <v>0.25</v>
      </c>
      <c r="M45" s="119" t="str">
        <f>IF(AND(K45&lt;=J45,J45&lt;= L45)=TRUE,"Y","N")</f>
        <v>Y</v>
      </c>
      <c r="N45" s="65"/>
      <c r="P45" s="108" t="s">
        <v>7</v>
      </c>
      <c r="Q45" s="117">
        <f>($B$37/'Enter field data'!$F$54)</f>
        <v>7.407407407407407E-2</v>
      </c>
      <c r="R45" s="118" t="e">
        <f>VLOOKUP(S$29,'Expected guild %'!$A$5:$G$13,4,FALSE)</f>
        <v>#N/A</v>
      </c>
      <c r="S45" s="118" t="e">
        <f>VLOOKUP(S$29,'Expected guild %'!$A$5:$G$13,5,FALSE)</f>
        <v>#N/A</v>
      </c>
      <c r="T45" s="119" t="e">
        <f>IF(AND(R45&lt;=Q45,Q45&lt;= S45)=TRUE,"Y","N")</f>
        <v>#N/A</v>
      </c>
      <c r="U45" s="65"/>
      <c r="W45" s="108" t="s">
        <v>7</v>
      </c>
      <c r="X45" s="117">
        <f>($B$37/'Enter field data'!$F$54)</f>
        <v>7.407407407407407E-2</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0.44444444444444442</v>
      </c>
      <c r="C46" s="118">
        <f>VLOOKUP($D$29,'Expected guild %'!$A$5:$G$13,6,FALSE)</f>
        <v>0</v>
      </c>
      <c r="D46" s="118">
        <f>VLOOKUP($D$29,'Expected guild %'!$A$5:$G$13,7,FALSE)</f>
        <v>0.05</v>
      </c>
      <c r="E46" s="119" t="str">
        <f>IF(AND(C46&lt;=B46,B46&lt;= D46)=TRUE,"Y","N")</f>
        <v>N</v>
      </c>
      <c r="F46" s="65"/>
      <c r="H46" s="148"/>
      <c r="I46" s="108" t="s">
        <v>8</v>
      </c>
      <c r="J46" s="117">
        <f>($B$38/'Enter field data'!$F$54)</f>
        <v>0.44444444444444442</v>
      </c>
      <c r="K46" s="118">
        <f>VLOOKUP(L$29,'Expected guild %'!$A$5:$G$13,6,FALSE)</f>
        <v>0</v>
      </c>
      <c r="L46" s="118">
        <f>VLOOKUP(L$29,'Expected guild %'!$A$5:$G$13,7,FALSE)</f>
        <v>0.05</v>
      </c>
      <c r="M46" s="119" t="str">
        <f>IF(AND(K46&lt;=J46,J46&lt;= L46)=TRUE,"Y","N")</f>
        <v>N</v>
      </c>
      <c r="N46" s="65"/>
      <c r="P46" s="108" t="s">
        <v>8</v>
      </c>
      <c r="Q46" s="117">
        <f>($B$38/'Enter field data'!$F$54)</f>
        <v>0.44444444444444442</v>
      </c>
      <c r="R46" s="118" t="e">
        <f>VLOOKUP(S$29,'Expected guild %'!$A$5:$G$13,6,FALSE)</f>
        <v>#N/A</v>
      </c>
      <c r="S46" s="118" t="e">
        <f>VLOOKUP(S$29,'Expected guild %'!$A$5:$G$13,7,FALSE)</f>
        <v>#N/A</v>
      </c>
      <c r="T46" s="119" t="e">
        <f>IF(AND(R46&lt;=Q46,Q46&lt;= S46)=TRUE,"Y","N")</f>
        <v>#N/A</v>
      </c>
      <c r="U46" s="65"/>
      <c r="W46" s="108" t="s">
        <v>8</v>
      </c>
      <c r="X46" s="117">
        <f>($B$38/'Enter field data'!$F$54)</f>
        <v>0.44444444444444442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1</v>
      </c>
      <c r="C51" s="120">
        <f>VLOOKUP($D$29,'Expected guild %'!$A$19:$G$27,2,FALSE)</f>
        <v>0</v>
      </c>
      <c r="D51" s="118">
        <f>VLOOKUP($D$29,'Expected guild %'!$A$19:$G$27,3,FALSE)</f>
        <v>1</v>
      </c>
      <c r="E51" s="119" t="str">
        <f>IF(AND(C51&lt;=B51,B51&lt;= D51)=TRUE,"Y","N")</f>
        <v>Y</v>
      </c>
      <c r="F51" s="65"/>
      <c r="H51" s="148"/>
      <c r="I51" s="108" t="s">
        <v>9</v>
      </c>
      <c r="J51" s="118">
        <f>($D$36/'Enter field data'!$F$54)</f>
        <v>1</v>
      </c>
      <c r="K51" s="120">
        <f>VLOOKUP(L$29,'Expected guild %'!$A$19:$G$27,2,FALSE)</f>
        <v>0</v>
      </c>
      <c r="L51" s="118">
        <f>VLOOKUP(L$29,'Expected guild %'!$A$19:$G$27,3,FALSE)</f>
        <v>1</v>
      </c>
      <c r="M51" s="119" t="str">
        <f>IF(AND(K51&lt;=J51,J51&lt;= L51)=TRUE,"Y","N")</f>
        <v>Y</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v>
      </c>
      <c r="D52" s="118">
        <f>VLOOKUP($D$29,'Expected guild %'!$A$19:$G$27,5,FALSE)</f>
        <v>1</v>
      </c>
      <c r="E52" s="119" t="str">
        <f>IF(AND(C52&lt;=B52,B52&lt;= D52)=TRUE,"Y","N")</f>
        <v>Y</v>
      </c>
      <c r="F52" s="65"/>
      <c r="H52" s="148"/>
      <c r="I52" s="108" t="s">
        <v>10</v>
      </c>
      <c r="J52" s="118">
        <f>($D$37/'Enter field data'!$F$54)</f>
        <v>0</v>
      </c>
      <c r="K52" s="120">
        <f>VLOOKUP(L$29,'Expected guild %'!$A$19:$G$27,4,FALSE)</f>
        <v>0</v>
      </c>
      <c r="L52" s="118">
        <f>VLOOKUP(L$29,'Expected guild %'!$A$19:$G$27,5,FALSE)</f>
        <v>1</v>
      </c>
      <c r="M52" s="119" t="str">
        <f>IF(AND(K52&lt;=J52,J52&lt;= L52)=TRUE,"Y","N")</f>
        <v>Y</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f>VLOOKUP(L$29,'Expected guild %'!$A$19:$G$27,6,FALSE)</f>
        <v>0</v>
      </c>
      <c r="L53" s="118">
        <f>VLOOKUP(L$29,'Expected guild %'!$A$19:$G$27,7,FALSE)</f>
        <v>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0.48148148148148145</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0.51851851851851849</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3"/>
      <c r="B82" s="202"/>
      <c r="C82" s="202"/>
      <c r="D82" s="202"/>
      <c r="E82" s="202"/>
      <c r="F82" s="202"/>
      <c r="G82" s="202"/>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5" t="s">
        <v>816</v>
      </c>
      <c r="B88" s="71" t="s">
        <v>817</v>
      </c>
      <c r="C88" s="72"/>
      <c r="D88" s="73" t="e">
        <f>'Weather Results'!$C$17</f>
        <v>#DIV/0!</v>
      </c>
      <c r="H88" s="148"/>
    </row>
    <row r="89" spans="1:23" x14ac:dyDescent="0.2">
      <c r="A89" s="205"/>
      <c r="B89" s="71" t="s">
        <v>818</v>
      </c>
      <c r="C89" s="72"/>
      <c r="D89" s="73">
        <f>'Weather Results'!$C$18</f>
        <v>18.861150000000002</v>
      </c>
      <c r="H89" s="148"/>
    </row>
    <row r="90" spans="1:23" x14ac:dyDescent="0.2">
      <c r="A90" s="205"/>
      <c r="B90" s="71" t="s">
        <v>819</v>
      </c>
      <c r="C90" s="72"/>
      <c r="D90" s="73">
        <f>'Weather Results'!$C$19</f>
        <v>22.040990000000001</v>
      </c>
      <c r="H90" s="148"/>
    </row>
    <row r="91" spans="1:23" x14ac:dyDescent="0.2">
      <c r="A91" s="205"/>
      <c r="B91" s="74" t="s">
        <v>820</v>
      </c>
      <c r="C91" s="72"/>
      <c r="D91" s="75" t="e">
        <f>'Weather Results'!$C$20</f>
        <v>#DIV/0!</v>
      </c>
      <c r="H91" s="148"/>
    </row>
    <row r="92" spans="1:23" x14ac:dyDescent="0.2">
      <c r="H92" s="148"/>
    </row>
    <row r="93" spans="1:23" ht="12.75" customHeight="1" x14ac:dyDescent="0.2">
      <c r="A93" s="204" t="s">
        <v>821</v>
      </c>
      <c r="B93" s="71" t="s">
        <v>822</v>
      </c>
      <c r="C93" s="72"/>
      <c r="D93" s="73" t="e">
        <f>'Weather Results'!$C$22</f>
        <v>#DIV/0!</v>
      </c>
      <c r="H93" s="148"/>
    </row>
    <row r="94" spans="1:23" x14ac:dyDescent="0.2">
      <c r="A94" s="204"/>
      <c r="B94" s="71" t="s">
        <v>823</v>
      </c>
      <c r="C94" s="72"/>
      <c r="D94" s="73" t="e">
        <f>'Weather Results'!$C$23</f>
        <v>#DIV/0!</v>
      </c>
      <c r="H94" s="148"/>
    </row>
    <row r="95" spans="1:23" x14ac:dyDescent="0.2">
      <c r="A95" s="204"/>
      <c r="B95" s="71" t="s">
        <v>824</v>
      </c>
      <c r="C95" s="72"/>
      <c r="D95" s="73" t="e">
        <f>'Weather Results'!$C$24</f>
        <v>#DIV/0!</v>
      </c>
      <c r="H95" s="148"/>
    </row>
    <row r="96" spans="1:23" x14ac:dyDescent="0.2">
      <c r="A96" s="204"/>
      <c r="B96" s="71" t="s">
        <v>825</v>
      </c>
      <c r="C96" s="72"/>
      <c r="D96" s="73" t="e">
        <f>'Weather Results'!$C$25</f>
        <v>#DIV/0!</v>
      </c>
      <c r="H96" s="148"/>
    </row>
    <row r="97" spans="1:8" x14ac:dyDescent="0.2">
      <c r="A97" s="204"/>
      <c r="B97" s="71" t="s">
        <v>826</v>
      </c>
      <c r="C97" s="72"/>
      <c r="D97" s="73" t="e">
        <f>'Weather Results'!$C$26</f>
        <v>#DIV/0!</v>
      </c>
      <c r="H97" s="148"/>
    </row>
    <row r="98" spans="1:8" x14ac:dyDescent="0.2">
      <c r="A98" s="204"/>
      <c r="B98" s="71" t="s">
        <v>827</v>
      </c>
      <c r="C98" s="72"/>
      <c r="D98" s="73">
        <f>'Weather Results'!$C$27</f>
        <v>1.9490116666666666</v>
      </c>
      <c r="H98" s="148"/>
    </row>
    <row r="99" spans="1:8" x14ac:dyDescent="0.2">
      <c r="A99" s="204"/>
      <c r="B99" s="71" t="s">
        <v>828</v>
      </c>
      <c r="C99" s="72"/>
      <c r="D99" s="73">
        <f>'Weather Results'!$C$28</f>
        <v>4.1966479999999997</v>
      </c>
      <c r="H99" s="148"/>
    </row>
    <row r="100" spans="1:8" x14ac:dyDescent="0.2">
      <c r="A100" s="204"/>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0"/>
      <c r="B103" s="201"/>
      <c r="C103" s="201"/>
      <c r="D103" s="201"/>
      <c r="E103" s="201"/>
      <c r="F103" s="202"/>
      <c r="G103" s="202"/>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0"/>
      <c r="B108" s="202"/>
      <c r="C108" s="202"/>
      <c r="D108" s="202"/>
      <c r="E108" s="202"/>
      <c r="F108" s="202"/>
      <c r="G108" s="202"/>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41830</v>
      </c>
    </row>
    <row r="2" spans="1:5" s="39" customFormat="1" x14ac:dyDescent="0.25">
      <c r="A2" s="213"/>
      <c r="B2" s="61" t="s">
        <v>804</v>
      </c>
      <c r="C2" s="60" t="str">
        <f>'Enter field data'!$B$15</f>
        <v>0403020109</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20140710</v>
      </c>
    </row>
    <row r="5" spans="1:5" hidden="1" x14ac:dyDescent="0.25">
      <c r="A5" s="37"/>
      <c r="B5" s="37" t="s">
        <v>805</v>
      </c>
      <c r="C5" s="50" t="str">
        <f>CONCATENATE(YEAR(C1-30),IF(MONTH(C1-30)&lt;10,"0"&amp;MONTH(C1-30),MONTH(C1-30)),IF(DAY(C1-30)&lt;10,"0"&amp;DAY(C1-30),DAY(C1-30)))</f>
        <v>20140610</v>
      </c>
    </row>
    <row r="6" spans="1:5" hidden="1" x14ac:dyDescent="0.25">
      <c r="A6" s="37"/>
      <c r="B6" s="37" t="s">
        <v>806</v>
      </c>
      <c r="C6" s="50" t="str">
        <f>CONCATENATE(YEAR(C1-90),IF(MONTH(C1-90)&lt;10,"0"&amp;MONTH(C1-90),MONTH(C1-90)),IF(DAY(C1-90)&lt;10,"0"&amp;DAY(C1-90),DAY(C1-90)))</f>
        <v>20140411</v>
      </c>
    </row>
    <row r="7" spans="1:5" hidden="1" x14ac:dyDescent="0.25">
      <c r="A7" s="37"/>
      <c r="B7" s="37" t="s">
        <v>807</v>
      </c>
      <c r="C7" s="50" t="str">
        <f>CONCATENATE(YEAR(C1-365),IF(MONTH(C1-365)&lt;10,"0"&amp;MONTH(C1-365),MONTH(C1-365)),IF(DAY(C1-365)&lt;10,"0"&amp;DAY(C1-365),DAY(C1-365)))</f>
        <v>20130710</v>
      </c>
    </row>
    <row r="8" spans="1:5" hidden="1" x14ac:dyDescent="0.25">
      <c r="A8" s="37"/>
      <c r="B8" s="37" t="s">
        <v>808</v>
      </c>
      <c r="C8" s="50" t="str">
        <f>CONCATENATE(YEAR(C1-1460),IF(MONTH(C1-1460)&lt;10,"0"&amp;MONTH(C1-1460),MONTH(C1-1460)),IF(DAY(C1-1460)&lt;10,"0"&amp;DAY(C1-1460),DAY(C1-1460)))</f>
        <v>20100711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20</v>
      </c>
    </row>
    <row r="12" spans="1:5" hidden="1" x14ac:dyDescent="0.25">
      <c r="A12" s="37"/>
      <c r="B12" s="37" t="s">
        <v>812</v>
      </c>
      <c r="C12" s="50">
        <f>IF(MONTH($C$1)=7,DAY($C$1),0)+IF(MONTH($C$1)=8,30-DAY($C$1),0)</f>
        <v>10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18.861150000000002</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22.040990000000001</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1.9490116666666666</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4.1966479999999997</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1" t="s">
        <v>920</v>
      </c>
    </row>
    <row r="4" spans="1:12" x14ac:dyDescent="0.25">
      <c r="A4" s="216"/>
      <c r="B4" s="5" t="s">
        <v>62</v>
      </c>
      <c r="C4" s="5" t="s">
        <v>63</v>
      </c>
      <c r="D4" s="5" t="s">
        <v>62</v>
      </c>
      <c r="E4" s="5" t="s">
        <v>63</v>
      </c>
      <c r="F4" s="5" t="s">
        <v>62</v>
      </c>
      <c r="G4" s="5" t="s">
        <v>63</v>
      </c>
      <c r="J4" s="216"/>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2017-04-22T02:55:07Z</dcterms:modified>
</cp:coreProperties>
</file>