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D15" i="4" l="1"/>
  <c r="B13" i="4" l="1"/>
  <c r="C1" i="9"/>
  <c r="C15" i="9" s="1"/>
  <c r="C2" i="9"/>
  <c r="C6" i="9" l="1"/>
  <c r="C14" i="9"/>
  <c r="C10" i="9"/>
  <c r="C4" i="9"/>
  <c r="C22" i="9" s="1"/>
  <c r="C8" i="9"/>
  <c r="C12" i="9"/>
  <c r="C5" i="9"/>
  <c r="C7" i="9"/>
  <c r="C9" i="9"/>
  <c r="C11" i="9"/>
  <c r="C13" i="9"/>
  <c r="C19" i="9" l="1"/>
  <c r="D85" i="4" s="1"/>
  <c r="C24" i="9"/>
  <c r="D90" i="4" s="1"/>
  <c r="C23" i="9"/>
  <c r="D89" i="4" s="1"/>
  <c r="C28" i="9"/>
  <c r="D94" i="4" s="1"/>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P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M28" i="1" s="1"/>
  <c r="F28" i="1" s="1"/>
  <c r="D29" i="1"/>
  <c r="N29" i="1" s="1"/>
  <c r="D30" i="1"/>
  <c r="G30" i="1" s="1"/>
  <c r="D31" i="1"/>
  <c r="M31" i="1" s="1"/>
  <c r="F31" i="1" s="1"/>
  <c r="D32" i="1"/>
  <c r="D33" i="1"/>
  <c r="G33" i="1" s="1"/>
  <c r="D34" i="1"/>
  <c r="D38" i="1"/>
  <c r="M38" i="1" s="1"/>
  <c r="F38" i="1" s="1"/>
  <c r="D39" i="1"/>
  <c r="M39" i="1" s="1"/>
  <c r="F39" i="1" s="1"/>
  <c r="D40" i="1"/>
  <c r="M40" i="1" s="1"/>
  <c r="F40" i="1" s="1"/>
  <c r="D41" i="1"/>
  <c r="D42" i="1"/>
  <c r="M42" i="1" s="1"/>
  <c r="F42" i="1" s="1"/>
  <c r="D43" i="1"/>
  <c r="M43" i="1" s="1"/>
  <c r="F43" i="1" s="1"/>
  <c r="D44" i="1"/>
  <c r="M44" i="1" s="1"/>
  <c r="F44" i="1" s="1"/>
  <c r="D45" i="1"/>
  <c r="D46" i="1"/>
  <c r="D47" i="1"/>
  <c r="D48" i="1"/>
  <c r="D49" i="1"/>
  <c r="D50" i="1"/>
  <c r="D51" i="1"/>
  <c r="D52" i="1"/>
  <c r="D20" i="1"/>
  <c r="C21" i="1"/>
  <c r="R21" i="1" s="1"/>
  <c r="C23" i="1"/>
  <c r="R23" i="1" s="1"/>
  <c r="C24" i="1"/>
  <c r="R24" i="1" s="1"/>
  <c r="C25" i="1"/>
  <c r="C26" i="1"/>
  <c r="R26" i="1" s="1"/>
  <c r="C27" i="1"/>
  <c r="C28" i="1"/>
  <c r="R28" i="1" s="1"/>
  <c r="C29" i="1"/>
  <c r="R29" i="1" s="1"/>
  <c r="C30" i="1"/>
  <c r="H30" i="1" s="1"/>
  <c r="C31" i="1"/>
  <c r="R31" i="1" s="1"/>
  <c r="C32" i="1"/>
  <c r="R32" i="1" s="1"/>
  <c r="C33" i="1"/>
  <c r="C34" i="1"/>
  <c r="R34" i="1" s="1"/>
  <c r="C38" i="1"/>
  <c r="R38" i="1" s="1"/>
  <c r="C39" i="1"/>
  <c r="C40" i="1"/>
  <c r="C41" i="1"/>
  <c r="R41" i="1" s="1"/>
  <c r="C42" i="1"/>
  <c r="R42" i="1" s="1"/>
  <c r="C43" i="1"/>
  <c r="H43" i="1" s="1"/>
  <c r="C44" i="1"/>
  <c r="C45" i="1"/>
  <c r="C46" i="1"/>
  <c r="C47" i="1"/>
  <c r="H47" i="1" s="1"/>
  <c r="C48" i="1"/>
  <c r="C49" i="1"/>
  <c r="C50" i="1"/>
  <c r="C51" i="1"/>
  <c r="H51" i="1" s="1"/>
  <c r="C52" i="1"/>
  <c r="C20" i="1"/>
  <c r="R20" i="1" s="1"/>
  <c r="R46" i="1"/>
  <c r="R43" i="1"/>
  <c r="R25" i="1"/>
  <c r="R50" i="1"/>
  <c r="R47" i="1"/>
  <c r="M51" i="1"/>
  <c r="F51" i="1" s="1"/>
  <c r="M47" i="1"/>
  <c r="F47" i="1" s="1"/>
  <c r="R45" i="1"/>
  <c r="R51" i="1"/>
  <c r="R49" i="1"/>
  <c r="R33" i="1"/>
  <c r="M50" i="1"/>
  <c r="F50" i="1" s="1"/>
  <c r="M46" i="1"/>
  <c r="F46" i="1" s="1"/>
  <c r="R48" i="1"/>
  <c r="M49" i="1"/>
  <c r="F49" i="1" s="1"/>
  <c r="M52" i="1"/>
  <c r="F52" i="1" s="1"/>
  <c r="M48" i="1"/>
  <c r="F48" i="1" s="1"/>
  <c r="O30" i="1"/>
  <c r="Q30" i="1"/>
  <c r="O29" i="1"/>
  <c r="M29" i="1" l="1"/>
  <c r="F29" i="1" s="1"/>
  <c r="G29" i="1"/>
  <c r="Q29" i="1" s="1"/>
  <c r="H29" i="1"/>
  <c r="M37" i="1"/>
  <c r="F37" i="1" s="1"/>
  <c r="J30" i="1"/>
  <c r="K30" i="1"/>
  <c r="K29" i="1"/>
  <c r="J29" i="1"/>
  <c r="L28" i="1"/>
  <c r="R30" i="1"/>
  <c r="M30" i="1"/>
  <c r="F30" i="1" s="1"/>
  <c r="H28" i="1"/>
  <c r="G28" i="1"/>
  <c r="P28" i="1" s="1"/>
  <c r="D92" i="4"/>
  <c r="C29" i="9"/>
  <c r="D95" i="4" s="1"/>
  <c r="I30" i="1"/>
  <c r="N30" i="1"/>
  <c r="K28" i="1"/>
  <c r="O28" i="1"/>
  <c r="L30" i="1"/>
  <c r="I29" i="1"/>
  <c r="M33" i="1"/>
  <c r="F33" i="1" s="1"/>
  <c r="M22" i="1"/>
  <c r="F22" i="1" s="1"/>
  <c r="J52" i="1"/>
  <c r="I52" i="1"/>
  <c r="H52" i="1"/>
  <c r="J50" i="1"/>
  <c r="I50" i="1"/>
  <c r="H50" i="1"/>
  <c r="J48" i="1"/>
  <c r="I48" i="1"/>
  <c r="H48" i="1"/>
  <c r="J46" i="1"/>
  <c r="I46" i="1"/>
  <c r="H46" i="1"/>
  <c r="I44" i="1"/>
  <c r="H44" i="1"/>
  <c r="I40" i="1"/>
  <c r="H40" i="1"/>
  <c r="J39" i="1"/>
  <c r="I39" i="1"/>
  <c r="H39" i="1"/>
  <c r="J34" i="1"/>
  <c r="I34" i="1"/>
  <c r="H34" i="1"/>
  <c r="J32" i="1"/>
  <c r="H32" i="1"/>
  <c r="M20" i="1"/>
  <c r="L51" i="1"/>
  <c r="N51" i="1"/>
  <c r="K51" i="1"/>
  <c r="L49" i="1"/>
  <c r="N49" i="1"/>
  <c r="K49" i="1"/>
  <c r="L47" i="1"/>
  <c r="N47" i="1"/>
  <c r="K47" i="1"/>
  <c r="L45" i="1"/>
  <c r="N45" i="1"/>
  <c r="K45" i="1"/>
  <c r="L43" i="1"/>
  <c r="K43" i="1"/>
  <c r="N41" i="1"/>
  <c r="K41" i="1"/>
  <c r="N39" i="1"/>
  <c r="K39" i="1"/>
  <c r="N34" i="1"/>
  <c r="K34" i="1"/>
  <c r="G34" i="1"/>
  <c r="L34" i="1"/>
  <c r="N32" i="1"/>
  <c r="L32" i="1"/>
  <c r="G32" i="1"/>
  <c r="I32" i="1" s="1"/>
  <c r="N26" i="1"/>
  <c r="Q51" i="1"/>
  <c r="P51" i="1"/>
  <c r="O51" i="1"/>
  <c r="Q49" i="1"/>
  <c r="P49" i="1"/>
  <c r="O49" i="1"/>
  <c r="Q47" i="1"/>
  <c r="P47" i="1"/>
  <c r="O47" i="1"/>
  <c r="Q45" i="1"/>
  <c r="P45" i="1"/>
  <c r="O45" i="1"/>
  <c r="Q43" i="1"/>
  <c r="O43" i="1"/>
  <c r="Q41" i="1"/>
  <c r="O41" i="1"/>
  <c r="Q39" i="1"/>
  <c r="P39" i="1"/>
  <c r="O39" i="1"/>
  <c r="Q34" i="1"/>
  <c r="P34" i="1"/>
  <c r="O34" i="1"/>
  <c r="P32" i="1"/>
  <c r="O32" i="1"/>
  <c r="Q27" i="1"/>
  <c r="O27" i="1"/>
  <c r="Q37" i="1"/>
  <c r="P37" i="1"/>
  <c r="O37" i="1"/>
  <c r="J37" i="1"/>
  <c r="I37" i="1"/>
  <c r="H37" i="1"/>
  <c r="Q36" i="1"/>
  <c r="O36" i="1"/>
  <c r="Q35" i="1"/>
  <c r="O35" i="1"/>
  <c r="H35" i="1"/>
  <c r="J22" i="1"/>
  <c r="I22" i="1"/>
  <c r="H22" i="1"/>
  <c r="G20" i="1"/>
  <c r="L20" i="1" s="1"/>
  <c r="G49" i="1"/>
  <c r="G45" i="1"/>
  <c r="G41" i="1"/>
  <c r="L41" i="1" s="1"/>
  <c r="G26" i="1"/>
  <c r="L26" i="1" s="1"/>
  <c r="R44" i="1"/>
  <c r="R52" i="1"/>
  <c r="R40" i="1"/>
  <c r="J51" i="1"/>
  <c r="I51" i="1"/>
  <c r="J49" i="1"/>
  <c r="I49" i="1"/>
  <c r="J47" i="1"/>
  <c r="I47" i="1"/>
  <c r="J45" i="1"/>
  <c r="I45" i="1"/>
  <c r="I43" i="1"/>
  <c r="I42" i="1"/>
  <c r="H42" i="1"/>
  <c r="J41" i="1"/>
  <c r="H41" i="1"/>
  <c r="R39" i="1"/>
  <c r="I38" i="1"/>
  <c r="H38" i="1"/>
  <c r="J33" i="1"/>
  <c r="I33" i="1"/>
  <c r="H33" i="1"/>
  <c r="I31" i="1"/>
  <c r="H31" i="1"/>
  <c r="R27" i="1"/>
  <c r="I26" i="1"/>
  <c r="H26" i="1"/>
  <c r="N52" i="1"/>
  <c r="L52" i="1"/>
  <c r="K52" i="1"/>
  <c r="G52" i="1"/>
  <c r="N50" i="1"/>
  <c r="K50" i="1"/>
  <c r="G50" i="1"/>
  <c r="L50" i="1"/>
  <c r="N48" i="1"/>
  <c r="L48" i="1"/>
  <c r="K48" i="1"/>
  <c r="G48" i="1"/>
  <c r="N46" i="1"/>
  <c r="K46" i="1"/>
  <c r="G46" i="1"/>
  <c r="L46" i="1"/>
  <c r="M45" i="1"/>
  <c r="F45" i="1" s="1"/>
  <c r="N44" i="1"/>
  <c r="L44" i="1"/>
  <c r="K44" i="1"/>
  <c r="G44" i="1"/>
  <c r="J44" i="1" s="1"/>
  <c r="N42" i="1"/>
  <c r="K42" i="1"/>
  <c r="G42" i="1"/>
  <c r="J42" i="1" s="1"/>
  <c r="M41" i="1"/>
  <c r="F41" i="1" s="1"/>
  <c r="N40" i="1"/>
  <c r="L40" i="1"/>
  <c r="K40" i="1"/>
  <c r="G40" i="1"/>
  <c r="J40" i="1" s="1"/>
  <c r="G38" i="1"/>
  <c r="P38" i="1" s="1"/>
  <c r="L38" i="1"/>
  <c r="M34" i="1"/>
  <c r="F34" i="1" s="1"/>
  <c r="N33" i="1"/>
  <c r="L33" i="1"/>
  <c r="K33" i="1"/>
  <c r="M32" i="1"/>
  <c r="F32" i="1" s="1"/>
  <c r="N31" i="1"/>
  <c r="N27" i="1"/>
  <c r="K27" i="1"/>
  <c r="G27" i="1"/>
  <c r="H27" i="1" s="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31" i="1"/>
  <c r="Q26" i="1"/>
  <c r="O26" i="1"/>
  <c r="O24" i="1"/>
  <c r="Q22" i="1"/>
  <c r="P22" i="1"/>
  <c r="O22" i="1"/>
  <c r="L37" i="1"/>
  <c r="N37" i="1"/>
  <c r="K37" i="1"/>
  <c r="L36" i="1"/>
  <c r="G36" i="1"/>
  <c r="N36" i="1" s="1"/>
  <c r="I36" i="1"/>
  <c r="H36" i="1"/>
  <c r="L35" i="1"/>
  <c r="G21" i="1"/>
  <c r="I21" i="1" s="1"/>
  <c r="G51" i="1"/>
  <c r="G47" i="1"/>
  <c r="G43" i="1"/>
  <c r="N43" i="1" s="1"/>
  <c r="G39" i="1"/>
  <c r="L39" i="1" s="1"/>
  <c r="G35" i="1"/>
  <c r="J35" i="1" s="1"/>
  <c r="G31" i="1"/>
  <c r="J31" i="1" s="1"/>
  <c r="G24" i="1"/>
  <c r="L24" i="1" s="1"/>
  <c r="H20" i="1"/>
  <c r="H49" i="1"/>
  <c r="H45" i="1"/>
  <c r="N22" i="1"/>
  <c r="L22" i="1"/>
  <c r="K22" i="1"/>
  <c r="K38" i="1" l="1"/>
  <c r="K36" i="1"/>
  <c r="P36" i="1"/>
  <c r="K35" i="1"/>
  <c r="P35" i="1"/>
  <c r="I35" i="1"/>
  <c r="Q32" i="1"/>
  <c r="K32" i="1"/>
  <c r="P31" i="1"/>
  <c r="K31" i="1"/>
  <c r="L29" i="1"/>
  <c r="P29" i="1"/>
  <c r="J27" i="1"/>
  <c r="L27" i="1"/>
  <c r="L25" i="1"/>
  <c r="J24" i="1"/>
  <c r="J43" i="1"/>
  <c r="P43" i="1"/>
  <c r="L42" i="1"/>
  <c r="P41" i="1"/>
  <c r="I41" i="1"/>
  <c r="N38" i="1"/>
  <c r="J38" i="1"/>
  <c r="J36" i="1"/>
  <c r="N35" i="1"/>
  <c r="N28" i="1"/>
  <c r="I28" i="1"/>
  <c r="Q28" i="1"/>
  <c r="J28" i="1"/>
  <c r="K26" i="1"/>
  <c r="J26" i="1"/>
  <c r="I25" i="1"/>
  <c r="Q21" i="1"/>
  <c r="P26" i="1"/>
  <c r="Q25" i="1"/>
  <c r="N24" i="1"/>
  <c r="I20" i="1"/>
  <c r="K21" i="1"/>
  <c r="N20" i="1"/>
  <c r="J20" i="1"/>
  <c r="J21" i="1"/>
  <c r="N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K53" i="1"/>
  <c r="D31" i="4" s="1"/>
  <c r="B46" i="4" s="1"/>
  <c r="E46" i="4" s="1"/>
  <c r="J53" i="1"/>
  <c r="B33" i="4" s="1"/>
  <c r="B41" i="4" s="1"/>
  <c r="E41" i="4" s="1"/>
  <c r="O53" i="1"/>
  <c r="F31" i="4" s="1"/>
  <c r="B69" i="4" s="1"/>
  <c r="E69" i="4" s="1"/>
  <c r="N53" i="1"/>
  <c r="D33" i="4" s="1"/>
  <c r="B48" i="4" s="1"/>
  <c r="E48" i="4" s="1"/>
  <c r="Q53" i="1"/>
  <c r="F33" i="4" s="1"/>
  <c r="B71" i="4" s="1"/>
  <c r="E71" i="4" s="1"/>
  <c r="H53" i="1"/>
  <c r="B31" i="4" s="1"/>
  <c r="B39" i="4" s="1"/>
  <c r="E39" i="4" s="1"/>
  <c r="L53" i="1"/>
  <c r="D32" i="4" s="1"/>
  <c r="B47" i="4" s="1"/>
  <c r="E47" i="4" s="1"/>
  <c r="P53" i="1"/>
  <c r="F32" i="4" s="1"/>
  <c r="B70" i="4" s="1"/>
  <c r="E70" i="4" s="1"/>
</calcChain>
</file>

<file path=xl/sharedStrings.xml><?xml version="1.0" encoding="utf-8"?>
<sst xmlns="http://schemas.openxmlformats.org/spreadsheetml/2006/main" count="1921" uniqueCount="912">
  <si>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</si>
  <si>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</si>
  <si>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</si>
  <si>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</si>
  <si>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</si>
  <si>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</si>
  <si>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</si>
  <si>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</si>
  <si>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</si>
  <si>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</si>
  <si>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</si>
  <si>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</si>
  <si>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</si>
  <si>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</si>
  <si>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</si>
  <si>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</si>
  <si>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</si>
  <si>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</si>
  <si>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</si>
  <si>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</si>
  <si>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</si>
  <si>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</si>
  <si>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</si>
  <si>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</si>
  <si>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</si>
  <si>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</si>
  <si>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</si>
  <si>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</si>
  <si>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</si>
  <si>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</si>
  <si>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</si>
  <si>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</si>
  <si>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</si>
  <si>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</si>
  <si>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</si>
  <si>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</si>
  <si>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</si>
  <si>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</si>
  <si>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</si>
  <si>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</si>
  <si>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</si>
  <si>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</si>
  <si>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</si>
  <si>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</si>
  <si>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</si>
  <si>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</si>
  <si>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</si>
  <si>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</si>
  <si>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</si>
  <si>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</si>
  <si>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</si>
  <si>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</si>
  <si>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</si>
  <si>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</si>
  <si>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</si>
  <si>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</si>
  <si>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</si>
  <si>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</si>
  <si>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</si>
  <si>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</si>
  <si>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</si>
  <si>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</si>
  <si>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</si>
  <si>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</si>
  <si>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</si>
  <si>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</si>
  <si>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</si>
  <si>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</si>
  <si>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</si>
  <si>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</si>
  <si>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</si>
  <si>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</si>
  <si>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</si>
  <si>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</si>
  <si>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</si>
  <si>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</si>
  <si>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</si>
  <si>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</si>
  <si>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</si>
  <si>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</si>
  <si>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</si>
  <si>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</si>
  <si>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</si>
  <si>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</si>
  <si>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</si>
  <si>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</si>
  <si>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</si>
  <si>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</si>
  <si>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</si>
  <si>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</si>
  <si>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</si>
  <si>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</si>
  <si>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</si>
  <si>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</si>
  <si>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</si>
  <si>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</si>
  <si>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</si>
  <si>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</si>
  <si>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</si>
  <si>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</si>
  <si>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</si>
  <si>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</si>
  <si>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</si>
  <si>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</si>
  <si>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</si>
  <si>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</si>
  <si>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</si>
  <si>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</si>
  <si>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</si>
  <si>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</si>
  <si>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</si>
  <si>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</si>
  <si>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</si>
  <si>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</si>
  <si>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</si>
  <si>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</si>
  <si>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</si>
  <si>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</si>
  <si>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</si>
  <si>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</si>
  <si>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</si>
  <si>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</si>
  <si>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</si>
  <si>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</si>
  <si>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</si>
  <si>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</si>
  <si>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</si>
  <si>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</si>
  <si>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</si>
  <si>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</si>
  <si>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</si>
  <si>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</si>
  <si>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</si>
  <si>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</si>
  <si>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</si>
  <si>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</si>
  <si>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</si>
  <si>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</si>
  <si>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</si>
  <si>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</si>
  <si>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</si>
  <si>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</si>
  <si>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</si>
  <si>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</si>
  <si>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</si>
  <si>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</si>
  <si>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</si>
  <si>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</si>
  <si>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</si>
  <si>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</si>
  <si>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</si>
  <si>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</si>
  <si>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</si>
  <si>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</si>
  <si>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</si>
  <si>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</si>
  <si>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</si>
  <si>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</si>
  <si>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</si>
  <si>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</si>
  <si>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</si>
  <si>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</si>
  <si>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</si>
  <si>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</si>
  <si>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</si>
  <si>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</si>
  <si>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</si>
  <si>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</si>
  <si>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</si>
  <si>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</si>
  <si>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</si>
  <si>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</si>
  <si>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</si>
  <si>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</si>
  <si>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</si>
  <si>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</si>
  <si>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</si>
  <si>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</si>
  <si>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</si>
  <si>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</si>
  <si>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</si>
  <si>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</si>
  <si>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</si>
  <si>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</si>
  <si>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</si>
  <si>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</si>
  <si>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</si>
  <si>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</si>
  <si>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</si>
  <si>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</si>
  <si>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</si>
  <si>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</si>
  <si>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</si>
  <si>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</si>
  <si>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</si>
  <si>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</si>
  <si>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</si>
  <si>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</si>
  <si>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</si>
  <si>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</si>
  <si>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</si>
  <si>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</si>
  <si>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</si>
  <si>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</si>
  <si>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</si>
  <si>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</si>
  <si>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</si>
  <si>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</si>
  <si>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</si>
  <si>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</si>
  <si>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</si>
  <si>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</si>
  <si>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</si>
  <si>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</si>
  <si>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</si>
  <si>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</si>
  <si>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</si>
  <si>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</si>
  <si>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</si>
  <si>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</si>
  <si>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</si>
  <si>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</si>
  <si>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</si>
  <si>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</si>
  <si>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</si>
  <si>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</si>
  <si>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</si>
  <si>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</si>
  <si>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</si>
  <si>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</si>
  <si>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</si>
  <si>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</si>
  <si>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</si>
  <si>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</si>
  <si>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</si>
  <si>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</si>
  <si>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</si>
  <si>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</si>
  <si>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</si>
  <si>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</si>
  <si>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</si>
  <si>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</si>
  <si>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</si>
  <si>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</si>
  <si>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</si>
  <si>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</si>
  <si>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</si>
  <si>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</si>
  <si>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</si>
  <si>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</si>
  <si>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</si>
  <si>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</si>
  <si>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</si>
  <si>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</si>
  <si>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</si>
  <si>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</si>
  <si>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</si>
  <si>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</si>
  <si>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</si>
  <si>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</si>
  <si>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</si>
  <si>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</si>
  <si>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</si>
  <si>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</si>
  <si>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</si>
  <si>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</si>
  <si>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</si>
  <si>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</si>
  <si>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</si>
  <si>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</si>
  <si>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</si>
  <si>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</si>
  <si>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</si>
  <si>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</si>
  <si>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</si>
  <si>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</si>
  <si>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</si>
  <si>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</si>
  <si>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</si>
  <si>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</si>
  <si>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</si>
  <si>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</si>
  <si>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</si>
  <si>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</si>
  <si>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</si>
  <si>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</si>
  <si>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</si>
  <si>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</si>
  <si>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</si>
  <si>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</si>
  <si>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</si>
  <si>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</si>
  <si>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</si>
  <si>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</si>
  <si>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</si>
  <si>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</si>
  <si>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</si>
  <si>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</si>
  <si>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</si>
  <si>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</si>
  <si>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</si>
  <si>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</si>
  <si>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</si>
  <si>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</si>
  <si>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</si>
  <si>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</si>
  <si>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</si>
  <si>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</si>
  <si>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</si>
  <si>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</si>
  <si>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</si>
  <si>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</si>
  <si>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</si>
  <si>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</si>
  <si>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</si>
  <si>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</si>
  <si>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</si>
  <si>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</si>
  <si>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</si>
  <si>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</si>
  <si>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</si>
  <si>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</si>
  <si>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</si>
  <si>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</si>
  <si>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</si>
  <si>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</si>
  <si>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</si>
  <si>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</si>
  <si>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</si>
  <si>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</si>
  <si>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</si>
  <si>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</si>
  <si>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</si>
  <si>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</si>
  <si>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</si>
  <si>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</si>
  <si>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</si>
  <si>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</si>
  <si>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</si>
  <si>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</si>
  <si>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</si>
  <si>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</si>
  <si>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</si>
  <si>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</si>
  <si>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</si>
  <si>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</si>
  <si>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</si>
  <si>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</si>
  <si>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</si>
  <si>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</si>
  <si>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</si>
  <si>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</si>
  <si>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</si>
  <si>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</si>
  <si>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</si>
  <si>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</si>
  <si>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</si>
  <si>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</si>
  <si>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</si>
  <si>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</si>
  <si>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</si>
  <si>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</si>
  <si>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</si>
  <si>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</si>
  <si>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</si>
  <si>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</si>
  <si>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</si>
  <si>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</si>
  <si>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</si>
  <si>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</si>
  <si>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</si>
  <si>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</si>
  <si>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</si>
  <si>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</si>
  <si>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</si>
  <si>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</si>
  <si>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</si>
  <si>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</si>
  <si>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</si>
  <si>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</si>
  <si>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</si>
  <si>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</si>
  <si>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</si>
  <si>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</si>
  <si>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</si>
  <si>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</si>
  <si>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</si>
  <si>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</si>
  <si>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</si>
  <si>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</si>
  <si>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</si>
  <si>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</si>
  <si>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</si>
  <si>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</si>
  <si>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</si>
  <si>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</si>
  <si>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</si>
  <si>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</si>
  <si>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</si>
  <si>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</si>
  <si>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</si>
  <si>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</si>
  <si>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</si>
  <si>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</si>
  <si>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</si>
  <si>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</si>
  <si>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</si>
  <si>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</si>
  <si>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</si>
  <si>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</si>
  <si>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</si>
  <si>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</si>
  <si>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</si>
  <si>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</si>
  <si>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</si>
  <si>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</si>
  <si>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</si>
  <si>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</si>
  <si>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</si>
  <si>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</si>
  <si>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</si>
  <si>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</si>
  <si>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</si>
  <si>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</si>
  <si>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</si>
  <si>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</si>
  <si>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</si>
  <si>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</si>
  <si>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</si>
  <si>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</si>
  <si>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</si>
  <si>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</si>
  <si>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</si>
  <si>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</si>
  <si>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</si>
  <si>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</si>
  <si>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</si>
  <si>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</si>
  <si>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</si>
  <si>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</si>
  <si>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</si>
  <si>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</si>
  <si>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</si>
  <si>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</si>
  <si>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</si>
  <si>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</si>
  <si>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</si>
  <si>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</si>
  <si>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</si>
  <si>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</si>
  <si>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</si>
  <si>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</si>
  <si>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</si>
  <si>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</si>
  <si>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</si>
  <si>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</si>
  <si>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</si>
  <si>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</si>
  <si>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</si>
  <si>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</si>
  <si>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</si>
  <si>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</si>
  <si>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</si>
  <si>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</si>
  <si>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</si>
  <si>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</si>
  <si>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</si>
  <si>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</si>
  <si>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</si>
  <si>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</si>
  <si>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</si>
  <si>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</si>
  <si>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</si>
  <si>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</si>
  <si>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</si>
  <si>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</si>
  <si>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</si>
  <si>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</si>
  <si>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</si>
  <si>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</si>
  <si>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</si>
  <si>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</si>
  <si>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</si>
  <si>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</si>
  <si>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</si>
  <si>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</si>
  <si>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</si>
  <si>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</si>
  <si>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</si>
  <si>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</si>
  <si>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</si>
  <si>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</si>
  <si>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</si>
  <si>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</si>
  <si>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</si>
  <si>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</si>
  <si>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</si>
  <si>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</si>
  <si>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</si>
  <si>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</si>
  <si>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</si>
  <si>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</si>
  <si>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</si>
  <si>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</si>
  <si>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</si>
  <si>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</si>
  <si>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</si>
  <si>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</si>
  <si>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</si>
  <si>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</si>
  <si>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</si>
  <si>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</si>
  <si>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</si>
  <si>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</si>
  <si>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</si>
  <si>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</si>
  <si>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</si>
  <si>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</si>
  <si>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</si>
  <si>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</si>
  <si>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</si>
  <si>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</si>
  <si>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</si>
  <si>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</si>
  <si>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</si>
  <si>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</si>
  <si>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</si>
  <si>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</si>
  <si>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</si>
  <si>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</si>
  <si>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</si>
  <si>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</si>
  <si>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</si>
  <si>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</si>
  <si>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</si>
  <si>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</si>
  <si>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</si>
  <si>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</si>
  <si>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</si>
  <si>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</si>
  <si>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</si>
  <si>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</si>
  <si>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</si>
  <si>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</si>
  <si>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</si>
  <si>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</si>
  <si>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</si>
  <si>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</si>
  <si>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</si>
  <si>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</si>
  <si>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</si>
  <si>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</si>
  <si>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</si>
  <si>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</si>
  <si>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</si>
  <si>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</si>
  <si>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</si>
  <si>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</si>
  <si>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</si>
  <si>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</si>
  <si>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</si>
  <si>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</si>
  <si>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</si>
  <si>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</si>
  <si>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</si>
  <si>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</si>
  <si>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</si>
  <si>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</si>
  <si>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</si>
  <si>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</si>
  <si>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</si>
  <si>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</si>
  <si>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</si>
  <si>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</si>
  <si>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</si>
  <si>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</si>
  <si>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</si>
  <si>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</si>
  <si>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</si>
  <si>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</si>
  <si>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</si>
  <si>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</si>
  <si>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</si>
  <si>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</si>
  <si>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</si>
  <si>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</si>
  <si>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</si>
  <si>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</si>
  <si>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</si>
  <si>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</si>
  <si>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</si>
  <si>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</si>
  <si>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</si>
  <si>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</si>
  <si>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</si>
  <si>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</si>
  <si>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</si>
  <si>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</si>
  <si>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</si>
  <si>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</si>
  <si>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</si>
  <si>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</si>
  <si>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</si>
  <si>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</si>
  <si>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</si>
  <si>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</si>
  <si>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</si>
  <si>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</si>
  <si>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</si>
  <si>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</si>
  <si>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</si>
  <si>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</si>
  <si>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</si>
  <si>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</si>
  <si>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</si>
  <si>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</si>
  <si>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</si>
  <si>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</si>
  <si>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</si>
  <si>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</si>
  <si>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</si>
  <si>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</si>
  <si>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</si>
  <si>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</si>
  <si>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</si>
  <si>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</si>
  <si>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</si>
  <si>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</si>
  <si>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</si>
  <si>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</si>
  <si>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</si>
  <si>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</si>
  <si>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</si>
  <si>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</si>
  <si>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</si>
  <si>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</si>
  <si>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</si>
  <si>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</si>
  <si>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</si>
  <si>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</si>
  <si>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</si>
  <si>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</si>
  <si>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</si>
  <si>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</si>
  <si>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</si>
  <si>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</si>
  <si>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</si>
  <si>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</si>
  <si>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</si>
  <si>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</si>
  <si>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</si>
  <si>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</si>
  <si>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</si>
  <si>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</si>
  <si>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</si>
  <si>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</si>
  <si>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</si>
  <si>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</si>
  <si>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</si>
  <si>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</si>
  <si>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</si>
  <si>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</si>
  <si>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</si>
  <si>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</si>
  <si>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</si>
  <si>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</si>
  <si>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</si>
  <si>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</si>
  <si>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</si>
  <si>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</si>
  <si>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</si>
  <si>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</si>
  <si>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</si>
  <si>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</si>
  <si>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</si>
  <si>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</si>
  <si>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</si>
  <si>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</si>
  <si>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</si>
  <si>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</si>
  <si>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</si>
  <si>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</si>
  <si>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</si>
  <si>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</si>
  <si>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</si>
  <si>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</si>
  <si>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</si>
  <si>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</si>
  <si>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</si>
  <si>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</si>
  <si>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</si>
  <si>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</si>
  <si>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</si>
  <si>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</si>
  <si>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</si>
  <si>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</si>
  <si>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</si>
  <si>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</si>
  <si>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</si>
  <si>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</si>
  <si>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</si>
  <si>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</si>
  <si>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</si>
  <si>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</si>
  <si>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</si>
  <si>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</si>
  <si>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</si>
  <si>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</si>
  <si>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</si>
  <si>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</si>
  <si>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</si>
  <si>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</si>
  <si>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</si>
  <si>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</si>
  <si>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</si>
  <si>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</si>
  <si>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</si>
  <si>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</si>
  <si>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</si>
  <si>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</si>
  <si>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</si>
  <si>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</si>
  <si>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</si>
  <si>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</si>
  <si>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</si>
  <si>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</si>
  <si>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</si>
  <si>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</si>
  <si>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</si>
  <si>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</si>
  <si>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</si>
  <si>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</si>
  <si>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</si>
  <si>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</si>
  <si>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</si>
  <si>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</si>
  <si>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</si>
  <si>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</si>
  <si>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</si>
  <si>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</si>
  <si>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</si>
  <si>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</si>
  <si>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</si>
  <si>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</si>
  <si>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</si>
  <si>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</si>
  <si>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</si>
  <si>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</si>
  <si>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</si>
  <si>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</si>
  <si>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</si>
  <si>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</si>
  <si>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</si>
  <si>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</si>
  <si>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</si>
  <si>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</si>
  <si>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</si>
  <si>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</si>
  <si>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</si>
  <si>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</si>
  <si>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</si>
  <si>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</si>
  <si>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</si>
  <si>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</si>
  <si>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</si>
  <si>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</si>
  <si>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</si>
  <si>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</si>
  <si>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</si>
  <si>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</si>
  <si>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</si>
  <si>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</si>
  <si>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</si>
  <si>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</si>
  <si>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</si>
  <si>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</si>
  <si>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</si>
  <si>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</si>
  <si>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</si>
  <si>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</si>
  <si>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</si>
  <si>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</si>
  <si>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</si>
  <si>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</si>
  <si>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</si>
  <si>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</si>
  <si>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</si>
  <si>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</si>
  <si>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</si>
  <si>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</si>
  <si>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</si>
  <si>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</si>
  <si>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</si>
  <si>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</si>
  <si>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</si>
  <si>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</si>
  <si>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</si>
  <si>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</si>
  <si>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</si>
  <si>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</si>
  <si>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</si>
  <si>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</si>
  <si>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</si>
  <si>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</si>
  <si>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</si>
  <si>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</si>
  <si>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</si>
  <si>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</si>
  <si>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</si>
  <si>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</si>
  <si>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</si>
  <si>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</si>
  <si>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</si>
  <si>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</si>
  <si>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</si>
  <si>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</si>
  <si>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</si>
  <si>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</si>
  <si>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</si>
  <si>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</si>
  <si>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</si>
  <si>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</si>
  <si>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</si>
  <si>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</si>
  <si>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</si>
  <si>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</si>
  <si>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</si>
  <si>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</si>
  <si>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</si>
  <si>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</si>
  <si>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</si>
  <si>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</si>
  <si>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</si>
  <si>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</si>
  <si>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</si>
  <si>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</si>
  <si>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</si>
  <si>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</si>
  <si>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</si>
  <si>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</si>
  <si>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</si>
  <si>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</si>
  <si>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</si>
  <si>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</si>
  <si>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</si>
  <si>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</si>
  <si>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</si>
  <si>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</si>
  <si>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</si>
  <si>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</si>
  <si>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</si>
  <si>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</si>
  <si>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</si>
  <si>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</si>
  <si>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</si>
  <si>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</si>
  <si>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</si>
  <si>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</si>
  <si>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</si>
  <si>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</si>
  <si>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</si>
  <si>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</si>
  <si>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</si>
  <si>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</si>
  <si>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</si>
  <si>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</si>
  <si>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</si>
  <si>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</si>
  <si>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</si>
  <si>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</si>
  <si>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</si>
  <si>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</si>
  <si>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</si>
  <si>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</si>
  <si>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</si>
  <si>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</si>
  <si>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</si>
  <si>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</si>
  <si>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</si>
  <si>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</si>
  <si>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</si>
  <si>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</si>
  <si>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</si>
  <si>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</si>
  <si>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</si>
  <si>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</si>
  <si>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</si>
  <si>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</si>
  <si>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</si>
  <si>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</si>
  <si>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</si>
  <si>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</si>
  <si>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</si>
  <si>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</si>
  <si>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</si>
  <si>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</si>
  <si>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</si>
  <si>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</si>
  <si>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</si>
  <si>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</si>
  <si>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</si>
  <si>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</si>
  <si>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</si>
  <si>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</si>
  <si>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</si>
  <si>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</si>
  <si>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</si>
  <si>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</si>
  <si>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(Minahan entering verification data)</t>
  </si>
  <si>
    <t>Fond Du Lac</t>
  </si>
  <si>
    <t>W Br FDL River DS County C</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</si>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</sst>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D26" sqref="D2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42697</v>
      </c>
      <c r="C5" s="51"/>
      <c r="D5" s="33"/>
      <c r="F5" s="29"/>
      <c r="G5" s="32"/>
      <c r="H5" s="32"/>
      <c r="I5" s="32"/>
      <c r="J5" s="32"/>
      <c r="K5" s="32"/>
      <c r="L5" s="32"/>
      <c r="M5" s="32"/>
      <c r="N5" s="32"/>
      <c r="O5" s="32"/>
      <c r="P5" s="32"/>
      <c r="Q5" s="32"/>
      <c r="R5" s="32" t="s">
        <v>400</v>
      </c>
    </row>
    <row r="6" spans="1:19" ht="15" x14ac:dyDescent="0.25">
      <c r="A6" s="1" t="s">
        <v>858</v>
      </c>
      <c r="B6" s="52">
        <v>42633</v>
      </c>
      <c r="C6" s="53"/>
      <c r="D6" s="54"/>
      <c r="F6" s="30"/>
      <c r="G6" s="32"/>
      <c r="H6" s="32"/>
      <c r="I6" s="32"/>
      <c r="J6" s="32"/>
      <c r="K6" s="32"/>
      <c r="L6" s="32"/>
      <c r="M6" s="32"/>
      <c r="N6" s="32"/>
      <c r="O6" s="32"/>
      <c r="P6" s="32"/>
      <c r="Q6" s="32"/>
      <c r="R6" s="32" t="s">
        <v>902</v>
      </c>
    </row>
    <row r="7" spans="1:19" s="32" customFormat="1" ht="15" x14ac:dyDescent="0.25">
      <c r="A7" s="32" t="s">
        <v>905</v>
      </c>
      <c r="B7" s="147">
        <v>10017190</v>
      </c>
      <c r="C7" s="55"/>
      <c r="D7" s="56"/>
      <c r="F7" s="28"/>
      <c r="R7" s="32" t="s">
        <v>401</v>
      </c>
    </row>
    <row r="8" spans="1:19" ht="15" x14ac:dyDescent="0.25">
      <c r="A8" s="1" t="s">
        <v>49</v>
      </c>
      <c r="B8" s="151" t="s">
        <v>907</v>
      </c>
      <c r="C8" s="151"/>
      <c r="D8" s="151"/>
    </row>
    <row r="10" spans="1:19" ht="15" x14ac:dyDescent="0.25">
      <c r="A10" s="1" t="s">
        <v>34</v>
      </c>
      <c r="B10" s="46" t="s">
        <v>910</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134000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58</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145" t="s">
        <v>194</v>
      </c>
      <c r="B20" s="146">
        <v>66</v>
      </c>
      <c r="C20" s="26" t="str">
        <f>IFERROR(VLOOKUP($A20,'Species guilds'!$A$3:$F$300,3,FALSE),0)</f>
        <v>W</v>
      </c>
      <c r="D20" s="26" t="str">
        <f>IFERROR(VLOOKUP($A20,'Species guilds'!$A$3:$F$300,4,FALSE),0)</f>
        <v>M</v>
      </c>
      <c r="E20" s="26" t="str">
        <f>IFERROR(VLOOKUP($A20,'Species guilds'!$A$3:$F$300,5,FALSE),0)</f>
        <v>T</v>
      </c>
      <c r="F20" s="26">
        <f t="shared" ref="F20:F52" si="0">IF(AND(M20&gt;0,B20&gt;0)=FALSE,B20,0)</f>
        <v>66</v>
      </c>
      <c r="G20" s="26">
        <f>IF(D20="Lake",0,1)</f>
        <v>1</v>
      </c>
      <c r="H20" s="26">
        <f>IF($C20=H$19,$B20*G20,0)</f>
        <v>0</v>
      </c>
      <c r="I20" s="26">
        <f>IF($C20=I$19,$B20*G20,0)</f>
        <v>0</v>
      </c>
      <c r="J20" s="26">
        <f>IF($C20=J$19,$B20*G20,0)</f>
        <v>66</v>
      </c>
      <c r="K20" s="26">
        <f>IF($D20=K$19,$B20*G20,0)</f>
        <v>0</v>
      </c>
      <c r="L20" s="26">
        <f>IF($D20=L$19,$B20*G20,0)</f>
        <v>66</v>
      </c>
      <c r="M20" s="26">
        <f>IF($D20=M$19,$B20,0)</f>
        <v>0</v>
      </c>
      <c r="N20" s="26">
        <f>IF($D20=N$19,$B20*G20,0)</f>
        <v>0</v>
      </c>
      <c r="O20" s="26">
        <f>IF($E20=O$19,$B20*G20,0)</f>
        <v>0</v>
      </c>
      <c r="P20" s="26">
        <f>IF($E20=P$19,$B20*G20,0)</f>
        <v>0</v>
      </c>
      <c r="Q20" s="26">
        <f>IF($E20=Q$19,$B20*G20,0)</f>
        <v>66</v>
      </c>
      <c r="R20" s="27" t="str">
        <f t="shared" ref="R20:R52" si="1">IF(AND(B20&gt;0,C20=0)=TRUE,"SPECIES NOT FOUND, CHECK SPELLING","")</f>
        <v/>
      </c>
      <c r="T20" s="59"/>
      <c r="U20" s="60"/>
      <c r="V20" s="60"/>
      <c r="W20" s="60"/>
      <c r="X20" s="60"/>
      <c r="Y20" s="60"/>
    </row>
    <row r="21" spans="1:25" ht="15" x14ac:dyDescent="0.25">
      <c r="A21" s="145" t="s">
        <v>214</v>
      </c>
      <c r="B21" s="146">
        <v>84</v>
      </c>
      <c r="C21" s="26" t="str">
        <f>IFERROR(VLOOKUP($A21,'Species guilds'!$A$3:$F$300,3,FALSE),0)</f>
        <v>T</v>
      </c>
      <c r="D21" s="26" t="str">
        <f>IFERROR(VLOOKUP($A21,'Species guilds'!$A$3:$F$300,4,FALSE),0)</f>
        <v>S</v>
      </c>
      <c r="E21" s="26" t="str">
        <f>IFERROR(VLOOKUP($A21,'Species guilds'!$A$3:$F$300,5,FALSE),0)</f>
        <v>T</v>
      </c>
      <c r="F21" s="26">
        <f t="shared" si="0"/>
        <v>84</v>
      </c>
      <c r="G21" s="26">
        <f t="shared" ref="G21:G52" si="2">IF(D21="Lake",0,1)</f>
        <v>1</v>
      </c>
      <c r="H21" s="26">
        <f t="shared" ref="H21:H52" si="3">IF($C21=H$19,$B21*G21,0)</f>
        <v>0</v>
      </c>
      <c r="I21" s="26">
        <f t="shared" ref="I21:I52" si="4">IF($C21=I$19,$B21*G21,0)</f>
        <v>84</v>
      </c>
      <c r="J21" s="26">
        <f t="shared" ref="J21:J52" si="5">IF($C21=J$19,$B21*G21,0)</f>
        <v>0</v>
      </c>
      <c r="K21" s="26">
        <f t="shared" ref="K21:K52" si="6">IF($D21=K$19,$B21*G21,0)</f>
        <v>84</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84</v>
      </c>
      <c r="R21" s="27" t="str">
        <f t="shared" si="1"/>
        <v/>
      </c>
      <c r="T21" s="58"/>
      <c r="U21" s="58"/>
      <c r="V21" s="58"/>
      <c r="W21" s="58"/>
      <c r="X21" s="58"/>
      <c r="Y21" s="58"/>
    </row>
    <row r="22" spans="1:25" ht="15" x14ac:dyDescent="0.25">
      <c r="A22" s="145" t="s">
        <v>192</v>
      </c>
      <c r="B22" s="146">
        <v>8</v>
      </c>
      <c r="C22" s="26" t="str">
        <f>IFERROR(VLOOKUP($A22,'Species guilds'!$A$3:$F$300,3,FALSE),0)</f>
        <v>W</v>
      </c>
      <c r="D22" s="26" t="str">
        <f>IFERROR(VLOOKUP($A22,'Species guilds'!$A$3:$F$300,4,FALSE),0)</f>
        <v>M</v>
      </c>
      <c r="E22" s="26" t="str">
        <f>IFERROR(VLOOKUP($A22,'Species guilds'!$A$3:$F$300,5,FALSE),0)</f>
        <v>T</v>
      </c>
      <c r="F22" s="26">
        <f t="shared" si="0"/>
        <v>8</v>
      </c>
      <c r="G22" s="26">
        <f t="shared" si="2"/>
        <v>1</v>
      </c>
      <c r="H22" s="26">
        <f t="shared" si="3"/>
        <v>0</v>
      </c>
      <c r="I22" s="26">
        <f t="shared" si="4"/>
        <v>0</v>
      </c>
      <c r="J22" s="26">
        <f t="shared" si="5"/>
        <v>8</v>
      </c>
      <c r="K22" s="26">
        <f t="shared" si="6"/>
        <v>0</v>
      </c>
      <c r="L22" s="26">
        <f t="shared" si="7"/>
        <v>8</v>
      </c>
      <c r="M22" s="26">
        <f t="shared" si="8"/>
        <v>0</v>
      </c>
      <c r="N22" s="26">
        <f t="shared" si="9"/>
        <v>0</v>
      </c>
      <c r="O22" s="26">
        <f t="shared" si="10"/>
        <v>0</v>
      </c>
      <c r="P22" s="26">
        <f t="shared" si="11"/>
        <v>0</v>
      </c>
      <c r="Q22" s="26">
        <f t="shared" si="12"/>
        <v>8</v>
      </c>
      <c r="R22" s="27" t="str">
        <f t="shared" si="1"/>
        <v/>
      </c>
      <c r="T22" s="58"/>
      <c r="U22" s="58"/>
      <c r="V22" s="58"/>
      <c r="W22" s="58"/>
      <c r="X22" s="58"/>
      <c r="Y22" s="58"/>
    </row>
    <row r="23" spans="1:25" ht="15" x14ac:dyDescent="0.25">
      <c r="A23" s="145" t="s">
        <v>182</v>
      </c>
      <c r="B23" s="146">
        <v>19</v>
      </c>
      <c r="C23" s="26" t="str">
        <f>IFERROR(VLOOKUP($A23,'Species guilds'!$A$3:$F$300,3,FALSE),0)</f>
        <v>W</v>
      </c>
      <c r="D23" s="26" t="str">
        <f>IFERROR(VLOOKUP($A23,'Species guilds'!$A$3:$F$300,4,FALSE),0)</f>
        <v>S</v>
      </c>
      <c r="E23" s="26" t="str">
        <f>IFERROR(VLOOKUP($A23,'Species guilds'!$A$3:$F$300,5,FALSE),0)</f>
        <v>T</v>
      </c>
      <c r="F23" s="26">
        <f t="shared" si="0"/>
        <v>19</v>
      </c>
      <c r="G23" s="26">
        <f t="shared" si="2"/>
        <v>1</v>
      </c>
      <c r="H23" s="26">
        <f t="shared" si="3"/>
        <v>0</v>
      </c>
      <c r="I23" s="26">
        <f t="shared" si="4"/>
        <v>0</v>
      </c>
      <c r="J23" s="26">
        <f t="shared" si="5"/>
        <v>19</v>
      </c>
      <c r="K23" s="26">
        <f t="shared" si="6"/>
        <v>19</v>
      </c>
      <c r="L23" s="26">
        <f t="shared" si="7"/>
        <v>0</v>
      </c>
      <c r="M23" s="26">
        <f t="shared" si="8"/>
        <v>0</v>
      </c>
      <c r="N23" s="26">
        <f t="shared" si="9"/>
        <v>0</v>
      </c>
      <c r="O23" s="26">
        <f t="shared" si="10"/>
        <v>0</v>
      </c>
      <c r="P23" s="26">
        <f t="shared" si="11"/>
        <v>0</v>
      </c>
      <c r="Q23" s="26">
        <f t="shared" si="12"/>
        <v>19</v>
      </c>
      <c r="R23" s="27" t="str">
        <f t="shared" si="1"/>
        <v/>
      </c>
      <c r="T23" s="58"/>
      <c r="U23" s="58"/>
      <c r="V23" s="58"/>
      <c r="W23" s="58"/>
      <c r="X23" s="58"/>
      <c r="Y23" s="58"/>
    </row>
    <row r="24" spans="1:25" ht="15" x14ac:dyDescent="0.25">
      <c r="A24" s="145" t="s">
        <v>124</v>
      </c>
      <c r="B24" s="146">
        <v>820</v>
      </c>
      <c r="C24" s="26" t="str">
        <f>IFERROR(VLOOKUP($A24,'Species guilds'!$A$3:$F$300,3,FALSE),0)</f>
        <v>W</v>
      </c>
      <c r="D24" s="26" t="str">
        <f>IFERROR(VLOOKUP($A24,'Species guilds'!$A$3:$F$300,4,FALSE),0)</f>
        <v>M</v>
      </c>
      <c r="E24" s="26" t="str">
        <f>IFERROR(VLOOKUP($A24,'Species guilds'!$A$3:$F$300,5,FALSE),0)</f>
        <v>IM</v>
      </c>
      <c r="F24" s="26">
        <f t="shared" si="0"/>
        <v>820</v>
      </c>
      <c r="G24" s="26">
        <f t="shared" si="2"/>
        <v>1</v>
      </c>
      <c r="H24" s="26">
        <f t="shared" si="3"/>
        <v>0</v>
      </c>
      <c r="I24" s="26">
        <f t="shared" si="4"/>
        <v>0</v>
      </c>
      <c r="J24" s="26">
        <f t="shared" si="5"/>
        <v>820</v>
      </c>
      <c r="K24" s="26">
        <f t="shared" si="6"/>
        <v>0</v>
      </c>
      <c r="L24" s="26">
        <f t="shared" si="7"/>
        <v>820</v>
      </c>
      <c r="M24" s="26">
        <f t="shared" si="8"/>
        <v>0</v>
      </c>
      <c r="N24" s="26">
        <f t="shared" si="9"/>
        <v>0</v>
      </c>
      <c r="O24" s="26">
        <f t="shared" si="10"/>
        <v>0</v>
      </c>
      <c r="P24" s="26">
        <f t="shared" si="11"/>
        <v>820</v>
      </c>
      <c r="Q24" s="26">
        <f t="shared" si="12"/>
        <v>0</v>
      </c>
      <c r="R24" s="27" t="str">
        <f t="shared" si="1"/>
        <v/>
      </c>
      <c r="T24" s="58"/>
      <c r="U24" s="58"/>
      <c r="V24" s="58"/>
      <c r="W24" s="58"/>
      <c r="X24" s="58"/>
      <c r="Y24" s="58"/>
    </row>
    <row r="25" spans="1:25" ht="15" x14ac:dyDescent="0.25">
      <c r="A25" s="145" t="s">
        <v>364</v>
      </c>
      <c r="B25" s="146">
        <v>112</v>
      </c>
      <c r="C25" s="26" t="str">
        <f>IFERROR(VLOOKUP($A25,'Species guilds'!$A$3:$F$300,3,FALSE),0)</f>
        <v>T</v>
      </c>
      <c r="D25" s="26" t="str">
        <f>IFERROR(VLOOKUP($A25,'Species guilds'!$A$3:$F$300,4,FALSE),0)</f>
        <v>M</v>
      </c>
      <c r="E25" s="26" t="str">
        <f>IFERROR(VLOOKUP($A25,'Species guilds'!$A$3:$F$300,5,FALSE),0)</f>
        <v>T</v>
      </c>
      <c r="F25" s="26">
        <f t="shared" si="0"/>
        <v>112</v>
      </c>
      <c r="G25" s="26">
        <f t="shared" si="2"/>
        <v>1</v>
      </c>
      <c r="H25" s="26">
        <f t="shared" si="3"/>
        <v>0</v>
      </c>
      <c r="I25" s="26">
        <f t="shared" si="4"/>
        <v>112</v>
      </c>
      <c r="J25" s="26">
        <f t="shared" si="5"/>
        <v>0</v>
      </c>
      <c r="K25" s="26">
        <f t="shared" si="6"/>
        <v>0</v>
      </c>
      <c r="L25" s="26">
        <f t="shared" si="7"/>
        <v>112</v>
      </c>
      <c r="M25" s="26">
        <f t="shared" si="8"/>
        <v>0</v>
      </c>
      <c r="N25" s="26">
        <f t="shared" si="9"/>
        <v>0</v>
      </c>
      <c r="O25" s="26">
        <f t="shared" si="10"/>
        <v>0</v>
      </c>
      <c r="P25" s="26">
        <f t="shared" si="11"/>
        <v>0</v>
      </c>
      <c r="Q25" s="26">
        <f t="shared" si="12"/>
        <v>112</v>
      </c>
      <c r="R25" s="27" t="str">
        <f t="shared" si="1"/>
        <v/>
      </c>
      <c r="T25" s="58"/>
      <c r="U25" s="58"/>
      <c r="V25" s="58"/>
      <c r="W25" s="58"/>
      <c r="X25" s="58"/>
      <c r="Y25" s="58"/>
    </row>
    <row r="26" spans="1:25" ht="15" x14ac:dyDescent="0.25">
      <c r="A26" s="145" t="s">
        <v>293</v>
      </c>
      <c r="B26" s="146">
        <v>39</v>
      </c>
      <c r="C26" s="26" t="str">
        <f>IFERROR(VLOOKUP($A26,'Species guilds'!$A$3:$F$300,3,FALSE),0)</f>
        <v>W</v>
      </c>
      <c r="D26" s="26" t="str">
        <f>IFERROR(VLOOKUP($A26,'Species guilds'!$A$3:$F$300,4,FALSE),0)</f>
        <v>S</v>
      </c>
      <c r="E26" s="26" t="str">
        <f>IFERROR(VLOOKUP($A26,'Species guilds'!$A$3:$F$300,5,FALSE),0)</f>
        <v>T</v>
      </c>
      <c r="F26" s="26">
        <f t="shared" si="0"/>
        <v>39</v>
      </c>
      <c r="G26" s="26">
        <f t="shared" si="2"/>
        <v>1</v>
      </c>
      <c r="H26" s="26">
        <f t="shared" si="3"/>
        <v>0</v>
      </c>
      <c r="I26" s="26">
        <f t="shared" si="4"/>
        <v>0</v>
      </c>
      <c r="J26" s="26">
        <f t="shared" si="5"/>
        <v>39</v>
      </c>
      <c r="K26" s="26">
        <f t="shared" si="6"/>
        <v>39</v>
      </c>
      <c r="L26" s="26">
        <f t="shared" si="7"/>
        <v>0</v>
      </c>
      <c r="M26" s="26">
        <f t="shared" si="8"/>
        <v>0</v>
      </c>
      <c r="N26" s="26">
        <f t="shared" si="9"/>
        <v>0</v>
      </c>
      <c r="O26" s="26">
        <f t="shared" si="10"/>
        <v>0</v>
      </c>
      <c r="P26" s="26">
        <f t="shared" si="11"/>
        <v>0</v>
      </c>
      <c r="Q26" s="26">
        <f t="shared" si="12"/>
        <v>39</v>
      </c>
      <c r="R26" s="27" t="str">
        <f t="shared" si="1"/>
        <v/>
      </c>
      <c r="T26" s="58"/>
      <c r="U26" s="58"/>
      <c r="V26" s="58"/>
      <c r="W26" s="58"/>
      <c r="X26" s="58"/>
      <c r="Y26" s="58"/>
    </row>
    <row r="27" spans="1:25" ht="15" x14ac:dyDescent="0.25">
      <c r="A27" s="145" t="s">
        <v>134</v>
      </c>
      <c r="B27" s="146">
        <v>233</v>
      </c>
      <c r="C27" s="26" t="str">
        <f>IFERROR(VLOOKUP($A27,'Species guilds'!$A$3:$F$300,3,FALSE),0)</f>
        <v>W</v>
      </c>
      <c r="D27" s="26" t="str">
        <f>IFERROR(VLOOKUP($A27,'Species guilds'!$A$3:$F$300,4,FALSE),0)</f>
        <v>M</v>
      </c>
      <c r="E27" s="26" t="str">
        <f>IFERROR(VLOOKUP($A27,'Species guilds'!$A$3:$F$300,5,FALSE),0)</f>
        <v>IM</v>
      </c>
      <c r="F27" s="26">
        <f t="shared" si="0"/>
        <v>233</v>
      </c>
      <c r="G27" s="26">
        <f t="shared" si="2"/>
        <v>1</v>
      </c>
      <c r="H27" s="26">
        <f t="shared" si="3"/>
        <v>0</v>
      </c>
      <c r="I27" s="26">
        <f t="shared" si="4"/>
        <v>0</v>
      </c>
      <c r="J27" s="26">
        <f t="shared" si="5"/>
        <v>233</v>
      </c>
      <c r="K27" s="26">
        <f t="shared" si="6"/>
        <v>0</v>
      </c>
      <c r="L27" s="26">
        <f t="shared" si="7"/>
        <v>233</v>
      </c>
      <c r="M27" s="26">
        <f t="shared" si="8"/>
        <v>0</v>
      </c>
      <c r="N27" s="26">
        <f t="shared" si="9"/>
        <v>0</v>
      </c>
      <c r="O27" s="26">
        <f t="shared" si="10"/>
        <v>0</v>
      </c>
      <c r="P27" s="26">
        <f t="shared" si="11"/>
        <v>233</v>
      </c>
      <c r="Q27" s="26">
        <f t="shared" si="12"/>
        <v>0</v>
      </c>
      <c r="R27" s="27" t="str">
        <f t="shared" si="1"/>
        <v/>
      </c>
      <c r="T27" s="37"/>
      <c r="U27" s="58"/>
      <c r="V27" s="58"/>
      <c r="W27" s="58"/>
      <c r="X27" s="58"/>
      <c r="Y27" s="58"/>
    </row>
    <row r="28" spans="1:25" ht="15" x14ac:dyDescent="0.25">
      <c r="A28" s="145" t="s">
        <v>190</v>
      </c>
      <c r="B28" s="146">
        <v>116</v>
      </c>
      <c r="C28" s="26" t="str">
        <f>IFERROR(VLOOKUP($A28,'Species guilds'!$A$3:$F$300,3,FALSE),0)</f>
        <v>T</v>
      </c>
      <c r="D28" s="26" t="str">
        <f>IFERROR(VLOOKUP($A28,'Species guilds'!$A$3:$F$300,4,FALSE),0)</f>
        <v>S</v>
      </c>
      <c r="E28" s="26" t="str">
        <f>IFERROR(VLOOKUP($A28,'Species guilds'!$A$3:$F$300,5,FALSE),0)</f>
        <v>T</v>
      </c>
      <c r="F28" s="26">
        <f t="shared" si="0"/>
        <v>116</v>
      </c>
      <c r="G28" s="26">
        <f t="shared" si="2"/>
        <v>1</v>
      </c>
      <c r="H28" s="26">
        <f t="shared" si="3"/>
        <v>0</v>
      </c>
      <c r="I28" s="26">
        <f t="shared" si="4"/>
        <v>116</v>
      </c>
      <c r="J28" s="26">
        <f t="shared" si="5"/>
        <v>0</v>
      </c>
      <c r="K28" s="26">
        <f t="shared" si="6"/>
        <v>116</v>
      </c>
      <c r="L28" s="26">
        <f t="shared" si="7"/>
        <v>0</v>
      </c>
      <c r="M28" s="26">
        <f t="shared" si="8"/>
        <v>0</v>
      </c>
      <c r="N28" s="26">
        <f t="shared" si="9"/>
        <v>0</v>
      </c>
      <c r="O28" s="26">
        <f t="shared" si="10"/>
        <v>0</v>
      </c>
      <c r="P28" s="26">
        <f t="shared" si="11"/>
        <v>0</v>
      </c>
      <c r="Q28" s="26">
        <f t="shared" si="12"/>
        <v>116</v>
      </c>
      <c r="R28" s="27" t="str">
        <f t="shared" si="1"/>
        <v/>
      </c>
      <c r="T28" s="60"/>
      <c r="U28" s="60"/>
      <c r="V28" s="60"/>
      <c r="W28" s="60"/>
      <c r="X28" s="60"/>
      <c r="Y28" s="58"/>
    </row>
    <row r="29" spans="1:25" ht="15" x14ac:dyDescent="0.25">
      <c r="A29" s="145" t="s">
        <v>327</v>
      </c>
      <c r="B29" s="146">
        <v>159</v>
      </c>
      <c r="C29" s="26" t="str">
        <f>IFERROR(VLOOKUP($A29,'Species guilds'!$A$3:$F$300,3,FALSE),0)</f>
        <v>T</v>
      </c>
      <c r="D29" s="26" t="str">
        <f>IFERROR(VLOOKUP($A29,'Species guilds'!$A$3:$F$300,4,FALSE),0)</f>
        <v>M</v>
      </c>
      <c r="E29" s="26" t="str">
        <f>IFERROR(VLOOKUP($A29,'Species guilds'!$A$3:$F$300,5,FALSE),0)</f>
        <v>IM</v>
      </c>
      <c r="F29" s="26">
        <f t="shared" si="0"/>
        <v>159</v>
      </c>
      <c r="G29" s="26">
        <f t="shared" si="2"/>
        <v>1</v>
      </c>
      <c r="H29" s="26">
        <f t="shared" si="3"/>
        <v>0</v>
      </c>
      <c r="I29" s="26">
        <f t="shared" si="4"/>
        <v>159</v>
      </c>
      <c r="J29" s="26">
        <f t="shared" si="5"/>
        <v>0</v>
      </c>
      <c r="K29" s="26">
        <f t="shared" si="6"/>
        <v>0</v>
      </c>
      <c r="L29" s="26">
        <f t="shared" si="7"/>
        <v>159</v>
      </c>
      <c r="M29" s="26">
        <f t="shared" si="8"/>
        <v>0</v>
      </c>
      <c r="N29" s="26">
        <f t="shared" si="9"/>
        <v>0</v>
      </c>
      <c r="O29" s="26">
        <f t="shared" si="10"/>
        <v>0</v>
      </c>
      <c r="P29" s="26">
        <f t="shared" si="11"/>
        <v>159</v>
      </c>
      <c r="Q29" s="26">
        <f t="shared" si="12"/>
        <v>0</v>
      </c>
      <c r="R29" s="27" t="str">
        <f t="shared" si="1"/>
        <v/>
      </c>
      <c r="T29" s="60"/>
      <c r="U29" s="60"/>
      <c r="V29" s="60"/>
      <c r="W29" s="60"/>
      <c r="X29" s="60"/>
      <c r="Y29" s="58"/>
    </row>
    <row r="30" spans="1:25" ht="15" x14ac:dyDescent="0.25">
      <c r="A30" s="145" t="s">
        <v>395</v>
      </c>
      <c r="B30" s="146">
        <v>2</v>
      </c>
      <c r="C30" s="26" t="str">
        <f>IFERROR(VLOOKUP($A30,'Species guilds'!$A$3:$F$300,3,FALSE),0)</f>
        <v>W</v>
      </c>
      <c r="D30" s="26" t="str">
        <f>IFERROR(VLOOKUP($A30,'Species guilds'!$A$3:$F$300,4,FALSE),0)</f>
        <v>L</v>
      </c>
      <c r="E30" s="26" t="str">
        <f>IFERROR(VLOOKUP($A30,'Species guilds'!$A$3:$F$300,5,FALSE),0)</f>
        <v>IM</v>
      </c>
      <c r="F30" s="26">
        <f t="shared" si="0"/>
        <v>2</v>
      </c>
      <c r="G30" s="26">
        <f t="shared" si="2"/>
        <v>1</v>
      </c>
      <c r="H30" s="26">
        <f t="shared" si="3"/>
        <v>0</v>
      </c>
      <c r="I30" s="26">
        <f t="shared" si="4"/>
        <v>0</v>
      </c>
      <c r="J30" s="26">
        <f t="shared" si="5"/>
        <v>2</v>
      </c>
      <c r="K30" s="26">
        <f t="shared" si="6"/>
        <v>0</v>
      </c>
      <c r="L30" s="26">
        <f t="shared" si="7"/>
        <v>0</v>
      </c>
      <c r="M30" s="26">
        <f t="shared" si="8"/>
        <v>0</v>
      </c>
      <c r="N30" s="26">
        <f t="shared" si="9"/>
        <v>2</v>
      </c>
      <c r="O30" s="26">
        <f t="shared" si="10"/>
        <v>0</v>
      </c>
      <c r="P30" s="26">
        <f t="shared" si="11"/>
        <v>2</v>
      </c>
      <c r="Q30" s="26">
        <f t="shared" si="12"/>
        <v>0</v>
      </c>
      <c r="R30" s="27" t="str">
        <f t="shared" si="1"/>
        <v/>
      </c>
      <c r="T30" s="60"/>
      <c r="U30" s="60"/>
      <c r="V30" s="60"/>
      <c r="W30" s="60"/>
      <c r="X30" s="60"/>
      <c r="Y30" s="58"/>
    </row>
    <row r="31" spans="1:25" ht="15" x14ac:dyDescent="0.25">
      <c r="A31" s="25" t="s">
        <v>176</v>
      </c>
      <c r="B31" s="25">
        <v>21</v>
      </c>
      <c r="C31" s="26" t="str">
        <f>IFERROR(VLOOKUP($A31,'Species guilds'!$A$3:$F$300,3,FALSE),0)</f>
        <v>W</v>
      </c>
      <c r="D31" s="26" t="str">
        <f>IFERROR(VLOOKUP($A31,'Species guilds'!$A$3:$F$300,4,FALSE),0)</f>
        <v>S</v>
      </c>
      <c r="E31" s="26" t="str">
        <f>IFERROR(VLOOKUP($A31,'Species guilds'!$A$3:$F$300,5,FALSE),0)</f>
        <v>IM</v>
      </c>
      <c r="F31" s="26">
        <f t="shared" si="0"/>
        <v>21</v>
      </c>
      <c r="G31" s="26">
        <f t="shared" si="2"/>
        <v>1</v>
      </c>
      <c r="H31" s="26">
        <f t="shared" si="3"/>
        <v>0</v>
      </c>
      <c r="I31" s="26">
        <f t="shared" si="4"/>
        <v>0</v>
      </c>
      <c r="J31" s="26">
        <f t="shared" si="5"/>
        <v>21</v>
      </c>
      <c r="K31" s="26">
        <f t="shared" si="6"/>
        <v>21</v>
      </c>
      <c r="L31" s="26">
        <f t="shared" si="7"/>
        <v>0</v>
      </c>
      <c r="M31" s="26">
        <f t="shared" si="8"/>
        <v>0</v>
      </c>
      <c r="N31" s="26">
        <f t="shared" si="9"/>
        <v>0</v>
      </c>
      <c r="O31" s="26">
        <f t="shared" si="10"/>
        <v>0</v>
      </c>
      <c r="P31" s="26">
        <f t="shared" si="11"/>
        <v>21</v>
      </c>
      <c r="Q31" s="26">
        <f t="shared" si="12"/>
        <v>0</v>
      </c>
      <c r="R31" s="27" t="str">
        <f t="shared" si="1"/>
        <v/>
      </c>
      <c r="T31" s="58"/>
      <c r="U31" s="61"/>
      <c r="V31" s="61"/>
      <c r="W31" s="61"/>
      <c r="X31" s="60"/>
      <c r="Y31" s="58"/>
    </row>
    <row r="32" spans="1:25" ht="15" x14ac:dyDescent="0.25">
      <c r="A32" s="25" t="s">
        <v>188</v>
      </c>
      <c r="B32" s="25">
        <v>5</v>
      </c>
      <c r="C32" s="26" t="str">
        <f>IFERROR(VLOOKUP($A32,'Species guilds'!$A$3:$F$300,3,FALSE),0)</f>
        <v>T</v>
      </c>
      <c r="D32" s="26" t="str">
        <f>IFERROR(VLOOKUP($A32,'Species guilds'!$A$3:$F$300,4,FALSE),0)</f>
        <v>S</v>
      </c>
      <c r="E32" s="26" t="str">
        <f>IFERROR(VLOOKUP($A32,'Species guilds'!$A$3:$F$300,5,FALSE),0)</f>
        <v>T</v>
      </c>
      <c r="F32" s="26">
        <f t="shared" si="0"/>
        <v>5</v>
      </c>
      <c r="G32" s="26">
        <f t="shared" si="2"/>
        <v>1</v>
      </c>
      <c r="H32" s="26">
        <f t="shared" si="3"/>
        <v>0</v>
      </c>
      <c r="I32" s="26">
        <f t="shared" si="4"/>
        <v>5</v>
      </c>
      <c r="J32" s="26">
        <f t="shared" si="5"/>
        <v>0</v>
      </c>
      <c r="K32" s="26">
        <f t="shared" si="6"/>
        <v>5</v>
      </c>
      <c r="L32" s="26">
        <f t="shared" si="7"/>
        <v>0</v>
      </c>
      <c r="M32" s="26">
        <f t="shared" si="8"/>
        <v>0</v>
      </c>
      <c r="N32" s="26">
        <f t="shared" si="9"/>
        <v>0</v>
      </c>
      <c r="O32" s="26">
        <f t="shared" si="10"/>
        <v>0</v>
      </c>
      <c r="P32" s="26">
        <f t="shared" si="11"/>
        <v>0</v>
      </c>
      <c r="Q32" s="26">
        <f t="shared" si="12"/>
        <v>5</v>
      </c>
      <c r="R32" s="27" t="str">
        <f t="shared" si="1"/>
        <v/>
      </c>
      <c r="T32" s="58"/>
      <c r="U32" s="61"/>
      <c r="V32" s="61"/>
      <c r="W32" s="61"/>
      <c r="X32" s="60"/>
      <c r="Y32" s="58"/>
    </row>
    <row r="33" spans="1:25" ht="15" x14ac:dyDescent="0.25">
      <c r="A33" s="25" t="s">
        <v>116</v>
      </c>
      <c r="B33" s="25">
        <v>30</v>
      </c>
      <c r="C33" s="26" t="str">
        <f>IFERROR(VLOOKUP($A33,'Species guilds'!$A$3:$F$300,3,FALSE),0)</f>
        <v>T</v>
      </c>
      <c r="D33" s="26" t="str">
        <f>IFERROR(VLOOKUP($A33,'Species guilds'!$A$3:$F$300,4,FALSE),0)</f>
        <v>S</v>
      </c>
      <c r="E33" s="26" t="str">
        <f>IFERROR(VLOOKUP($A33,'Species guilds'!$A$3:$F$300,5,FALSE),0)</f>
        <v>IM</v>
      </c>
      <c r="F33" s="26">
        <f t="shared" si="0"/>
        <v>30</v>
      </c>
      <c r="G33" s="26">
        <f t="shared" si="2"/>
        <v>1</v>
      </c>
      <c r="H33" s="26">
        <f t="shared" si="3"/>
        <v>0</v>
      </c>
      <c r="I33" s="26">
        <f t="shared" si="4"/>
        <v>30</v>
      </c>
      <c r="J33" s="26">
        <f t="shared" si="5"/>
        <v>0</v>
      </c>
      <c r="K33" s="26">
        <f t="shared" si="6"/>
        <v>30</v>
      </c>
      <c r="L33" s="26">
        <f t="shared" si="7"/>
        <v>0</v>
      </c>
      <c r="M33" s="26">
        <f t="shared" si="8"/>
        <v>0</v>
      </c>
      <c r="N33" s="26">
        <f t="shared" si="9"/>
        <v>0</v>
      </c>
      <c r="O33" s="26">
        <f t="shared" si="10"/>
        <v>0</v>
      </c>
      <c r="P33" s="26">
        <f t="shared" si="11"/>
        <v>30</v>
      </c>
      <c r="Q33" s="26">
        <f t="shared" si="12"/>
        <v>0</v>
      </c>
      <c r="R33" s="27" t="str">
        <f t="shared" si="1"/>
        <v/>
      </c>
      <c r="T33" s="58"/>
      <c r="U33" s="61"/>
      <c r="V33" s="61"/>
      <c r="W33" s="61"/>
      <c r="X33" s="60"/>
      <c r="Y33" s="58"/>
    </row>
    <row r="34" spans="1:25" ht="15" x14ac:dyDescent="0.25">
      <c r="A34" s="25" t="s">
        <v>271</v>
      </c>
      <c r="B34" s="25">
        <v>1</v>
      </c>
      <c r="C34" s="26" t="str">
        <f>IFERROR(VLOOKUP($A34,'Species guilds'!$A$3:$F$300,3,FALSE),0)</f>
        <v>T</v>
      </c>
      <c r="D34" s="26" t="str">
        <f>IFERROR(VLOOKUP($A34,'Species guilds'!$A$3:$F$300,4,FALSE),0)</f>
        <v>S</v>
      </c>
      <c r="E34" s="26" t="str">
        <f>IFERROR(VLOOKUP($A34,'Species guilds'!$A$3:$F$300,5,FALSE),0)</f>
        <v>T</v>
      </c>
      <c r="F34" s="26">
        <f t="shared" si="0"/>
        <v>1</v>
      </c>
      <c r="G34" s="26">
        <f t="shared" si="2"/>
        <v>1</v>
      </c>
      <c r="H34" s="26">
        <f t="shared" si="3"/>
        <v>0</v>
      </c>
      <c r="I34" s="26">
        <f t="shared" si="4"/>
        <v>1</v>
      </c>
      <c r="J34" s="26">
        <f t="shared" si="5"/>
        <v>0</v>
      </c>
      <c r="K34" s="26">
        <f t="shared" si="6"/>
        <v>1</v>
      </c>
      <c r="L34" s="26">
        <f t="shared" si="7"/>
        <v>0</v>
      </c>
      <c r="M34" s="26">
        <f t="shared" si="8"/>
        <v>0</v>
      </c>
      <c r="N34" s="26">
        <f t="shared" si="9"/>
        <v>0</v>
      </c>
      <c r="O34" s="26">
        <f t="shared" si="10"/>
        <v>0</v>
      </c>
      <c r="P34" s="26">
        <f t="shared" si="11"/>
        <v>0</v>
      </c>
      <c r="Q34" s="26">
        <f t="shared" si="12"/>
        <v>1</v>
      </c>
      <c r="R34" s="27" t="str">
        <f t="shared" si="1"/>
        <v/>
      </c>
      <c r="T34" s="58"/>
      <c r="U34" s="58"/>
      <c r="V34" s="58"/>
      <c r="W34" s="58"/>
      <c r="X34" s="58"/>
      <c r="Y34" s="58"/>
    </row>
    <row r="35" spans="1:25" ht="15" x14ac:dyDescent="0.25">
      <c r="A35" s="25" t="s">
        <v>210</v>
      </c>
      <c r="B35" s="25">
        <v>2</v>
      </c>
      <c r="C35" s="26" t="str">
        <f>IFERROR(VLOOKUP($A35,'Species guilds'!$A$3:$F$300,3,FALSE),0)</f>
        <v>T</v>
      </c>
      <c r="D35" s="26" t="str">
        <f>IFERROR(VLOOKUP($A35,'Species guilds'!$A$3:$F$300,4,FALSE),0)</f>
        <v>S</v>
      </c>
      <c r="E35" s="26" t="str">
        <f>IFERROR(VLOOKUP($A35,'Species guilds'!$A$3:$F$300,5,FALSE),0)</f>
        <v>IM</v>
      </c>
      <c r="F35" s="26">
        <f t="shared" si="0"/>
        <v>2</v>
      </c>
      <c r="G35" s="26">
        <f t="shared" si="2"/>
        <v>1</v>
      </c>
      <c r="H35" s="26">
        <f t="shared" si="3"/>
        <v>0</v>
      </c>
      <c r="I35" s="26">
        <f t="shared" si="4"/>
        <v>2</v>
      </c>
      <c r="J35" s="26">
        <f t="shared" si="5"/>
        <v>0</v>
      </c>
      <c r="K35" s="26">
        <f t="shared" si="6"/>
        <v>2</v>
      </c>
      <c r="L35" s="26">
        <f t="shared" si="7"/>
        <v>0</v>
      </c>
      <c r="M35" s="26">
        <f t="shared" si="8"/>
        <v>0</v>
      </c>
      <c r="N35" s="26">
        <f t="shared" si="9"/>
        <v>0</v>
      </c>
      <c r="O35" s="26">
        <f t="shared" si="10"/>
        <v>0</v>
      </c>
      <c r="P35" s="26">
        <f t="shared" si="11"/>
        <v>2</v>
      </c>
      <c r="Q35" s="26">
        <f t="shared" si="12"/>
        <v>0</v>
      </c>
      <c r="R35" s="27" t="str">
        <f t="shared" si="1"/>
        <v/>
      </c>
      <c r="T35" s="60"/>
      <c r="U35" s="60"/>
      <c r="V35" s="60"/>
      <c r="W35" s="60"/>
      <c r="X35" s="60"/>
      <c r="Y35" s="58"/>
    </row>
    <row r="36" spans="1:25" ht="15" x14ac:dyDescent="0.25">
      <c r="A36" s="25" t="s">
        <v>101</v>
      </c>
      <c r="B36" s="25">
        <v>5</v>
      </c>
      <c r="C36" s="26" t="str">
        <f>IFERROR(VLOOKUP($A36,'Species guilds'!$A$3:$F$300,3,FALSE),0)</f>
        <v>W</v>
      </c>
      <c r="D36" s="26" t="str">
        <f>IFERROR(VLOOKUP($A36,'Species guilds'!$A$3:$F$300,4,FALSE),0)</f>
        <v>S</v>
      </c>
      <c r="E36" s="26" t="str">
        <f>IFERROR(VLOOKUP($A36,'Species guilds'!$A$3:$F$300,5,FALSE),0)</f>
        <v>IM</v>
      </c>
      <c r="F36" s="26">
        <f t="shared" si="0"/>
        <v>5</v>
      </c>
      <c r="G36" s="26">
        <f t="shared" si="2"/>
        <v>1</v>
      </c>
      <c r="H36" s="26">
        <f t="shared" si="3"/>
        <v>0</v>
      </c>
      <c r="I36" s="26">
        <f t="shared" si="4"/>
        <v>0</v>
      </c>
      <c r="J36" s="26">
        <f t="shared" si="5"/>
        <v>5</v>
      </c>
      <c r="K36" s="26">
        <f t="shared" si="6"/>
        <v>5</v>
      </c>
      <c r="L36" s="26">
        <f t="shared" si="7"/>
        <v>0</v>
      </c>
      <c r="M36" s="26">
        <f t="shared" si="8"/>
        <v>0</v>
      </c>
      <c r="N36" s="26">
        <f t="shared" si="9"/>
        <v>0</v>
      </c>
      <c r="O36" s="26">
        <f t="shared" si="10"/>
        <v>0</v>
      </c>
      <c r="P36" s="26">
        <f t="shared" si="11"/>
        <v>5</v>
      </c>
      <c r="Q36" s="26">
        <f t="shared" si="12"/>
        <v>0</v>
      </c>
      <c r="R36" s="27" t="str">
        <f t="shared" si="1"/>
        <v/>
      </c>
      <c r="T36" s="60"/>
      <c r="U36" s="60"/>
      <c r="V36" s="60"/>
      <c r="W36" s="60"/>
      <c r="X36" s="60"/>
      <c r="Y36" s="58"/>
    </row>
    <row r="37" spans="1:25" x14ac:dyDescent="0.3">
      <c r="A37" s="25" t="s">
        <v>174</v>
      </c>
      <c r="B37" s="25">
        <v>6</v>
      </c>
      <c r="C37" s="26" t="str">
        <f>IFERROR(VLOOKUP($A37,'Species guilds'!$A$3:$F$300,3,FALSE),0)</f>
        <v>T</v>
      </c>
      <c r="D37" s="26" t="str">
        <f>IFERROR(VLOOKUP($A37,'Species guilds'!$A$3:$F$300,4,FALSE),0)</f>
        <v>S</v>
      </c>
      <c r="E37" s="26" t="str">
        <f>IFERROR(VLOOKUP($A37,'Species guilds'!$A$3:$F$300,5,FALSE),0)</f>
        <v>IM</v>
      </c>
      <c r="F37" s="26">
        <f t="shared" si="0"/>
        <v>6</v>
      </c>
      <c r="G37" s="26">
        <f t="shared" si="2"/>
        <v>1</v>
      </c>
      <c r="H37" s="26">
        <f t="shared" si="3"/>
        <v>0</v>
      </c>
      <c r="I37" s="26">
        <f t="shared" si="4"/>
        <v>6</v>
      </c>
      <c r="J37" s="26">
        <f t="shared" si="5"/>
        <v>0</v>
      </c>
      <c r="K37" s="26">
        <f t="shared" si="6"/>
        <v>6</v>
      </c>
      <c r="L37" s="26">
        <f t="shared" si="7"/>
        <v>0</v>
      </c>
      <c r="M37" s="26">
        <f t="shared" si="8"/>
        <v>0</v>
      </c>
      <c r="N37" s="26">
        <f t="shared" si="9"/>
        <v>0</v>
      </c>
      <c r="O37" s="26">
        <f t="shared" si="10"/>
        <v>0</v>
      </c>
      <c r="P37" s="26">
        <f t="shared" si="11"/>
        <v>6</v>
      </c>
      <c r="Q37" s="26">
        <f t="shared" si="12"/>
        <v>0</v>
      </c>
      <c r="R37" s="27" t="str">
        <f t="shared" si="1"/>
        <v/>
      </c>
      <c r="T37" s="60"/>
      <c r="U37" s="60"/>
      <c r="V37" s="60"/>
      <c r="W37" s="60"/>
      <c r="X37" s="60"/>
      <c r="Y37" s="58"/>
    </row>
    <row r="38" spans="1:25" x14ac:dyDescent="0.3">
      <c r="A38" s="25" t="s">
        <v>355</v>
      </c>
      <c r="B38" s="25">
        <v>1</v>
      </c>
      <c r="C38" s="26" t="str">
        <f>IFERROR(VLOOKUP($A38,'Species guilds'!$A$3:$F$300,3,FALSE),0)</f>
        <v>W</v>
      </c>
      <c r="D38" s="26" t="str">
        <f>IFERROR(VLOOKUP($A38,'Species guilds'!$A$3:$F$300,4,FALSE),0)</f>
        <v>S</v>
      </c>
      <c r="E38" s="26" t="str">
        <f>IFERROR(VLOOKUP($A38,'Species guilds'!$A$3:$F$300,5,FALSE),0)</f>
        <v>IM</v>
      </c>
      <c r="F38" s="26">
        <f t="shared" si="0"/>
        <v>1</v>
      </c>
      <c r="G38" s="26">
        <f t="shared" si="2"/>
        <v>1</v>
      </c>
      <c r="H38" s="26">
        <f t="shared" si="3"/>
        <v>0</v>
      </c>
      <c r="I38" s="26">
        <f t="shared" si="4"/>
        <v>0</v>
      </c>
      <c r="J38" s="26">
        <f t="shared" si="5"/>
        <v>1</v>
      </c>
      <c r="K38" s="26">
        <f t="shared" si="6"/>
        <v>1</v>
      </c>
      <c r="L38" s="26">
        <f t="shared" si="7"/>
        <v>0</v>
      </c>
      <c r="M38" s="26">
        <f t="shared" si="8"/>
        <v>0</v>
      </c>
      <c r="N38" s="26">
        <f t="shared" si="9"/>
        <v>0</v>
      </c>
      <c r="O38" s="26">
        <f t="shared" si="10"/>
        <v>0</v>
      </c>
      <c r="P38" s="26">
        <f t="shared" si="11"/>
        <v>1</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1729</v>
      </c>
      <c r="F53" s="9">
        <f>SUM(F20:F52)</f>
        <v>1729</v>
      </c>
      <c r="G53" s="2"/>
      <c r="H53" s="9">
        <f>SUM(H20:H52)</f>
        <v>0</v>
      </c>
      <c r="I53" s="9">
        <f t="shared" ref="I53:Q53" si="14">SUM(I20:I52)</f>
        <v>515</v>
      </c>
      <c r="J53" s="9">
        <f t="shared" si="14"/>
        <v>1214</v>
      </c>
      <c r="K53" s="9">
        <f t="shared" si="14"/>
        <v>329</v>
      </c>
      <c r="L53" s="9">
        <f t="shared" si="14"/>
        <v>1398</v>
      </c>
      <c r="M53" s="9">
        <f t="shared" si="14"/>
        <v>0</v>
      </c>
      <c r="N53" s="9">
        <f t="shared" si="14"/>
        <v>2</v>
      </c>
      <c r="O53" s="9">
        <f t="shared" si="14"/>
        <v>0</v>
      </c>
      <c r="P53" s="9">
        <f t="shared" si="14"/>
        <v>1279</v>
      </c>
      <c r="Q53" s="9">
        <f t="shared" si="14"/>
        <v>450</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(Minahan entering verification data)</v>
      </c>
      <c r="C4" s="176"/>
      <c r="D4" s="176"/>
      <c r="E4" s="83"/>
      <c r="F4" s="36"/>
    </row>
    <row r="5" spans="1:6" ht="12.75" x14ac:dyDescent="0.2">
      <c r="A5" s="83" t="s">
        <v>859</v>
      </c>
      <c r="B5" s="177">
        <f>'Enter field data'!B5:D5</f>
        <v>42697</v>
      </c>
      <c r="C5" s="176"/>
      <c r="D5" s="176"/>
      <c r="E5" s="83"/>
      <c r="F5" s="36"/>
    </row>
    <row r="6" spans="1:6" ht="12.75" x14ac:dyDescent="0.2">
      <c r="A6" s="83" t="s">
        <v>858</v>
      </c>
      <c r="B6" s="177">
        <v>41828</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W Br FDL River DS County C</v>
      </c>
      <c r="C9" s="176"/>
      <c r="D9" s="176"/>
      <c r="E9" s="83"/>
      <c r="F9" s="85"/>
    </row>
    <row r="10" spans="1:6" ht="12.75" x14ac:dyDescent="0.2">
      <c r="A10" s="83" t="s">
        <v>37</v>
      </c>
      <c r="B10" s="179" t="str">
        <f>'Enter field data'!B11:D11</f>
        <v>Fond Du Lac</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134000</v>
      </c>
      <c r="C12" s="178"/>
      <c r="D12" s="178"/>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Warm Mainstem</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t="s">
        <v>911</v>
      </c>
      <c r="E18" s="185"/>
      <c r="F18" s="93"/>
    </row>
    <row r="19" spans="1:6" ht="12.75" x14ac:dyDescent="0.2">
      <c r="A19" s="36" t="s">
        <v>885</v>
      </c>
      <c r="B19" s="36"/>
      <c r="C19" s="94"/>
      <c r="D19" s="168" t="s">
        <v>24</v>
      </c>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329</v>
      </c>
      <c r="E31" s="117" t="s">
        <v>12</v>
      </c>
      <c r="F31" s="118">
        <f>'Enter field data'!$O$53</f>
        <v>0</v>
      </c>
    </row>
    <row r="32" spans="1:6" ht="12.75" x14ac:dyDescent="0.2">
      <c r="A32" s="113" t="s">
        <v>7</v>
      </c>
      <c r="B32" s="114">
        <f>'Enter field data'!$I$53</f>
        <v>515</v>
      </c>
      <c r="C32" s="115" t="s">
        <v>10</v>
      </c>
      <c r="D32" s="116">
        <f>'Enter field data'!$L$53</f>
        <v>1398</v>
      </c>
      <c r="E32" s="117" t="s">
        <v>13</v>
      </c>
      <c r="F32" s="118">
        <f>'Enter field data'!$P$53</f>
        <v>1279</v>
      </c>
    </row>
    <row r="33" spans="1:6" ht="12.75" x14ac:dyDescent="0.2">
      <c r="A33" s="113" t="s">
        <v>8</v>
      </c>
      <c r="B33" s="114">
        <f>'Enter field data'!$J$53</f>
        <v>1214</v>
      </c>
      <c r="C33" s="115" t="s">
        <v>11</v>
      </c>
      <c r="D33" s="116">
        <f>'Enter field data'!$N$53</f>
        <v>2</v>
      </c>
      <c r="E33" s="117" t="s">
        <v>14</v>
      </c>
      <c r="F33" s="118">
        <f>'Enter field data'!$Q$53</f>
        <v>450</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ht="12.75" x14ac:dyDescent="0.2">
      <c r="A39" s="113" t="s">
        <v>6</v>
      </c>
      <c r="B39" s="123">
        <f>($B$31/'Enter field data'!$F$53)</f>
        <v>0</v>
      </c>
      <c r="C39" s="124">
        <f>VLOOKUP($D$15,'Expected guild %'!$A$5:$G$13,2,FALSE)</f>
        <v>0</v>
      </c>
      <c r="D39" s="124">
        <f>VLOOKUP($D$15,'Expected guild %'!$A$5:$G$13,3,FALSE)</f>
        <v>0.05</v>
      </c>
      <c r="E39" s="125" t="str">
        <f>IF(AND(C39&lt;=B39,B39&lt;= D39)=TRUE,"Y","N")</f>
        <v>Y</v>
      </c>
      <c r="F39" s="36"/>
    </row>
    <row r="40" spans="1:6" ht="12.75" x14ac:dyDescent="0.2">
      <c r="A40" s="113" t="s">
        <v>7</v>
      </c>
      <c r="B40" s="123">
        <f>($B$32/'Enter field data'!$F$53)</f>
        <v>0.29786003470213995</v>
      </c>
      <c r="C40" s="124">
        <f>VLOOKUP($D$15,'Expected guild %'!$A$5:$G$13,4,FALSE)</f>
        <v>0</v>
      </c>
      <c r="D40" s="124">
        <f>VLOOKUP($D$15,'Expected guild %'!$A$5:$G$13,5,FALSE)</f>
        <v>0.25</v>
      </c>
      <c r="E40" s="125" t="str">
        <f>IF(AND(C40&lt;=B40,B40&lt;= D40)=TRUE,"Y","N")</f>
        <v>N</v>
      </c>
      <c r="F40" s="36"/>
    </row>
    <row r="41" spans="1:6" x14ac:dyDescent="0.3">
      <c r="A41" s="113" t="s">
        <v>8</v>
      </c>
      <c r="B41" s="123">
        <f>($B$33/'Enter field data'!$F$53)</f>
        <v>0.70213996529786005</v>
      </c>
      <c r="C41" s="124">
        <f>VLOOKUP($D$15,'Expected guild %'!$A$5:$G$13,6,FALSE)</f>
        <v>0.75</v>
      </c>
      <c r="D41" s="124">
        <f>VLOOKUP($D$15,'Expected guild %'!$A$5:$G$13,7,FALSE)</f>
        <v>1</v>
      </c>
      <c r="E41" s="125" t="str">
        <f>IF(AND(C41&lt;=B41,B41&lt;= D41)=TRUE,"Y","N")</f>
        <v>N</v>
      </c>
      <c r="F41" s="36"/>
    </row>
    <row r="42" spans="1:6" x14ac:dyDescent="0.3">
      <c r="A42" s="36"/>
      <c r="B42" s="36"/>
      <c r="C42" s="36"/>
      <c r="D42" s="36"/>
      <c r="E42" s="36"/>
      <c r="F42" s="36"/>
    </row>
    <row r="43" spans="1:6" x14ac:dyDescent="0.3">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x14ac:dyDescent="0.3">
      <c r="A46" s="113" t="s">
        <v>9</v>
      </c>
      <c r="B46" s="124">
        <f>($D$31/'Enter field data'!$F$53)</f>
        <v>0.19028340080971659</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0.80855986119144019</v>
      </c>
      <c r="C47" s="126">
        <f>VLOOKUP($D$15,'Expected guild %'!$A$19:$G$27,4,FALSE)</f>
        <v>0.5</v>
      </c>
      <c r="D47" s="124">
        <f>VLOOKUP($D$15,'Expected guild %'!$A$19:$G$27,5,FALSE)</f>
        <v>1</v>
      </c>
      <c r="E47" s="125" t="str">
        <f>IF(AND(C47&lt;=B47,B47&lt;= D47)=TRUE,"Y","N")</f>
        <v>Y</v>
      </c>
      <c r="F47" s="36"/>
    </row>
    <row r="48" spans="1:6" x14ac:dyDescent="0.3">
      <c r="A48" s="113" t="s">
        <v>11</v>
      </c>
      <c r="B48" s="124">
        <f>($D$33/'Enter field data'!$F$53)</f>
        <v>1.1567379988432619E-3</v>
      </c>
      <c r="C48" s="126">
        <f>VLOOKUP($D$15,'Expected guild %'!$A$19:$G$27,6,FALSE)</f>
        <v>0</v>
      </c>
      <c r="D48" s="124">
        <f>VLOOKUP($D$15,'Expected guild %'!$A$19:$G$27,7,FALSE)</f>
        <v>0.5</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64"/>
      <c r="B52" s="165"/>
      <c r="C52" s="165"/>
      <c r="D52" s="165"/>
      <c r="E52" s="165"/>
      <c r="F52" s="166"/>
      <c r="G52" s="167"/>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0.739733950260266</v>
      </c>
      <c r="C70" s="133">
        <f>VLOOKUP($D$15,'Expected guild %'!$A$33:$G$41,4,FALSE)</f>
        <v>0</v>
      </c>
      <c r="D70" s="124">
        <f>VLOOKUP($D$15,'Expected guild %'!$A$33:$G$41,5,FALSE)</f>
        <v>1</v>
      </c>
      <c r="E70" s="125" t="str">
        <f>IF(AND(C70&lt;=B70,B70&lt;= D70)=TRUE,"Y","N")</f>
        <v>Y</v>
      </c>
    </row>
    <row r="71" spans="1:7" x14ac:dyDescent="0.3">
      <c r="A71" s="113" t="s">
        <v>14</v>
      </c>
      <c r="B71" s="123">
        <f>($F$33/'Enter field data'!$F$53)</f>
        <v>0.26026604973973394</v>
      </c>
      <c r="C71" s="133">
        <f>VLOOKUP($D$15,'Expected guild %'!$A$33:$G$41,6,FALSE)</f>
        <v>0</v>
      </c>
      <c r="D71" s="124">
        <f>VLOOKUP($D$15,'Expected guild %'!$A$33:$G$41,7,FALSE)</f>
        <v>0.5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t="e">
        <f>'Weather Results'!C18</f>
        <v>#N/A</v>
      </c>
    </row>
    <row r="85" spans="1:4" x14ac:dyDescent="0.3">
      <c r="A85" s="192"/>
      <c r="B85" s="135" t="s">
        <v>847</v>
      </c>
      <c r="C85" s="136"/>
      <c r="D85" s="137" t="e">
        <f>'Weather Results'!C19</f>
        <v>#N/A</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t="e">
        <f>'Weather Results'!C27</f>
        <v>#N/A</v>
      </c>
    </row>
    <row r="94" spans="1:4" x14ac:dyDescent="0.3">
      <c r="A94" s="191"/>
      <c r="B94" s="135" t="s">
        <v>856</v>
      </c>
      <c r="C94" s="136"/>
      <c r="D94" s="137" t="e">
        <f>'Weather Results'!C28</f>
        <v>#N/A</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42633</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20160920</v>
      </c>
    </row>
    <row r="5" spans="1:5" ht="15" hidden="1" x14ac:dyDescent="0.25">
      <c r="A5" s="43"/>
      <c r="B5" s="43" t="s">
        <v>833</v>
      </c>
      <c r="C5" s="65" t="str">
        <f>CONCATENATE(YEAR(C1-30),IF(MONTH(C1-30)&lt;10,"0"&amp;MONTH(C1-30),MONTH(C1-30)),IF(DAY(C1-30)&lt;10,"0"&amp;DAY(C1-30),DAY(C1-30)))</f>
        <v>20160821</v>
      </c>
    </row>
    <row r="6" spans="1:5" ht="15" hidden="1" x14ac:dyDescent="0.25">
      <c r="A6" s="43"/>
      <c r="B6" s="43" t="s">
        <v>834</v>
      </c>
      <c r="C6" s="65" t="str">
        <f>CONCATENATE(YEAR(C1-90),IF(MONTH(C1-90)&lt;10,"0"&amp;MONTH(C1-90),MONTH(C1-90)),IF(DAY(C1-90)&lt;10,"0"&amp;DAY(C1-90),DAY(C1-90)))</f>
        <v>20160622</v>
      </c>
    </row>
    <row r="7" spans="1:5" ht="15" hidden="1" x14ac:dyDescent="0.25">
      <c r="A7" s="43"/>
      <c r="B7" s="43" t="s">
        <v>835</v>
      </c>
      <c r="C7" s="65" t="str">
        <f>CONCATENATE(YEAR(C1-365),IF(MONTH(C1-365)&lt;10,"0"&amp;MONTH(C1-365),MONTH(C1-365)),IF(DAY(C1-365)&lt;10,"0"&amp;DAY(C1-365),DAY(C1-365)))</f>
        <v>20150921</v>
      </c>
    </row>
    <row r="8" spans="1:5" ht="15" hidden="1" x14ac:dyDescent="0.25">
      <c r="A8" s="43"/>
      <c r="B8" s="43" t="s">
        <v>836</v>
      </c>
      <c r="C8" s="65" t="str">
        <f>CONCATENATE(YEAR(C1-1460),IF(MONTH(C1-1460)&lt;10,"0"&amp;MONTH(C1-1460),MONTH(C1-1460)),IF(DAY(C1-1460)&lt;10,"0"&amp;DAY(C1-1460),DAY(C1-1460)))</f>
        <v>20120921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0</v>
      </c>
    </row>
    <row r="13" spans="1:5" ht="15" hidden="1" x14ac:dyDescent="0.25">
      <c r="A13" s="43"/>
      <c r="B13" s="43" t="s">
        <v>841</v>
      </c>
      <c r="C13" s="65">
        <f>IF(MONTH($C$1)=8,DAY($C$1),0)+IF(MONTH($C$1)=9,30-DAY($C$1),0)</f>
        <v>10</v>
      </c>
    </row>
    <row r="14" spans="1:5" ht="15" hidden="1" x14ac:dyDescent="0.25">
      <c r="A14" s="43"/>
      <c r="B14" s="43" t="s">
        <v>842</v>
      </c>
      <c r="C14" s="65">
        <f>IF(MONTH($C$1)=9,DAY($C$1),0)+IF(MONTH($C$1)=10,30-DAY($C$1),0)</f>
        <v>20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3">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x14ac:dyDescent="0.3">
      <c r="A33" s="34" t="s">
        <v>20</v>
      </c>
      <c r="B33" s="8" t="s">
        <v>26</v>
      </c>
      <c r="C33" s="8" t="s">
        <v>26</v>
      </c>
      <c r="D33" s="8" t="s">
        <v>26</v>
      </c>
      <c r="E33" s="8" t="s">
        <v>26</v>
      </c>
      <c r="F33" s="8" t="s">
        <v>26</v>
      </c>
      <c r="G33" s="8" t="s">
        <v>26</v>
      </c>
    </row>
    <row r="34" spans="1:7" x14ac:dyDescent="0.3">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 workbookViewId="0">
      <selection activeCell="A96" sqref="A1:A104857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x14ac:dyDescent="0.3">
      <c r="A32" s="13" t="s">
        <v>122</v>
      </c>
      <c r="B32" s="14" t="s">
        <v>123</v>
      </c>
      <c r="C32" s="13" t="s">
        <v>43</v>
      </c>
      <c r="D32" s="13" t="s">
        <v>39</v>
      </c>
      <c r="E32" s="13" t="s">
        <v>46</v>
      </c>
      <c r="F32" s="13"/>
      <c r="G32" s="14"/>
      <c r="H32" s="13"/>
      <c r="I32" s="13"/>
      <c r="K32" s="13"/>
      <c r="L32" s="13"/>
    </row>
    <row r="33" spans="1:12" x14ac:dyDescent="0.3">
      <c r="A33" s="13" t="s">
        <v>124</v>
      </c>
      <c r="B33" s="14" t="s">
        <v>125</v>
      </c>
      <c r="C33" s="13" t="s">
        <v>43</v>
      </c>
      <c r="D33" s="13" t="s">
        <v>39</v>
      </c>
      <c r="E33" s="13" t="s">
        <v>46</v>
      </c>
      <c r="F33" s="13"/>
      <c r="G33" s="14"/>
      <c r="H33" s="13"/>
      <c r="I33" s="13"/>
      <c r="K33" s="13"/>
      <c r="L33" s="13"/>
    </row>
    <row r="34" spans="1:12" x14ac:dyDescent="0.3">
      <c r="A34" s="13" t="s">
        <v>126</v>
      </c>
      <c r="B34" s="14" t="s">
        <v>127</v>
      </c>
      <c r="C34" s="13" t="s">
        <v>43</v>
      </c>
      <c r="D34" s="13" t="s">
        <v>39</v>
      </c>
      <c r="E34" s="13" t="s">
        <v>46</v>
      </c>
      <c r="F34" s="13"/>
      <c r="G34" s="14"/>
      <c r="H34" s="13"/>
      <c r="I34" s="13"/>
      <c r="K34" s="13"/>
      <c r="L34" s="13"/>
    </row>
    <row r="35" spans="1:12" x14ac:dyDescent="0.3">
      <c r="A35" s="13" t="s">
        <v>128</v>
      </c>
      <c r="B35" s="14" t="s">
        <v>129</v>
      </c>
      <c r="C35" s="13" t="s">
        <v>43</v>
      </c>
      <c r="D35" s="13" t="s">
        <v>40</v>
      </c>
      <c r="E35" s="13" t="s">
        <v>45</v>
      </c>
      <c r="F35" s="13"/>
      <c r="G35" s="14"/>
      <c r="H35" s="13"/>
      <c r="I35" s="13"/>
      <c r="K35" s="13"/>
      <c r="L35" s="13"/>
    </row>
    <row r="36" spans="1:12" x14ac:dyDescent="0.3">
      <c r="A36" s="13" t="s">
        <v>130</v>
      </c>
      <c r="B36" s="14" t="s">
        <v>131</v>
      </c>
      <c r="C36" s="13" t="s">
        <v>43</v>
      </c>
      <c r="D36" s="13" t="s">
        <v>40</v>
      </c>
      <c r="E36" s="13" t="s">
        <v>46</v>
      </c>
      <c r="F36" s="13"/>
      <c r="G36" s="14"/>
      <c r="H36" s="13"/>
      <c r="I36" s="13"/>
      <c r="K36" s="13"/>
      <c r="L36" s="13"/>
    </row>
    <row r="37" spans="1:12" x14ac:dyDescent="0.3">
      <c r="A37" s="13" t="s">
        <v>132</v>
      </c>
      <c r="B37" s="14" t="s">
        <v>133</v>
      </c>
      <c r="C37" s="13" t="s">
        <v>42</v>
      </c>
      <c r="D37" s="13" t="s">
        <v>41</v>
      </c>
      <c r="E37" s="13" t="s">
        <v>46</v>
      </c>
      <c r="F37" s="13"/>
      <c r="G37" s="14"/>
      <c r="H37" s="13"/>
      <c r="I37" s="13"/>
      <c r="K37" s="13"/>
      <c r="L37" s="13"/>
    </row>
    <row r="38" spans="1:12" x14ac:dyDescent="0.3">
      <c r="A38" s="13" t="s">
        <v>134</v>
      </c>
      <c r="B38" s="14" t="s">
        <v>135</v>
      </c>
      <c r="C38" s="13" t="s">
        <v>43</v>
      </c>
      <c r="D38" s="13" t="s">
        <v>39</v>
      </c>
      <c r="E38" s="13" t="s">
        <v>46</v>
      </c>
      <c r="F38" s="13"/>
      <c r="G38" s="14"/>
      <c r="H38" s="13"/>
      <c r="I38" s="13"/>
      <c r="K38" s="13"/>
      <c r="L38" s="13"/>
    </row>
    <row r="39" spans="1:12" x14ac:dyDescent="0.3">
      <c r="A39" s="13" t="s">
        <v>136</v>
      </c>
      <c r="B39" s="14" t="s">
        <v>137</v>
      </c>
      <c r="C39" s="13" t="s">
        <v>43</v>
      </c>
      <c r="D39" s="13" t="s">
        <v>39</v>
      </c>
      <c r="E39" s="13" t="s">
        <v>42</v>
      </c>
      <c r="F39" s="13"/>
      <c r="G39" s="14"/>
      <c r="H39" s="13"/>
      <c r="I39" s="13"/>
      <c r="K39" s="13"/>
      <c r="L39" s="13"/>
    </row>
    <row r="40" spans="1:12" x14ac:dyDescent="0.3">
      <c r="A40" s="13" t="s">
        <v>138</v>
      </c>
      <c r="B40" s="14" t="s">
        <v>139</v>
      </c>
      <c r="C40" s="13" t="s">
        <v>42</v>
      </c>
      <c r="D40" s="13" t="s">
        <v>39</v>
      </c>
      <c r="E40" s="13" t="s">
        <v>45</v>
      </c>
      <c r="F40" s="13"/>
      <c r="G40" s="14"/>
      <c r="H40" s="13"/>
      <c r="I40" s="13"/>
      <c r="K40" s="13"/>
      <c r="L40" s="13"/>
    </row>
    <row r="41" spans="1:12" x14ac:dyDescent="0.3">
      <c r="A41" s="13" t="s">
        <v>140</v>
      </c>
      <c r="B41" s="14" t="s">
        <v>141</v>
      </c>
      <c r="C41" s="13" t="s">
        <v>43</v>
      </c>
      <c r="D41" s="13" t="s">
        <v>40</v>
      </c>
      <c r="E41" s="13" t="s">
        <v>46</v>
      </c>
      <c r="F41" s="13"/>
      <c r="G41" s="14"/>
      <c r="H41" s="13"/>
      <c r="I41" s="13"/>
      <c r="K41" s="13"/>
      <c r="L41" s="13"/>
    </row>
    <row r="42" spans="1:12" x14ac:dyDescent="0.3">
      <c r="A42" s="13" t="s">
        <v>142</v>
      </c>
      <c r="B42" s="14" t="s">
        <v>143</v>
      </c>
      <c r="C42" s="13" t="s">
        <v>43</v>
      </c>
      <c r="D42" s="13" t="s">
        <v>40</v>
      </c>
      <c r="E42" s="13" t="s">
        <v>46</v>
      </c>
      <c r="F42" s="13"/>
      <c r="G42" s="14"/>
      <c r="H42" s="13"/>
      <c r="I42" s="13"/>
      <c r="K42" s="13"/>
      <c r="L42" s="13"/>
    </row>
    <row r="43" spans="1:12" x14ac:dyDescent="0.3">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2016-11-23T17:33:04Z</dcterms:modified>
</cp:coreProperties>
</file>