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3" i="1" l="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P30" i="1" l="1"/>
  <c r="N31" i="1"/>
  <c r="H29" i="1"/>
  <c r="R29" i="1"/>
  <c r="P29" i="1"/>
  <c r="Q29" i="1"/>
  <c r="G29" i="1"/>
  <c r="P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I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5" i="1" l="1"/>
  <c r="O31" i="1"/>
  <c r="K27" i="1"/>
  <c r="J28" i="1"/>
  <c r="N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<sst xmlns="http://schemas.openxmlformats.org/spreadsheetml/2006/main" count="2057" uniqueCount="947">
  <si>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</si>
  <si>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</si>
  <si>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</si>
  <si>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</si>
  <si>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</si>
  <si>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</si>
  <si>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</si>
  <si>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</si>
  <si>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</si>
  <si>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</si>
  <si>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</si>
  <si>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</si>
  <si>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</si>
  <si>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</si>
  <si>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</si>
  <si>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</si>
  <si>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</si>
  <si>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</si>
  <si>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</si>
  <si>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</si>
  <si>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</si>
  <si>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</si>
  <si>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</si>
  <si>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</si>
  <si>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</si>
  <si>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</si>
  <si>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</si>
  <si>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</si>
  <si>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</si>
  <si>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</si>
  <si>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</si>
  <si>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</si>
  <si>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</si>
  <si>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</si>
  <si>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</si>
  <si>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</si>
  <si>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</si>
  <si>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</si>
  <si>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</si>
  <si>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</si>
  <si>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</si>
  <si>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</si>
  <si>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</si>
  <si>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</si>
  <si>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</si>
  <si>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</si>
  <si>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</si>
  <si>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</si>
  <si>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</si>
  <si>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</si>
  <si>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</si>
  <si>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</si>
  <si>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</si>
  <si>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</si>
  <si>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</si>
  <si>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</si>
  <si>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</si>
  <si>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</si>
  <si>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</si>
  <si>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</si>
  <si>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</si>
  <si>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</si>
  <si>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</si>
  <si>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</si>
  <si>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</si>
  <si>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</si>
  <si>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</si>
  <si>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</si>
  <si>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</si>
  <si>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</si>
  <si>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</si>
  <si>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</si>
  <si>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</si>
  <si>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</si>
  <si>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</si>
  <si>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</si>
  <si>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</si>
  <si>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</si>
  <si>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</si>
  <si>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</si>
  <si>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</si>
  <si>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</si>
  <si>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</si>
  <si>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</si>
  <si>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</si>
  <si>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</si>
  <si>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</si>
  <si>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</si>
  <si>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</si>
  <si>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</si>
  <si>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</si>
  <si>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</si>
  <si>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</si>
  <si>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</si>
  <si>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</si>
  <si>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</si>
  <si>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</si>
  <si>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</si>
  <si>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</si>
  <si>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</si>
  <si>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</si>
  <si>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</si>
  <si>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</si>
  <si>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</si>
  <si>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</si>
  <si>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</si>
  <si>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</si>
  <si>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</si>
  <si>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</si>
  <si>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</si>
  <si>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</si>
  <si>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</si>
  <si>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</si>
  <si>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</si>
  <si>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</si>
  <si>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</si>
  <si>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</si>
  <si>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</si>
  <si>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</si>
  <si>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</si>
  <si>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</si>
  <si>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</si>
  <si>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</si>
  <si>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</si>
  <si>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</si>
  <si>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</si>
  <si>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</si>
  <si>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</si>
  <si>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</si>
  <si>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</si>
  <si>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</si>
  <si>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</si>
  <si>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</si>
  <si>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</si>
  <si>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</si>
  <si>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</si>
  <si>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</si>
  <si>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</si>
  <si>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</si>
  <si>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</si>
  <si>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</si>
  <si>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</si>
  <si>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</si>
  <si>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</si>
  <si>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</si>
  <si>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</si>
  <si>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</si>
  <si>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</si>
  <si>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</si>
  <si>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</si>
  <si>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</si>
  <si>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</si>
  <si>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</si>
  <si>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</si>
  <si>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</si>
  <si>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</si>
  <si>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</si>
  <si>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</si>
  <si>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</si>
  <si>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</si>
  <si>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</si>
  <si>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</si>
  <si>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</si>
  <si>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</si>
  <si>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</si>
  <si>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</si>
  <si>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</si>
  <si>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</si>
  <si>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</si>
  <si>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</si>
  <si>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</si>
  <si>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</si>
  <si>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</si>
  <si>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</si>
  <si>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</si>
  <si>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</si>
  <si>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</si>
  <si>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</si>
  <si>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</si>
  <si>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</si>
  <si>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</si>
  <si>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</si>
  <si>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</si>
  <si>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</si>
  <si>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</si>
  <si>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</si>
  <si>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</si>
  <si>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</si>
  <si>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</si>
  <si>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</si>
  <si>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</si>
  <si>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</si>
  <si>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</si>
  <si>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</si>
  <si>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</si>
  <si>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</si>
  <si>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</si>
  <si>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</si>
  <si>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</si>
  <si>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</si>
  <si>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</si>
  <si>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</si>
  <si>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</si>
  <si>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</si>
  <si>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</si>
  <si>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</si>
  <si>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</si>
  <si>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</si>
  <si>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</si>
  <si>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</si>
  <si>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</si>
  <si>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</si>
  <si>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</si>
  <si>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</si>
  <si>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</si>
  <si>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</si>
  <si>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</si>
  <si>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</si>
  <si>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</si>
  <si>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</si>
  <si>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</si>
  <si>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</si>
  <si>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</si>
  <si>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</si>
  <si>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</si>
  <si>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</si>
  <si>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</si>
  <si>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</si>
  <si>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</si>
  <si>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</si>
  <si>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</si>
  <si>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</si>
  <si>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</si>
  <si>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</si>
  <si>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</si>
  <si>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</si>
  <si>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</si>
  <si>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</si>
  <si>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</si>
  <si>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</si>
  <si>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</si>
  <si>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</si>
  <si>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</si>
  <si>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</si>
  <si>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</si>
  <si>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</si>
  <si>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</si>
  <si>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</si>
  <si>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</si>
  <si>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</si>
  <si>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</si>
  <si>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</si>
  <si>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</si>
  <si>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</si>
  <si>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</si>
  <si>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</si>
  <si>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</si>
  <si>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</si>
  <si>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</si>
  <si>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</si>
  <si>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</si>
  <si>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</si>
  <si>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</si>
  <si>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</si>
  <si>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</si>
  <si>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</si>
  <si>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</si>
  <si>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</si>
  <si>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</si>
  <si>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</si>
  <si>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</si>
  <si>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</si>
  <si>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</si>
  <si>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</si>
  <si>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</si>
  <si>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</si>
  <si>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</si>
  <si>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</si>
  <si>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</si>
  <si>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</si>
  <si>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</si>
  <si>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</si>
  <si>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</si>
  <si>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</si>
  <si>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</si>
  <si>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</si>
  <si>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</si>
  <si>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</si>
  <si>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</si>
  <si>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</si>
  <si>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</si>
  <si>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</si>
  <si>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</si>
  <si>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</si>
  <si>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</si>
  <si>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</si>
  <si>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</si>
  <si>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</si>
  <si>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</si>
  <si>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</si>
  <si>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</si>
  <si>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</si>
  <si>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</si>
  <si>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</si>
  <si>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</si>
  <si>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</si>
  <si>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</si>
  <si>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</si>
  <si>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</si>
  <si>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</si>
  <si>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</si>
  <si>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</si>
  <si>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</si>
  <si>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</si>
  <si>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</si>
  <si>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</si>
  <si>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</si>
  <si>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</si>
  <si>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</si>
  <si>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</si>
  <si>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</si>
  <si>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</si>
  <si>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</si>
  <si>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</si>
  <si>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</si>
  <si>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</si>
  <si>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</si>
  <si>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</si>
  <si>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</si>
  <si>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</si>
  <si>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</si>
  <si>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</si>
  <si>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</si>
  <si>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</si>
  <si>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</si>
  <si>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</si>
  <si>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</si>
  <si>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</si>
  <si>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</si>
  <si>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</si>
  <si>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</si>
  <si>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</si>
  <si>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</si>
  <si>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</si>
  <si>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</si>
  <si>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</si>
  <si>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</si>
  <si>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</si>
  <si>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</si>
  <si>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</si>
  <si>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</si>
  <si>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</si>
  <si>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</si>
  <si>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</si>
  <si>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</si>
  <si>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</si>
  <si>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</si>
  <si>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</si>
  <si>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</si>
  <si>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</si>
  <si>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</si>
  <si>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</si>
  <si>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</si>
  <si>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</si>
  <si>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</si>
  <si>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</si>
  <si>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</si>
  <si>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</si>
  <si>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</si>
  <si>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</si>
  <si>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</si>
  <si>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</si>
  <si>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</si>
  <si>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</si>
  <si>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</si>
  <si>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</si>
  <si>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</si>
  <si>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</si>
  <si>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</si>
  <si>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</si>
  <si>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</si>
  <si>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</si>
  <si>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</si>
  <si>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</si>
  <si>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</si>
  <si>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</si>
  <si>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</si>
  <si>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</si>
  <si>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</si>
  <si>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</si>
  <si>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</si>
  <si>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</si>
  <si>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</si>
  <si>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</si>
  <si>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</si>
  <si>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</si>
  <si>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</si>
  <si>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</si>
  <si>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</si>
  <si>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</si>
  <si>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</si>
  <si>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</si>
  <si>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</si>
  <si>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</si>
  <si>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</si>
  <si>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</si>
  <si>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</si>
  <si>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</si>
  <si>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</si>
  <si>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</si>
  <si>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</si>
  <si>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</si>
  <si>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</si>
  <si>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</si>
  <si>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</si>
  <si>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</si>
  <si>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</si>
  <si>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</si>
  <si>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</si>
  <si>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</si>
  <si>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</si>
  <si>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</si>
  <si>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</si>
  <si>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</si>
  <si>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</si>
  <si>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</si>
  <si>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</si>
  <si>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</si>
  <si>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</si>
  <si>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</si>
  <si>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</si>
  <si>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</si>
  <si>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</si>
  <si>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</si>
  <si>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</si>
  <si>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</si>
  <si>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</si>
  <si>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</si>
  <si>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</si>
  <si>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</si>
  <si>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</si>
  <si>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</si>
  <si>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</si>
  <si>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</si>
  <si>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</si>
  <si>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</si>
  <si>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</si>
  <si>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</si>
  <si>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</si>
  <si>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</si>
  <si>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</si>
  <si>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</si>
  <si>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</si>
  <si>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</si>
  <si>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</si>
  <si>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</si>
  <si>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</si>
  <si>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</si>
  <si>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</si>
  <si>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</si>
  <si>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</si>
  <si>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</si>
  <si>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</si>
  <si>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</si>
  <si>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</si>
  <si>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</si>
  <si>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</si>
  <si>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</si>
  <si>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</si>
  <si>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</si>
  <si>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</si>
  <si>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</si>
  <si>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</si>
  <si>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</si>
  <si>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</si>
  <si>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</si>
  <si>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</si>
  <si>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</si>
  <si>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</si>
  <si>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</si>
  <si>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</si>
  <si>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</si>
  <si>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</si>
  <si>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</si>
  <si>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</si>
  <si>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</si>
  <si>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</si>
  <si>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</si>
  <si>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</si>
  <si>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</si>
  <si>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</si>
  <si>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</si>
  <si>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</si>
  <si>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</si>
  <si>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</si>
  <si>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</si>
  <si>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</si>
  <si>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</si>
  <si>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</si>
  <si>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</si>
  <si>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</si>
  <si>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</si>
  <si>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</si>
  <si>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</si>
  <si>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</si>
  <si>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</si>
  <si>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</si>
  <si>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</si>
  <si>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</si>
  <si>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</si>
  <si>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</si>
  <si>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</si>
  <si>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</si>
  <si>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</si>
  <si>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</si>
  <si>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</si>
  <si>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</si>
  <si>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</si>
  <si>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</si>
  <si>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</si>
  <si>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</si>
  <si>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</si>
  <si>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</si>
  <si>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</si>
  <si>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</si>
  <si>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</si>
  <si>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</si>
  <si>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</si>
  <si>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</si>
  <si>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</si>
  <si>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</si>
  <si>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</si>
  <si>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</si>
  <si>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</si>
  <si>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</si>
  <si>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</si>
  <si>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</si>
  <si>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</si>
  <si>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</si>
  <si>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</si>
  <si>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</si>
  <si>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</si>
  <si>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</si>
  <si>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</si>
  <si>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</si>
  <si>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</si>
  <si>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</si>
  <si>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</si>
  <si>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</si>
  <si>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</si>
  <si>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</si>
  <si>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</si>
  <si>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</si>
  <si>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</si>
  <si>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</si>
  <si>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</si>
  <si>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</si>
  <si>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</si>
  <si>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</si>
  <si>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</si>
  <si>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</si>
  <si>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</si>
  <si>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</si>
  <si>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</si>
  <si>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</si>
  <si>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</si>
  <si>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</si>
  <si>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</si>
  <si>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</si>
  <si>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</si>
  <si>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</si>
  <si>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</si>
  <si>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</si>
  <si>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</si>
  <si>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</si>
  <si>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</si>
  <si>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</si>
  <si>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</si>
  <si>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</si>
  <si>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</si>
  <si>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</si>
  <si>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</si>
  <si>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</si>
  <si>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</si>
  <si>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</si>
  <si>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</si>
  <si>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</si>
  <si>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</si>
  <si>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</si>
  <si>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</si>
  <si>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</si>
  <si>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</si>
  <si>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</si>
  <si>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</si>
  <si>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</si>
  <si>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</si>
  <si>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</si>
  <si>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</si>
  <si>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</si>
  <si>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</si>
  <si>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</si>
  <si>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</si>
  <si>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</si>
  <si>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</si>
  <si>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</si>
  <si>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</si>
  <si>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</si>
  <si>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</si>
  <si>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</si>
  <si>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</si>
  <si>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</si>
  <si>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</si>
  <si>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</si>
  <si>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</si>
  <si>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</si>
  <si>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</si>
  <si>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</si>
  <si>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</si>
  <si>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</si>
  <si>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</si>
  <si>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</si>
  <si>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</si>
  <si>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</si>
  <si>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</si>
  <si>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</si>
  <si>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</si>
  <si>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</si>
  <si>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</si>
  <si>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</si>
  <si>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</si>
  <si>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</si>
  <si>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</si>
  <si>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</si>
  <si>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</si>
  <si>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</si>
  <si>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</si>
  <si>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</si>
  <si>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</si>
  <si>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</si>
  <si>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</si>
  <si>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</si>
  <si>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</si>
  <si>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</si>
  <si>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</si>
  <si>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</si>
  <si>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</si>
  <si>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</si>
  <si>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</si>
  <si>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</si>
  <si>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</si>
  <si>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</si>
  <si>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</si>
  <si>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</si>
  <si>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</si>
  <si>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</si>
  <si>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</si>
  <si>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</si>
  <si>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</si>
  <si>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</si>
  <si>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</si>
  <si>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</si>
  <si>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</si>
  <si>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</si>
  <si>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</si>
  <si>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</si>
  <si>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</si>
  <si>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</si>
  <si>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</si>
  <si>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</si>
  <si>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</si>
  <si>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</si>
  <si>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</si>
  <si>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</si>
  <si>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</si>
  <si>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</si>
  <si>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</si>
  <si>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</si>
  <si>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</si>
  <si>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</si>
  <si>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</si>
  <si>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</si>
  <si>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</si>
  <si>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</si>
  <si>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</si>
  <si>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</si>
  <si>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</si>
  <si>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</si>
  <si>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</si>
  <si>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</si>
  <si>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</si>
  <si>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</si>
  <si>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</si>
  <si>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</si>
  <si>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</si>
  <si>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</si>
  <si>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</si>
  <si>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</si>
  <si>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</si>
  <si>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</si>
  <si>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</si>
  <si>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</si>
  <si>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</si>
  <si>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</si>
  <si>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</si>
  <si>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</si>
  <si>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</si>
  <si>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</si>
  <si>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</si>
  <si>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</si>
  <si>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</si>
  <si>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</si>
  <si>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</si>
  <si>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</si>
  <si>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</si>
  <si>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</si>
  <si>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</si>
  <si>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</si>
  <si>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</si>
  <si>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</si>
  <si>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</si>
  <si>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</si>
  <si>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</si>
  <si>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</si>
  <si>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</si>
  <si>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</si>
  <si>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</si>
  <si>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</si>
  <si>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</si>
  <si>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</si>
  <si>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</si>
  <si>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</si>
  <si>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</si>
  <si>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</si>
  <si>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</si>
  <si>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</si>
  <si>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</si>
  <si>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</si>
  <si>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</si>
  <si>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</si>
  <si>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</si>
  <si>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</si>
  <si>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</si>
  <si>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</si>
  <si>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</si>
  <si>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</si>
  <si>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</si>
  <si>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</si>
  <si>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</si>
  <si>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</si>
  <si>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</si>
  <si>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</si>
  <si>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</si>
  <si>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</si>
  <si>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</si>
  <si>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</si>
  <si>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</si>
  <si>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</si>
  <si>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</si>
  <si>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</si>
  <si>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</si>
  <si>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</si>
  <si>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</si>
  <si>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</si>
  <si>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</si>
  <si>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</si>
  <si>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</si>
  <si>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</si>
  <si>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</si>
  <si>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</si>
  <si>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</si>
  <si>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</si>
  <si>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</si>
  <si>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</si>
  <si>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</si>
  <si>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</si>
  <si>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</si>
  <si>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</si>
  <si>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</si>
  <si>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</si>
  <si>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</si>
  <si>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</si>
  <si>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</si>
  <si>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</si>
  <si>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</si>
  <si>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</si>
  <si>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</si>
  <si>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</si>
  <si>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</si>
  <si>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</si>
  <si>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</si>
  <si>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</si>
  <si>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</si>
  <si>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</si>
  <si>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</si>
  <si>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</si>
  <si>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</si>
  <si>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</si>
  <si>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</si>
  <si>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</si>
  <si>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</si>
  <si>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</si>
  <si>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</si>
  <si>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</si>
  <si>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</si>
  <si>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</si>
  <si>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</si>
  <si>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</si>
  <si>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</si>
  <si>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</si>
  <si>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</si>
  <si>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</si>
  <si>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</si>
  <si>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</si>
  <si>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</si>
  <si>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</si>
  <si>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</si>
  <si>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</si>
  <si>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</si>
  <si>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</si>
  <si>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</si>
  <si>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</si>
  <si>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</si>
  <si>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</si>
  <si>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</si>
  <si>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</si>
  <si>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</si>
  <si>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</si>
  <si>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</si>
  <si>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</si>
  <si>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</si>
  <si>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</si>
  <si>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</si>
  <si>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</si>
  <si>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</si>
  <si>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</si>
  <si>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</si>
  <si>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</si>
  <si>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</si>
  <si>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</si>
  <si>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</si>
  <si>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</si>
  <si>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</si>
  <si>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</si>
  <si>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</si>
  <si>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</si>
  <si>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</si>
  <si>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</si>
  <si>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</si>
  <si>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</si>
  <si>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</si>
  <si>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</si>
  <si>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</si>
  <si>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</si>
  <si>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</si>
  <si>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</si>
  <si>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</si>
  <si>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</si>
  <si>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</si>
  <si>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</si>
  <si>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</si>
  <si>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</si>
  <si>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</si>
  <si>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</si>
  <si>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</si>
  <si>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</si>
  <si>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</si>
  <si>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</si>
  <si>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</si>
  <si>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</si>
  <si>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</si>
  <si>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</si>
  <si>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</si>
  <si>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</si>
  <si>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</si>
  <si>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</si>
  <si>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</si>
  <si>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</si>
  <si>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</si>
  <si>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</si>
  <si>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</si>
  <si>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</si>
  <si>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</si>
  <si>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</si>
  <si>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</si>
  <si>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</si>
  <si>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</si>
  <si>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</si>
  <si>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</si>
  <si>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</si>
  <si>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</si>
  <si>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</si>
  <si>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</si>
  <si>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</si>
  <si>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</si>
  <si>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</si>
  <si>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</si>
  <si>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</si>
  <si>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</si>
  <si>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</si>
  <si>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</si>
  <si>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</si>
  <si>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</si>
  <si>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</si>
  <si>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</si>
  <si>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</si>
  <si>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</si>
  <si>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</si>
  <si>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</si>
  <si>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</si>
  <si>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</si>
  <si>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</si>
  <si>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</si>
  <si>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</si>
  <si>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</si>
  <si>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</si>
  <si>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</si>
  <si>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</si>
  <si>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</si>
  <si>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</si>
  <si>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</si>
  <si>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</si>
  <si>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</si>
  <si>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</si>
  <si>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</si>
  <si>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</si>
  <si>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</si>
  <si>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</si>
  <si>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</si>
  <si>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</si>
  <si>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</si>
  <si>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</si>
  <si>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</si>
  <si>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at Oak Park Road</t>
  </si>
  <si>
    <t>Koshkonong Creek</t>
  </si>
  <si>
    <t>Dane</t>
  </si>
  <si>
    <t>WHITE SUCKER</t>
  </si>
  <si>
    <t>BLACKSIDE DARTER</t>
  </si>
  <si>
    <t>BANDED DARTER</t>
  </si>
  <si>
    <t>JOHNNY DARTER</t>
  </si>
  <si>
    <t>BLUNTNOSE MINNOW</t>
  </si>
  <si>
    <t>BLACKSTRIPE TOPMINNOW</t>
  </si>
  <si>
    <t>CREEK CHUB</t>
  </si>
  <si>
    <t>SPOTFIN SHINER</t>
  </si>
  <si>
    <t>TADPOLE MADTOM</t>
  </si>
  <si>
    <t>NORTHERN PIKE</t>
  </si>
  <si>
    <t>ROCK BASS</t>
  </si>
  <si>
    <t>GREEN SUNFISH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</si>
</sst>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58"/>
      <c r="D4" s="159"/>
      <c r="F4" s="2" t="s">
        <v>836</v>
      </c>
    </row>
    <row r="5" spans="1:20" x14ac:dyDescent="0.25">
      <c r="A5" s="1" t="s">
        <v>832</v>
      </c>
      <c r="B5" s="171">
        <v>42498</v>
      </c>
      <c r="C5" s="158"/>
      <c r="D5" s="159"/>
      <c r="F5" s="82"/>
      <c r="G5" s="28"/>
      <c r="H5" s="28"/>
      <c r="I5" s="28"/>
      <c r="J5" s="28"/>
      <c r="K5" s="28"/>
      <c r="L5" s="28"/>
      <c r="M5" s="28"/>
      <c r="N5" s="28"/>
      <c r="O5" s="28"/>
      <c r="P5" s="28"/>
      <c r="Q5" s="28"/>
      <c r="R5" s="28" t="s">
        <v>866</v>
      </c>
    </row>
    <row r="6" spans="1:20" x14ac:dyDescent="0.25">
      <c r="A6" s="1" t="s">
        <v>830</v>
      </c>
      <c r="B6" s="172">
        <v>42539</v>
      </c>
      <c r="C6" s="173"/>
      <c r="D6" s="174"/>
      <c r="F6" s="26"/>
      <c r="G6" s="28"/>
      <c r="H6" s="28"/>
      <c r="I6" s="28"/>
      <c r="J6" s="28"/>
      <c r="K6" s="28"/>
      <c r="L6" s="28"/>
      <c r="M6" s="28"/>
      <c r="N6" s="28"/>
      <c r="O6" s="28"/>
      <c r="P6" s="28"/>
      <c r="Q6" s="28"/>
      <c r="R6" s="28" t="s">
        <v>378</v>
      </c>
    </row>
    <row r="7" spans="1:20" s="28" customFormat="1" x14ac:dyDescent="0.25">
      <c r="A7" s="28" t="s">
        <v>869</v>
      </c>
      <c r="B7" s="175">
        <v>10046886</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6"/>
      <c r="C10" s="86"/>
      <c r="D10" s="86"/>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808800</v>
      </c>
      <c r="C14" s="164"/>
      <c r="D14" s="164"/>
      <c r="F14" s="27"/>
      <c r="G14" s="27"/>
      <c r="H14" s="27"/>
      <c r="I14" s="27"/>
      <c r="J14" s="27"/>
      <c r="K14" s="27"/>
      <c r="L14" s="27"/>
      <c r="M14" s="27"/>
      <c r="N14" s="27"/>
      <c r="O14" s="27"/>
      <c r="P14" s="27"/>
      <c r="Q14" s="27"/>
      <c r="R14" s="27"/>
    </row>
    <row r="15" spans="1:20" s="28" customFormat="1" x14ac:dyDescent="0.25">
      <c r="A15" s="28" t="s">
        <v>835</v>
      </c>
      <c r="B15" s="157"/>
      <c r="C15" s="158"/>
      <c r="D15" s="159"/>
      <c r="E15" s="11" t="s">
        <v>868</v>
      </c>
      <c r="F15" s="27"/>
    </row>
    <row r="16" spans="1:20" x14ac:dyDescent="0.25">
      <c r="B16" s="130"/>
      <c r="C16" s="130"/>
      <c r="D16" s="130"/>
      <c r="T16" s="37"/>
    </row>
    <row r="17" spans="1:25" x14ac:dyDescent="0.25">
      <c r="A17" s="1" t="s">
        <v>33</v>
      </c>
      <c r="B17" s="163" t="s">
        <v>58</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13</v>
      </c>
      <c r="C21" s="26" t="str">
        <f>IFERROR(VLOOKUP($A21,'Species guilds'!$A$3:$F$301,3,FALSE),0)</f>
        <v>T</v>
      </c>
      <c r="D21" s="26" t="str">
        <f>IFERROR(VLOOKUP($A21,'Species guilds'!$A$3:$F$301,4,FALSE),0)</f>
        <v>M</v>
      </c>
      <c r="E21" s="26" t="str">
        <f>IFERROR(VLOOKUP($A21,'Species guilds'!$A$3:$F$301,5,FALSE),0)</f>
        <v>T</v>
      </c>
      <c r="F21" s="26">
        <f t="shared" ref="F21:F53" si="0">IF(AND(M21&gt;0,B21&gt;0)=FALSE,B21,0)</f>
        <v>13</v>
      </c>
      <c r="G21" s="26">
        <f>IF(D21="Lake",0,1)</f>
        <v>1</v>
      </c>
      <c r="H21" s="26">
        <f>IF($C21=H$20,$B21*G21,0)</f>
        <v>0</v>
      </c>
      <c r="I21" s="26">
        <f>IF($C21=I$20,$B21*G21,0)</f>
        <v>13</v>
      </c>
      <c r="J21" s="26">
        <f>IF($C21=J$20,$B21*G21,0)</f>
        <v>0</v>
      </c>
      <c r="K21" s="26">
        <f>IF($D21=K$20,$B21*G21,0)</f>
        <v>0</v>
      </c>
      <c r="L21" s="26">
        <f>IF($D21=L$20,$B21*G21,0)</f>
        <v>13</v>
      </c>
      <c r="M21" s="26">
        <f>IF($D21=M$20,$B21,0)</f>
        <v>0</v>
      </c>
      <c r="N21" s="26">
        <f>IF($D21=N$20,$B21*G21,0)</f>
        <v>0</v>
      </c>
      <c r="O21" s="26">
        <f>IF($E21=O$20,$B21*G21,0)</f>
        <v>0</v>
      </c>
      <c r="P21" s="26">
        <f>IF($E21=P$20,$B21*G21,0)</f>
        <v>0</v>
      </c>
      <c r="Q21" s="26">
        <f>IF($E21=Q$20,$B21*G21,0)</f>
        <v>13</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34</v>
      </c>
      <c r="C22" s="26" t="str">
        <f>IFERROR(VLOOKUP($A22,'Species guilds'!$A$3:$F$301,3,FALSE),0)</f>
        <v>W</v>
      </c>
      <c r="D22" s="26" t="str">
        <f>IFERROR(VLOOKUP($A22,'Species guilds'!$A$3:$F$301,4,FALSE),0)</f>
        <v>L</v>
      </c>
      <c r="E22" s="26" t="str">
        <f>IFERROR(VLOOKUP($A22,'Species guilds'!$A$3:$F$301,5,FALSE),0)</f>
        <v>IM</v>
      </c>
      <c r="F22" s="26">
        <f t="shared" si="0"/>
        <v>34</v>
      </c>
      <c r="G22" s="26">
        <f t="shared" ref="G22:G53" si="1">IF(D22="Lake",0,1)</f>
        <v>1</v>
      </c>
      <c r="H22" s="26">
        <f t="shared" ref="H22:H53" si="2">IF($C22=H$20,$B22*G22,0)</f>
        <v>0</v>
      </c>
      <c r="I22" s="26">
        <f t="shared" ref="I22:I53" si="3">IF($C22=I$20,$B22*G22,0)</f>
        <v>0</v>
      </c>
      <c r="J22" s="26">
        <f t="shared" ref="J22:J53" si="4">IF($C22=J$20,$B22*G22,0)</f>
        <v>34</v>
      </c>
      <c r="K22" s="26">
        <f t="shared" ref="K22:K53" si="5">IF($D22=K$20,$B22*G22,0)</f>
        <v>0</v>
      </c>
      <c r="L22" s="26">
        <f t="shared" ref="L22:L53" si="6">IF($D22=L$20,$B22*G22,0)</f>
        <v>0</v>
      </c>
      <c r="M22" s="26">
        <f t="shared" ref="M22:M40" si="7">IF($D22=M$20,$B22,0)</f>
        <v>0</v>
      </c>
      <c r="N22" s="26">
        <f t="shared" ref="N22:N53" si="8">IF($D22=N$20,$B22*G22,0)</f>
        <v>34</v>
      </c>
      <c r="O22" s="26">
        <f t="shared" ref="O22:O53" si="9">IF($E22=O$20,$B22*G22,0)</f>
        <v>0</v>
      </c>
      <c r="P22" s="26">
        <f t="shared" ref="P22:P53" si="10">IF($E22=P$20,$B22*G22,0)</f>
        <v>34</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11</v>
      </c>
      <c r="C23" s="26" t="str">
        <f>IFERROR(VLOOKUP($A23,'Species guilds'!$A$3:$F$301,3,FALSE),0)</f>
        <v>W</v>
      </c>
      <c r="D23" s="26" t="str">
        <f>IFERROR(VLOOKUP($A23,'Species guilds'!$A$3:$F$301,4,FALSE),0)</f>
        <v>L</v>
      </c>
      <c r="E23" s="26" t="str">
        <f>IFERROR(VLOOKUP($A23,'Species guilds'!$A$3:$F$301,5,FALSE),0)</f>
        <v>IT</v>
      </c>
      <c r="F23" s="26">
        <f t="shared" si="0"/>
        <v>11</v>
      </c>
      <c r="G23" s="26">
        <f t="shared" si="1"/>
        <v>1</v>
      </c>
      <c r="H23" s="26">
        <f t="shared" si="2"/>
        <v>0</v>
      </c>
      <c r="I23" s="26">
        <f t="shared" si="3"/>
        <v>0</v>
      </c>
      <c r="J23" s="26">
        <f t="shared" si="4"/>
        <v>11</v>
      </c>
      <c r="K23" s="26">
        <f t="shared" si="5"/>
        <v>0</v>
      </c>
      <c r="L23" s="26">
        <f t="shared" si="6"/>
        <v>0</v>
      </c>
      <c r="M23" s="26">
        <f t="shared" si="7"/>
        <v>0</v>
      </c>
      <c r="N23" s="26">
        <f t="shared" si="8"/>
        <v>11</v>
      </c>
      <c r="O23" s="26">
        <f t="shared" si="9"/>
        <v>11</v>
      </c>
      <c r="P23" s="26">
        <f t="shared" si="10"/>
        <v>0</v>
      </c>
      <c r="Q23" s="26">
        <f t="shared" si="11"/>
        <v>0</v>
      </c>
      <c r="R23" s="79" t="str">
        <f t="shared" si="12"/>
        <v/>
      </c>
      <c r="T23" s="43"/>
      <c r="U23" s="43"/>
      <c r="V23" s="43"/>
      <c r="W23" s="43"/>
      <c r="X23" s="43"/>
      <c r="Y23" s="43"/>
    </row>
    <row r="24" spans="1:25" x14ac:dyDescent="0.25">
      <c r="A24" s="156" t="s">
        <v>938</v>
      </c>
      <c r="B24" s="156">
        <v>23</v>
      </c>
      <c r="C24" s="26" t="str">
        <f>IFERROR(VLOOKUP($A24,'Species guilds'!$A$3:$F$301,3,FALSE),0)</f>
        <v>T</v>
      </c>
      <c r="D24" s="26" t="str">
        <f>IFERROR(VLOOKUP($A24,'Species guilds'!$A$3:$F$301,4,FALSE),0)</f>
        <v>M</v>
      </c>
      <c r="E24" s="26" t="str">
        <f>IFERROR(VLOOKUP($A24,'Species guilds'!$A$3:$F$301,5,FALSE),0)</f>
        <v>IM</v>
      </c>
      <c r="F24" s="26">
        <f t="shared" si="0"/>
        <v>23</v>
      </c>
      <c r="G24" s="26">
        <f t="shared" si="1"/>
        <v>1</v>
      </c>
      <c r="H24" s="26">
        <f t="shared" si="2"/>
        <v>0</v>
      </c>
      <c r="I24" s="26">
        <f t="shared" si="3"/>
        <v>23</v>
      </c>
      <c r="J24" s="26">
        <f t="shared" si="4"/>
        <v>0</v>
      </c>
      <c r="K24" s="26">
        <f t="shared" si="5"/>
        <v>0</v>
      </c>
      <c r="L24" s="26">
        <f t="shared" si="6"/>
        <v>23</v>
      </c>
      <c r="M24" s="26">
        <f t="shared" si="7"/>
        <v>0</v>
      </c>
      <c r="N24" s="26">
        <f t="shared" si="8"/>
        <v>0</v>
      </c>
      <c r="O24" s="26">
        <f t="shared" si="9"/>
        <v>0</v>
      </c>
      <c r="P24" s="26">
        <f t="shared" si="10"/>
        <v>23</v>
      </c>
      <c r="Q24" s="26">
        <f t="shared" si="11"/>
        <v>0</v>
      </c>
      <c r="R24" s="79" t="str">
        <f t="shared" si="12"/>
        <v/>
      </c>
      <c r="T24" s="43"/>
      <c r="U24" s="43"/>
      <c r="V24" s="43"/>
      <c r="W24" s="43"/>
      <c r="X24" s="43"/>
      <c r="Y24" s="43"/>
    </row>
    <row r="25" spans="1:25" x14ac:dyDescent="0.25">
      <c r="A25" s="156" t="s">
        <v>939</v>
      </c>
      <c r="B25" s="156">
        <v>18</v>
      </c>
      <c r="C25" s="26" t="str">
        <f>IFERROR(VLOOKUP($A25,'Species guilds'!$A$3:$F$301,3,FALSE),0)</f>
        <v>W</v>
      </c>
      <c r="D25" s="26" t="str">
        <f>IFERROR(VLOOKUP($A25,'Species guilds'!$A$3:$F$301,4,FALSE),0)</f>
        <v>M</v>
      </c>
      <c r="E25" s="26" t="str">
        <f>IFERROR(VLOOKUP($A25,'Species guilds'!$A$3:$F$301,5,FALSE),0)</f>
        <v>T</v>
      </c>
      <c r="F25" s="26">
        <f t="shared" si="0"/>
        <v>18</v>
      </c>
      <c r="G25" s="26">
        <f t="shared" si="1"/>
        <v>1</v>
      </c>
      <c r="H25" s="26">
        <f t="shared" si="2"/>
        <v>0</v>
      </c>
      <c r="I25" s="26">
        <f t="shared" si="3"/>
        <v>0</v>
      </c>
      <c r="J25" s="26">
        <f t="shared" si="4"/>
        <v>18</v>
      </c>
      <c r="K25" s="26">
        <f t="shared" si="5"/>
        <v>0</v>
      </c>
      <c r="L25" s="26">
        <f t="shared" si="6"/>
        <v>18</v>
      </c>
      <c r="M25" s="26">
        <f t="shared" si="7"/>
        <v>0</v>
      </c>
      <c r="N25" s="26">
        <f t="shared" si="8"/>
        <v>0</v>
      </c>
      <c r="O25" s="26">
        <f t="shared" si="9"/>
        <v>0</v>
      </c>
      <c r="P25" s="26">
        <f t="shared" si="10"/>
        <v>0</v>
      </c>
      <c r="Q25" s="26">
        <f t="shared" si="11"/>
        <v>18</v>
      </c>
      <c r="R25" s="79" t="str">
        <f t="shared" si="12"/>
        <v/>
      </c>
      <c r="T25" s="43"/>
      <c r="U25" s="43"/>
      <c r="V25" s="43"/>
      <c r="W25" s="43"/>
      <c r="X25" s="43"/>
      <c r="Y25" s="43"/>
    </row>
    <row r="26" spans="1:25" x14ac:dyDescent="0.25">
      <c r="A26" s="156" t="s">
        <v>940</v>
      </c>
      <c r="B26" s="156">
        <v>12</v>
      </c>
      <c r="C26" s="26" t="str">
        <f>IFERROR(VLOOKUP($A26,'Species guilds'!$A$3:$F$301,3,FALSE),0)</f>
        <v>W</v>
      </c>
      <c r="D26" s="26" t="str">
        <f>IFERROR(VLOOKUP($A26,'Species guilds'!$A$3:$F$301,4,FALSE),0)</f>
        <v>L</v>
      </c>
      <c r="E26" s="26" t="str">
        <f>IFERROR(VLOOKUP($A26,'Species guilds'!$A$3:$F$301,5,FALSE),0)</f>
        <v>IM</v>
      </c>
      <c r="F26" s="26">
        <f t="shared" si="0"/>
        <v>12</v>
      </c>
      <c r="G26" s="26">
        <f t="shared" si="1"/>
        <v>1</v>
      </c>
      <c r="H26" s="26">
        <f t="shared" si="2"/>
        <v>0</v>
      </c>
      <c r="I26" s="26">
        <f t="shared" si="3"/>
        <v>0</v>
      </c>
      <c r="J26" s="26">
        <f t="shared" si="4"/>
        <v>12</v>
      </c>
      <c r="K26" s="26">
        <f t="shared" si="5"/>
        <v>0</v>
      </c>
      <c r="L26" s="26">
        <f t="shared" si="6"/>
        <v>0</v>
      </c>
      <c r="M26" s="26">
        <f t="shared" si="7"/>
        <v>0</v>
      </c>
      <c r="N26" s="26">
        <f t="shared" si="8"/>
        <v>12</v>
      </c>
      <c r="O26" s="26">
        <f t="shared" si="9"/>
        <v>0</v>
      </c>
      <c r="P26" s="26">
        <f t="shared" si="10"/>
        <v>12</v>
      </c>
      <c r="Q26" s="26">
        <f t="shared" si="11"/>
        <v>0</v>
      </c>
      <c r="R26" s="79" t="str">
        <f t="shared" si="12"/>
        <v/>
      </c>
      <c r="T26" s="43"/>
      <c r="U26" s="43"/>
      <c r="V26" s="43"/>
      <c r="W26" s="43"/>
      <c r="X26" s="43"/>
      <c r="Y26" s="43"/>
    </row>
    <row r="27" spans="1:25" x14ac:dyDescent="0.25">
      <c r="A27" s="156" t="s">
        <v>941</v>
      </c>
      <c r="B27" s="156">
        <v>2</v>
      </c>
      <c r="C27" s="26" t="str">
        <f>IFERROR(VLOOKUP($A27,'Species guilds'!$A$3:$F$301,3,FALSE),0)</f>
        <v>T</v>
      </c>
      <c r="D27" s="26" t="str">
        <f>IFERROR(VLOOKUP($A27,'Species guilds'!$A$3:$F$301,4,FALSE),0)</f>
        <v>S</v>
      </c>
      <c r="E27" s="26" t="str">
        <f>IFERROR(VLOOKUP($A27,'Species guilds'!$A$3:$F$301,5,FALSE),0)</f>
        <v>T</v>
      </c>
      <c r="F27" s="26">
        <f t="shared" si="0"/>
        <v>2</v>
      </c>
      <c r="G27" s="26">
        <f t="shared" si="1"/>
        <v>1</v>
      </c>
      <c r="H27" s="26">
        <f t="shared" si="2"/>
        <v>0</v>
      </c>
      <c r="I27" s="26">
        <f t="shared" si="3"/>
        <v>2</v>
      </c>
      <c r="J27" s="26">
        <f t="shared" si="4"/>
        <v>0</v>
      </c>
      <c r="K27" s="26">
        <f t="shared" si="5"/>
        <v>2</v>
      </c>
      <c r="L27" s="26">
        <f t="shared" si="6"/>
        <v>0</v>
      </c>
      <c r="M27" s="26">
        <f t="shared" si="7"/>
        <v>0</v>
      </c>
      <c r="N27" s="26">
        <f t="shared" si="8"/>
        <v>0</v>
      </c>
      <c r="O27" s="26">
        <f t="shared" si="9"/>
        <v>0</v>
      </c>
      <c r="P27" s="26">
        <f t="shared" si="10"/>
        <v>0</v>
      </c>
      <c r="Q27" s="26">
        <f t="shared" si="11"/>
        <v>2</v>
      </c>
      <c r="R27" s="79" t="str">
        <f t="shared" si="12"/>
        <v/>
      </c>
      <c r="T27" s="43"/>
      <c r="U27" s="43"/>
      <c r="V27" s="43"/>
      <c r="W27" s="43"/>
      <c r="X27" s="43"/>
      <c r="Y27" s="43"/>
    </row>
    <row r="28" spans="1:25" x14ac:dyDescent="0.25">
      <c r="A28" s="156" t="s">
        <v>942</v>
      </c>
      <c r="B28" s="156">
        <v>17</v>
      </c>
      <c r="C28" s="26" t="str">
        <f>IFERROR(VLOOKUP($A28,'Species guilds'!$A$3:$F$301,3,FALSE),0)</f>
        <v>W</v>
      </c>
      <c r="D28" s="26" t="str">
        <f>IFERROR(VLOOKUP($A28,'Species guilds'!$A$3:$F$301,4,FALSE),0)</f>
        <v>L</v>
      </c>
      <c r="E28" s="26" t="str">
        <f>IFERROR(VLOOKUP($A28,'Species guilds'!$A$3:$F$301,5,FALSE),0)</f>
        <v>IM</v>
      </c>
      <c r="F28" s="26">
        <f t="shared" si="0"/>
        <v>17</v>
      </c>
      <c r="G28" s="26">
        <f t="shared" si="1"/>
        <v>1</v>
      </c>
      <c r="H28" s="26">
        <f t="shared" si="2"/>
        <v>0</v>
      </c>
      <c r="I28" s="26">
        <f t="shared" si="3"/>
        <v>0</v>
      </c>
      <c r="J28" s="26">
        <f t="shared" si="4"/>
        <v>17</v>
      </c>
      <c r="K28" s="26">
        <f t="shared" si="5"/>
        <v>0</v>
      </c>
      <c r="L28" s="26">
        <f t="shared" si="6"/>
        <v>0</v>
      </c>
      <c r="M28" s="26">
        <f t="shared" si="7"/>
        <v>0</v>
      </c>
      <c r="N28" s="26">
        <f t="shared" si="8"/>
        <v>17</v>
      </c>
      <c r="O28" s="26">
        <f t="shared" si="9"/>
        <v>0</v>
      </c>
      <c r="P28" s="26">
        <f t="shared" si="10"/>
        <v>17</v>
      </c>
      <c r="Q28" s="26">
        <f t="shared" si="11"/>
        <v>0</v>
      </c>
      <c r="R28" s="79" t="str">
        <f t="shared" si="12"/>
        <v/>
      </c>
      <c r="T28" s="31"/>
      <c r="U28" s="43"/>
      <c r="V28" s="43"/>
      <c r="W28" s="43"/>
      <c r="X28" s="43"/>
      <c r="Y28" s="43"/>
    </row>
    <row r="29" spans="1:25" x14ac:dyDescent="0.25">
      <c r="A29" s="156" t="s">
        <v>943</v>
      </c>
      <c r="B29" s="156">
        <v>1</v>
      </c>
      <c r="C29" s="26" t="str">
        <f>IFERROR(VLOOKUP($A29,'Species guilds'!$A$3:$F$301,3,FALSE),0)</f>
        <v>W</v>
      </c>
      <c r="D29" s="26" t="str">
        <f>IFERROR(VLOOKUP($A29,'Species guilds'!$A$3:$F$301,4,FALSE),0)</f>
        <v>L</v>
      </c>
      <c r="E29" s="26" t="str">
        <f>IFERROR(VLOOKUP($A29,'Species guilds'!$A$3:$F$301,5,FALSE),0)</f>
        <v>IM</v>
      </c>
      <c r="F29" s="26">
        <f t="shared" si="0"/>
        <v>1</v>
      </c>
      <c r="G29" s="26">
        <f t="shared" si="1"/>
        <v>1</v>
      </c>
      <c r="H29" s="26">
        <f t="shared" si="2"/>
        <v>0</v>
      </c>
      <c r="I29" s="26">
        <f t="shared" si="3"/>
        <v>0</v>
      </c>
      <c r="J29" s="26">
        <f t="shared" si="4"/>
        <v>1</v>
      </c>
      <c r="K29" s="26">
        <f t="shared" si="5"/>
        <v>0</v>
      </c>
      <c r="L29" s="26">
        <f t="shared" si="6"/>
        <v>0</v>
      </c>
      <c r="M29" s="26">
        <f t="shared" si="7"/>
        <v>0</v>
      </c>
      <c r="N29" s="26">
        <f t="shared" si="8"/>
        <v>1</v>
      </c>
      <c r="O29" s="26">
        <f t="shared" si="9"/>
        <v>0</v>
      </c>
      <c r="P29" s="26">
        <f t="shared" si="10"/>
        <v>1</v>
      </c>
      <c r="Q29" s="26">
        <f t="shared" si="11"/>
        <v>0</v>
      </c>
      <c r="R29" s="79" t="str">
        <f t="shared" si="12"/>
        <v/>
      </c>
      <c r="T29" s="45"/>
      <c r="U29" s="45"/>
      <c r="V29" s="45"/>
      <c r="W29" s="45"/>
      <c r="X29" s="45"/>
      <c r="Y29" s="43"/>
    </row>
    <row r="30" spans="1:25" x14ac:dyDescent="0.25">
      <c r="A30" s="156" t="s">
        <v>944</v>
      </c>
      <c r="B30" s="156">
        <v>1</v>
      </c>
      <c r="C30" s="26" t="str">
        <f>IFERROR(VLOOKUP($A30,'Species guilds'!$A$3:$F$301,3,FALSE),0)</f>
        <v>T</v>
      </c>
      <c r="D30" s="26" t="str">
        <f>IFERROR(VLOOKUP($A30,'Species guilds'!$A$3:$F$301,4,FALSE),0)</f>
        <v>S</v>
      </c>
      <c r="E30" s="26" t="str">
        <f>IFERROR(VLOOKUP($A30,'Species guilds'!$A$3:$F$301,5,FALSE),0)</f>
        <v>IM</v>
      </c>
      <c r="F30" s="26">
        <f t="shared" si="0"/>
        <v>1</v>
      </c>
      <c r="G30" s="26">
        <f t="shared" si="1"/>
        <v>1</v>
      </c>
      <c r="H30" s="26">
        <f t="shared" si="2"/>
        <v>0</v>
      </c>
      <c r="I30" s="26">
        <f t="shared" si="3"/>
        <v>1</v>
      </c>
      <c r="J30" s="26">
        <f t="shared" si="4"/>
        <v>0</v>
      </c>
      <c r="K30" s="26">
        <f t="shared" si="5"/>
        <v>1</v>
      </c>
      <c r="L30" s="26">
        <f t="shared" si="6"/>
        <v>0</v>
      </c>
      <c r="M30" s="26">
        <f t="shared" si="7"/>
        <v>0</v>
      </c>
      <c r="N30" s="26">
        <f t="shared" si="8"/>
        <v>0</v>
      </c>
      <c r="O30" s="26">
        <f t="shared" si="9"/>
        <v>0</v>
      </c>
      <c r="P30" s="26">
        <f t="shared" si="10"/>
        <v>1</v>
      </c>
      <c r="Q30" s="26">
        <f t="shared" si="11"/>
        <v>0</v>
      </c>
      <c r="R30" s="79" t="str">
        <f t="shared" si="12"/>
        <v/>
      </c>
      <c r="T30" s="45"/>
      <c r="U30" s="45"/>
      <c r="V30" s="45"/>
      <c r="W30" s="45"/>
      <c r="X30" s="45"/>
      <c r="Y30" s="43"/>
    </row>
    <row r="31" spans="1:25" x14ac:dyDescent="0.25">
      <c r="A31" s="156" t="s">
        <v>945</v>
      </c>
      <c r="B31" s="156">
        <v>5</v>
      </c>
      <c r="C31" s="26" t="str">
        <f>IFERROR(VLOOKUP($A31,'Species guilds'!$A$3:$F$301,3,FALSE),0)</f>
        <v>W</v>
      </c>
      <c r="D31" s="26" t="str">
        <f>IFERROR(VLOOKUP($A31,'Species guilds'!$A$3:$F$301,4,FALSE),0)</f>
        <v>L</v>
      </c>
      <c r="E31" s="26" t="str">
        <f>IFERROR(VLOOKUP($A31,'Species guilds'!$A$3:$F$301,5,FALSE),0)</f>
        <v>IT</v>
      </c>
      <c r="F31" s="26">
        <f t="shared" si="0"/>
        <v>5</v>
      </c>
      <c r="G31" s="26">
        <f t="shared" si="1"/>
        <v>1</v>
      </c>
      <c r="H31" s="26">
        <f t="shared" si="2"/>
        <v>0</v>
      </c>
      <c r="I31" s="26">
        <f t="shared" si="3"/>
        <v>0</v>
      </c>
      <c r="J31" s="26">
        <f t="shared" si="4"/>
        <v>5</v>
      </c>
      <c r="K31" s="26">
        <f t="shared" si="5"/>
        <v>0</v>
      </c>
      <c r="L31" s="26">
        <f t="shared" si="6"/>
        <v>0</v>
      </c>
      <c r="M31" s="26">
        <f t="shared" si="7"/>
        <v>0</v>
      </c>
      <c r="N31" s="26">
        <f t="shared" si="8"/>
        <v>5</v>
      </c>
      <c r="O31" s="26">
        <f t="shared" si="9"/>
        <v>5</v>
      </c>
      <c r="P31" s="26">
        <f t="shared" si="10"/>
        <v>0</v>
      </c>
      <c r="Q31" s="26">
        <f t="shared" si="11"/>
        <v>0</v>
      </c>
      <c r="R31" s="79" t="str">
        <f t="shared" si="12"/>
        <v/>
      </c>
      <c r="T31" s="45"/>
      <c r="U31" s="45"/>
      <c r="V31" s="45"/>
      <c r="W31" s="45"/>
      <c r="X31" s="45"/>
      <c r="Y31" s="43"/>
    </row>
    <row r="32" spans="1:25" x14ac:dyDescent="0.25">
      <c r="A32" s="156" t="s">
        <v>946</v>
      </c>
      <c r="B32" s="156">
        <v>2</v>
      </c>
      <c r="C32" s="26" t="str">
        <f>IFERROR(VLOOKUP($A32,'Species guilds'!$A$3:$F$301,3,FALSE),0)</f>
        <v>W</v>
      </c>
      <c r="D32" s="26" t="str">
        <f>IFERROR(VLOOKUP($A32,'Species guilds'!$A$3:$F$301,4,FALSE),0)</f>
        <v>S</v>
      </c>
      <c r="E32" s="26" t="str">
        <f>IFERROR(VLOOKUP($A32,'Species guilds'!$A$3:$F$301,5,FALSE),0)</f>
        <v>T</v>
      </c>
      <c r="F32" s="26">
        <f t="shared" si="0"/>
        <v>2</v>
      </c>
      <c r="G32" s="26">
        <f t="shared" si="1"/>
        <v>1</v>
      </c>
      <c r="H32" s="26">
        <f t="shared" si="2"/>
        <v>0</v>
      </c>
      <c r="I32" s="26">
        <f t="shared" si="3"/>
        <v>0</v>
      </c>
      <c r="J32" s="26">
        <f t="shared" si="4"/>
        <v>2</v>
      </c>
      <c r="K32" s="26">
        <f t="shared" si="5"/>
        <v>2</v>
      </c>
      <c r="L32" s="26">
        <f t="shared" si="6"/>
        <v>0</v>
      </c>
      <c r="M32" s="26">
        <f t="shared" si="7"/>
        <v>0</v>
      </c>
      <c r="N32" s="26">
        <f t="shared" si="8"/>
        <v>0</v>
      </c>
      <c r="O32" s="26">
        <f t="shared" si="9"/>
        <v>0</v>
      </c>
      <c r="P32" s="26">
        <f t="shared" si="10"/>
        <v>0</v>
      </c>
      <c r="Q32" s="26">
        <f t="shared" si="11"/>
        <v>2</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139</v>
      </c>
      <c r="F54" s="9">
        <f>SUM(F21:F53)</f>
        <v>139</v>
      </c>
      <c r="G54" s="2"/>
      <c r="H54" s="9">
        <f>SUM(H21:H53)</f>
        <v>0</v>
      </c>
      <c r="I54" s="9">
        <f t="shared" ref="I54:Q54" si="14">SUM(I21:I53)</f>
        <v>39</v>
      </c>
      <c r="J54" s="9">
        <f t="shared" si="14"/>
        <v>100</v>
      </c>
      <c r="K54" s="9">
        <f t="shared" si="14"/>
        <v>5</v>
      </c>
      <c r="L54" s="9">
        <f t="shared" si="14"/>
        <v>54</v>
      </c>
      <c r="M54" s="9">
        <f t="shared" si="14"/>
        <v>0</v>
      </c>
      <c r="N54" s="9">
        <f t="shared" si="14"/>
        <v>80</v>
      </c>
      <c r="O54" s="9">
        <f t="shared" si="14"/>
        <v>16</v>
      </c>
      <c r="P54" s="9">
        <f t="shared" si="14"/>
        <v>88</v>
      </c>
      <c r="Q54" s="9">
        <f t="shared" si="14"/>
        <v>35</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F14" sqref="F1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Mike Sorge</v>
      </c>
      <c r="C4" s="180"/>
      <c r="D4" s="85"/>
      <c r="E4" s="65"/>
      <c r="F4" s="89" t="s">
        <v>836</v>
      </c>
      <c r="G4" s="83"/>
      <c r="H4" s="83"/>
      <c r="I4" s="83"/>
      <c r="J4" s="83"/>
      <c r="K4" s="83"/>
      <c r="L4" s="83"/>
      <c r="M4" s="83"/>
      <c r="N4" s="83"/>
      <c r="O4" s="83"/>
      <c r="P4" s="83"/>
    </row>
    <row r="5" spans="1:16" ht="15" x14ac:dyDescent="0.2">
      <c r="A5" s="65" t="s">
        <v>831</v>
      </c>
      <c r="B5" s="181">
        <f>'Enter field data'!B5</f>
        <v>42498</v>
      </c>
      <c r="C5" s="182"/>
      <c r="D5" s="85"/>
      <c r="E5" s="65"/>
      <c r="F5" s="90"/>
      <c r="G5" s="83" t="s">
        <v>875</v>
      </c>
      <c r="H5" s="83"/>
      <c r="I5" s="83"/>
      <c r="J5" s="83"/>
      <c r="K5" s="83"/>
      <c r="L5" s="83"/>
      <c r="M5" s="83"/>
      <c r="N5" s="83"/>
      <c r="O5" s="83"/>
      <c r="P5" s="83"/>
    </row>
    <row r="6" spans="1:16" ht="15" x14ac:dyDescent="0.2">
      <c r="A6" s="65" t="s">
        <v>830</v>
      </c>
      <c r="B6" s="181">
        <f>'Enter field data'!B6</f>
        <v>42539</v>
      </c>
      <c r="C6" s="182"/>
      <c r="D6" s="85"/>
      <c r="E6" s="65"/>
      <c r="F6" s="91"/>
      <c r="G6" s="83" t="s">
        <v>876</v>
      </c>
      <c r="H6" s="83"/>
      <c r="I6" s="83"/>
      <c r="J6" s="83"/>
      <c r="K6" s="83"/>
      <c r="L6" s="83"/>
      <c r="M6" s="83"/>
      <c r="N6" s="83"/>
      <c r="O6" s="83"/>
      <c r="P6" s="83"/>
    </row>
    <row r="7" spans="1:16" x14ac:dyDescent="0.2">
      <c r="A7" s="65" t="s">
        <v>869</v>
      </c>
      <c r="B7" s="179">
        <f>'Enter field data'!B7</f>
        <v>10046886</v>
      </c>
      <c r="C7" s="183"/>
      <c r="D7" s="85"/>
      <c r="E7" s="65"/>
      <c r="F7" s="65"/>
    </row>
    <row r="8" spans="1:16" x14ac:dyDescent="0.2">
      <c r="A8" s="65" t="s">
        <v>872</v>
      </c>
      <c r="B8" s="179" t="str">
        <f>'Enter field data'!B8</f>
        <v>Koshkonong Creek at Oak Park Road</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Koshkonong Creek</v>
      </c>
      <c r="C11" s="183"/>
      <c r="D11" s="85"/>
      <c r="E11" s="65"/>
      <c r="F11" s="92"/>
    </row>
    <row r="12" spans="1:16" x14ac:dyDescent="0.2">
      <c r="A12" s="65" t="s">
        <v>37</v>
      </c>
      <c r="B12" s="179" t="str">
        <f>'Enter field data'!B12</f>
        <v>Dane</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808800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Warm Mainstem</v>
      </c>
      <c r="E18" s="170"/>
      <c r="F18" s="68"/>
      <c r="I18" s="141"/>
      <c r="J18" s="68"/>
      <c r="K18" s="68"/>
      <c r="L18" s="68"/>
      <c r="M18" s="68"/>
      <c r="N18" s="68"/>
    </row>
    <row r="19" spans="1:30" ht="12.75" customHeight="1" x14ac:dyDescent="0.2">
      <c r="A19" s="177" t="s">
        <v>850</v>
      </c>
      <c r="B19" s="177"/>
      <c r="C19" s="178"/>
      <c r="D19" s="198" t="s">
        <v>918</v>
      </c>
      <c r="E19" s="199"/>
      <c r="F19" s="93"/>
      <c r="I19" s="207"/>
      <c r="J19" s="207"/>
      <c r="K19" s="207"/>
      <c r="L19" s="143"/>
      <c r="M19" s="143"/>
      <c r="N19" s="142"/>
    </row>
    <row r="20" spans="1:30" x14ac:dyDescent="0.2">
      <c r="A20" s="65" t="s">
        <v>851</v>
      </c>
      <c r="B20" s="65"/>
      <c r="C20" s="67"/>
      <c r="D20" s="208" t="s">
        <v>58</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Warm Mainstem</v>
      </c>
      <c r="E29" s="170"/>
      <c r="H29" s="148"/>
      <c r="I29" s="100" t="s">
        <v>913</v>
      </c>
      <c r="L29" s="210"/>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5</v>
      </c>
      <c r="E36" s="111" t="s">
        <v>12</v>
      </c>
      <c r="F36" s="112">
        <f>'Enter field data'!$O$54</f>
        <v>16</v>
      </c>
      <c r="H36" s="148"/>
      <c r="I36" s="108" t="s">
        <v>6</v>
      </c>
      <c r="J36" s="81">
        <f>'Enter field data'!$H$54</f>
        <v>0</v>
      </c>
      <c r="K36" s="109" t="s">
        <v>9</v>
      </c>
      <c r="L36" s="110">
        <f>'Enter field data'!$K$54</f>
        <v>5</v>
      </c>
      <c r="M36" s="111" t="s">
        <v>12</v>
      </c>
      <c r="N36" s="112">
        <f>'Enter field data'!$O$54</f>
        <v>16</v>
      </c>
      <c r="P36" s="108" t="s">
        <v>6</v>
      </c>
      <c r="Q36" s="81">
        <f>'Enter field data'!$H$54</f>
        <v>0</v>
      </c>
      <c r="R36" s="109" t="s">
        <v>9</v>
      </c>
      <c r="S36" s="110">
        <f>'Enter field data'!$K$54</f>
        <v>5</v>
      </c>
      <c r="T36" s="111" t="s">
        <v>12</v>
      </c>
      <c r="U36" s="112">
        <f>'Enter field data'!$O$54</f>
        <v>16</v>
      </c>
      <c r="W36" s="108" t="s">
        <v>6</v>
      </c>
      <c r="X36" s="81">
        <f>'Enter field data'!$H$54</f>
        <v>0</v>
      </c>
      <c r="Y36" s="109" t="s">
        <v>9</v>
      </c>
      <c r="Z36" s="110">
        <f>'Enter field data'!$K$54</f>
        <v>5</v>
      </c>
      <c r="AA36" s="111" t="s">
        <v>12</v>
      </c>
      <c r="AB36" s="112">
        <f>'Enter field data'!$O$54</f>
        <v>16</v>
      </c>
    </row>
    <row r="37" spans="1:28" x14ac:dyDescent="0.2">
      <c r="A37" s="108" t="s">
        <v>7</v>
      </c>
      <c r="B37" s="81">
        <f>'Enter field data'!$I$54</f>
        <v>39</v>
      </c>
      <c r="C37" s="109" t="s">
        <v>10</v>
      </c>
      <c r="D37" s="110">
        <f>'Enter field data'!$L$54</f>
        <v>54</v>
      </c>
      <c r="E37" s="111" t="s">
        <v>13</v>
      </c>
      <c r="F37" s="112">
        <f>'Enter field data'!$P$54</f>
        <v>88</v>
      </c>
      <c r="H37" s="148"/>
      <c r="I37" s="108" t="s">
        <v>7</v>
      </c>
      <c r="J37" s="81">
        <f>'Enter field data'!$I$54</f>
        <v>39</v>
      </c>
      <c r="K37" s="109" t="s">
        <v>10</v>
      </c>
      <c r="L37" s="110">
        <f>'Enter field data'!$L$54</f>
        <v>54</v>
      </c>
      <c r="M37" s="111" t="s">
        <v>13</v>
      </c>
      <c r="N37" s="112">
        <f>'Enter field data'!$P$54</f>
        <v>88</v>
      </c>
      <c r="P37" s="108" t="s">
        <v>7</v>
      </c>
      <c r="Q37" s="81">
        <f>'Enter field data'!$I$54</f>
        <v>39</v>
      </c>
      <c r="R37" s="109" t="s">
        <v>10</v>
      </c>
      <c r="S37" s="110">
        <f>'Enter field data'!$L$54</f>
        <v>54</v>
      </c>
      <c r="T37" s="111" t="s">
        <v>13</v>
      </c>
      <c r="U37" s="112">
        <f>'Enter field data'!$P$54</f>
        <v>88</v>
      </c>
      <c r="W37" s="108" t="s">
        <v>7</v>
      </c>
      <c r="X37" s="81">
        <f>'Enter field data'!$I$54</f>
        <v>39</v>
      </c>
      <c r="Y37" s="109" t="s">
        <v>10</v>
      </c>
      <c r="Z37" s="110">
        <f>'Enter field data'!$L$54</f>
        <v>54</v>
      </c>
      <c r="AA37" s="111" t="s">
        <v>13</v>
      </c>
      <c r="AB37" s="112">
        <f>'Enter field data'!$P$54</f>
        <v>88</v>
      </c>
    </row>
    <row r="38" spans="1:28" x14ac:dyDescent="0.2">
      <c r="A38" s="108" t="s">
        <v>8</v>
      </c>
      <c r="B38" s="81">
        <f>'Enter field data'!$J$54</f>
        <v>100</v>
      </c>
      <c r="C38" s="109" t="s">
        <v>11</v>
      </c>
      <c r="D38" s="110">
        <f>'Enter field data'!$N$54</f>
        <v>80</v>
      </c>
      <c r="E38" s="111" t="s">
        <v>14</v>
      </c>
      <c r="F38" s="112">
        <f>'Enter field data'!$Q$54</f>
        <v>35</v>
      </c>
      <c r="H38" s="148"/>
      <c r="I38" s="108" t="s">
        <v>8</v>
      </c>
      <c r="J38" s="81">
        <f>'Enter field data'!$J$54</f>
        <v>100</v>
      </c>
      <c r="K38" s="109" t="s">
        <v>11</v>
      </c>
      <c r="L38" s="110">
        <f>'Enter field data'!$N$54</f>
        <v>80</v>
      </c>
      <c r="M38" s="111" t="s">
        <v>14</v>
      </c>
      <c r="N38" s="112">
        <f>'Enter field data'!$Q$54</f>
        <v>35</v>
      </c>
      <c r="P38" s="108" t="s">
        <v>8</v>
      </c>
      <c r="Q38" s="81">
        <f>'Enter field data'!$J$54</f>
        <v>100</v>
      </c>
      <c r="R38" s="109" t="s">
        <v>11</v>
      </c>
      <c r="S38" s="110">
        <f>'Enter field data'!$N$54</f>
        <v>80</v>
      </c>
      <c r="T38" s="111" t="s">
        <v>14</v>
      </c>
      <c r="U38" s="112">
        <f>'Enter field data'!$Q$54</f>
        <v>35</v>
      </c>
      <c r="W38" s="108" t="s">
        <v>8</v>
      </c>
      <c r="X38" s="81">
        <f>'Enter field data'!$J$54</f>
        <v>100</v>
      </c>
      <c r="Y38" s="109" t="s">
        <v>11</v>
      </c>
      <c r="Z38" s="110">
        <f>'Enter field data'!$N$54</f>
        <v>80</v>
      </c>
      <c r="AA38" s="111" t="s">
        <v>14</v>
      </c>
      <c r="AB38" s="112">
        <f>'Enter field data'!$Q$54</f>
        <v>35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0.2805755395683453</v>
      </c>
      <c r="C45" s="118">
        <f>VLOOKUP($D$29,'Expected guild %'!$A$5:$G$13,4,FALSE)</f>
        <v>0</v>
      </c>
      <c r="D45" s="118">
        <f>VLOOKUP($D$29,'Expected guild %'!$A$5:$G$13,5,FALSE)</f>
        <v>0.25</v>
      </c>
      <c r="E45" s="119" t="str">
        <f>IF(AND(C45&lt;=B45,B45&lt;= D45)=TRUE,"Y","N")</f>
        <v>N</v>
      </c>
      <c r="F45" s="65"/>
      <c r="H45" s="148"/>
      <c r="I45" s="108" t="s">
        <v>7</v>
      </c>
      <c r="J45" s="117">
        <f>($B$37/'Enter field data'!$F$54)</f>
        <v>0.2805755395683453</v>
      </c>
      <c r="K45" s="118" t="e">
        <f>VLOOKUP(L$29,'Expected guild %'!$A$5:$G$13,4,FALSE)</f>
        <v>#N/A</v>
      </c>
      <c r="L45" s="118" t="e">
        <f>VLOOKUP(L$29,'Expected guild %'!$A$5:$G$13,5,FALSE)</f>
        <v>#N/A</v>
      </c>
      <c r="M45" s="119" t="e">
        <f>IF(AND(K45&lt;=J45,J45&lt;= L45)=TRUE,"Y","N")</f>
        <v>#N/A</v>
      </c>
      <c r="N45" s="65"/>
      <c r="P45" s="108" t="s">
        <v>7</v>
      </c>
      <c r="Q45" s="117">
        <f>($B$37/'Enter field data'!$F$54)</f>
        <v>0.2805755395683453</v>
      </c>
      <c r="R45" s="118" t="e">
        <f>VLOOKUP(S$29,'Expected guild %'!$A$5:$G$13,4,FALSE)</f>
        <v>#N/A</v>
      </c>
      <c r="S45" s="118" t="e">
        <f>VLOOKUP(S$29,'Expected guild %'!$A$5:$G$13,5,FALSE)</f>
        <v>#N/A</v>
      </c>
      <c r="T45" s="119" t="e">
        <f>IF(AND(R45&lt;=Q45,Q45&lt;= S45)=TRUE,"Y","N")</f>
        <v>#N/A</v>
      </c>
      <c r="U45" s="65"/>
      <c r="W45" s="108" t="s">
        <v>7</v>
      </c>
      <c r="X45" s="117">
        <f>($B$37/'Enter field data'!$F$54)</f>
        <v>0.2805755395683453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0.71942446043165464</v>
      </c>
      <c r="C46" s="118">
        <f>VLOOKUP($D$29,'Expected guild %'!$A$5:$G$13,6,FALSE)</f>
        <v>0.75</v>
      </c>
      <c r="D46" s="118">
        <f>VLOOKUP($D$29,'Expected guild %'!$A$5:$G$13,7,FALSE)</f>
        <v>1</v>
      </c>
      <c r="E46" s="119" t="str">
        <f>IF(AND(C46&lt;=B46,B46&lt;= D46)=TRUE,"Y","N")</f>
        <v>N</v>
      </c>
      <c r="F46" s="65"/>
      <c r="H46" s="148"/>
      <c r="I46" s="108" t="s">
        <v>8</v>
      </c>
      <c r="J46" s="117">
        <f>($B$38/'Enter field data'!$F$54)</f>
        <v>0.71942446043165464</v>
      </c>
      <c r="K46" s="118" t="e">
        <f>VLOOKUP(L$29,'Expected guild %'!$A$5:$G$13,6,FALSE)</f>
        <v>#N/A</v>
      </c>
      <c r="L46" s="118" t="e">
        <f>VLOOKUP(L$29,'Expected guild %'!$A$5:$G$13,7,FALSE)</f>
        <v>#N/A</v>
      </c>
      <c r="M46" s="119" t="e">
        <f>IF(AND(K46&lt;=J46,J46&lt;= L46)=TRUE,"Y","N")</f>
        <v>#N/A</v>
      </c>
      <c r="N46" s="65"/>
      <c r="P46" s="108" t="s">
        <v>8</v>
      </c>
      <c r="Q46" s="117">
        <f>($B$38/'Enter field data'!$F$54)</f>
        <v>0.71942446043165464</v>
      </c>
      <c r="R46" s="118" t="e">
        <f>VLOOKUP(S$29,'Expected guild %'!$A$5:$G$13,6,FALSE)</f>
        <v>#N/A</v>
      </c>
      <c r="S46" s="118" t="e">
        <f>VLOOKUP(S$29,'Expected guild %'!$A$5:$G$13,7,FALSE)</f>
        <v>#N/A</v>
      </c>
      <c r="T46" s="119" t="e">
        <f>IF(AND(R46&lt;=Q46,Q46&lt;= S46)=TRUE,"Y","N")</f>
        <v>#N/A</v>
      </c>
      <c r="U46" s="65"/>
      <c r="W46" s="108" t="s">
        <v>8</v>
      </c>
      <c r="X46" s="117">
        <f>($B$38/'Enter field data'!$F$54)</f>
        <v>0.71942446043165464</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3.5971223021582732E-2</v>
      </c>
      <c r="C51" s="120">
        <f>VLOOKUP($D$29,'Expected guild %'!$A$19:$G$27,2,FALSE)</f>
        <v>0</v>
      </c>
      <c r="D51" s="118">
        <f>VLOOKUP($D$29,'Expected guild %'!$A$19:$G$27,3,FALSE)</f>
        <v>0.5</v>
      </c>
      <c r="E51" s="119" t="str">
        <f>IF(AND(C51&lt;=B51,B51&lt;= D51)=TRUE,"Y","N")</f>
        <v>Y</v>
      </c>
      <c r="F51" s="65"/>
      <c r="H51" s="148"/>
      <c r="I51" s="108" t="s">
        <v>9</v>
      </c>
      <c r="J51" s="118">
        <f>($D$36/'Enter field data'!$F$54)</f>
        <v>3.5971223021582732E-2</v>
      </c>
      <c r="K51" s="120" t="e">
        <f>VLOOKUP(L$29,'Expected guild %'!$A$19:$G$27,2,FALSE)</f>
        <v>#N/A</v>
      </c>
      <c r="L51" s="118" t="e">
        <f>VLOOKUP(L$29,'Expected guild %'!$A$19:$G$27,3,FALSE)</f>
        <v>#N/A</v>
      </c>
      <c r="M51" s="119" t="e">
        <f>IF(AND(K51&lt;=J51,J51&lt;= L51)=TRUE,"Y","N")</f>
        <v>#N/A</v>
      </c>
      <c r="N51" s="65"/>
      <c r="P51" s="108" t="s">
        <v>9</v>
      </c>
      <c r="Q51" s="118">
        <f>($D$36/'Enter field data'!$F$54)</f>
        <v>3.5971223021582732E-2</v>
      </c>
      <c r="R51" s="120" t="e">
        <f>VLOOKUP(S$29,'Expected guild %'!$A$19:$G$27,2,FALSE)</f>
        <v>#N/A</v>
      </c>
      <c r="S51" s="118" t="e">
        <f>VLOOKUP(S$29,'Expected guild %'!$A$19:$G$27,3,FALSE)</f>
        <v>#N/A</v>
      </c>
      <c r="T51" s="119" t="e">
        <f>IF(AND(R51&lt;=Q51,Q51&lt;= S51)=TRUE,"Y","N")</f>
        <v>#N/A</v>
      </c>
      <c r="U51" s="65"/>
      <c r="W51" s="108" t="s">
        <v>9</v>
      </c>
      <c r="X51" s="118">
        <f>($D$36/'Enter field data'!$F$54)</f>
        <v>3.5971223021582732E-2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0.38848920863309355</v>
      </c>
      <c r="C52" s="120">
        <f>VLOOKUP($D$29,'Expected guild %'!$A$19:$G$27,4,FALSE)</f>
        <v>0.5</v>
      </c>
      <c r="D52" s="118">
        <f>VLOOKUP($D$29,'Expected guild %'!$A$19:$G$27,5,FALSE)</f>
        <v>1</v>
      </c>
      <c r="E52" s="119" t="str">
        <f>IF(AND(C52&lt;=B52,B52&lt;= D52)=TRUE,"Y","N")</f>
        <v>N</v>
      </c>
      <c r="F52" s="65"/>
      <c r="H52" s="148"/>
      <c r="I52" s="108" t="s">
        <v>10</v>
      </c>
      <c r="J52" s="118">
        <f>($D$37/'Enter field data'!$F$54)</f>
        <v>0.38848920863309355</v>
      </c>
      <c r="K52" s="120" t="e">
        <f>VLOOKUP(L$29,'Expected guild %'!$A$19:$G$27,4,FALSE)</f>
        <v>#N/A</v>
      </c>
      <c r="L52" s="118" t="e">
        <f>VLOOKUP(L$29,'Expected guild %'!$A$19:$G$27,5,FALSE)</f>
        <v>#N/A</v>
      </c>
      <c r="M52" s="119" t="e">
        <f>IF(AND(K52&lt;=J52,J52&lt;= L52)=TRUE,"Y","N")</f>
        <v>#N/A</v>
      </c>
      <c r="N52" s="65"/>
      <c r="P52" s="108" t="s">
        <v>10</v>
      </c>
      <c r="Q52" s="118">
        <f>($D$37/'Enter field data'!$F$54)</f>
        <v>0.38848920863309355</v>
      </c>
      <c r="R52" s="120" t="e">
        <f>VLOOKUP(S$29,'Expected guild %'!$A$19:$G$27,4,FALSE)</f>
        <v>#N/A</v>
      </c>
      <c r="S52" s="118" t="e">
        <f>VLOOKUP(S$29,'Expected guild %'!$A$19:$G$27,5,FALSE)</f>
        <v>#N/A</v>
      </c>
      <c r="T52" s="119" t="e">
        <f>IF(AND(R52&lt;=Q52,Q52&lt;= S52)=TRUE,"Y","N")</f>
        <v>#N/A</v>
      </c>
      <c r="U52" s="65"/>
      <c r="W52" s="108" t="s">
        <v>10</v>
      </c>
      <c r="X52" s="118">
        <f>($D$37/'Enter field data'!$F$54)</f>
        <v>0.38848920863309355</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0.57553956834532372</v>
      </c>
      <c r="C53" s="120">
        <f>VLOOKUP($D$29,'Expected guild %'!$A$19:$G$27,6,FALSE)</f>
        <v>0</v>
      </c>
      <c r="D53" s="118">
        <f>VLOOKUP($D$29,'Expected guild %'!$A$19:$G$27,7,FALSE)</f>
        <v>0.5</v>
      </c>
      <c r="E53" s="119" t="str">
        <f>IF(AND(C53&lt;=B53,B53&lt;= D53)=TRUE,"Y","N")</f>
        <v>N</v>
      </c>
      <c r="F53" s="65"/>
      <c r="H53" s="148"/>
      <c r="I53" s="108" t="s">
        <v>11</v>
      </c>
      <c r="J53" s="118">
        <f>($D$38/'Enter field data'!$F$54)</f>
        <v>0.57553956834532372</v>
      </c>
      <c r="K53" s="120" t="e">
        <f>VLOOKUP(L$29,'Expected guild %'!$A$19:$G$27,6,FALSE)</f>
        <v>#N/A</v>
      </c>
      <c r="L53" s="118" t="e">
        <f>VLOOKUP(L$29,'Expected guild %'!$A$19:$G$27,7,FALSE)</f>
        <v>#N/A</v>
      </c>
      <c r="M53" s="119" t="e">
        <f>IF(AND(K53&lt;=J53,J53&lt;= L53)=TRUE,"Y","N")</f>
        <v>#N/A</v>
      </c>
      <c r="N53" s="65"/>
      <c r="P53" s="108" t="s">
        <v>11</v>
      </c>
      <c r="Q53" s="118">
        <f>($D$38/'Enter field data'!$F$54)</f>
        <v>0.57553956834532372</v>
      </c>
      <c r="R53" s="120" t="e">
        <f>VLOOKUP(S$29,'Expected guild %'!$A$19:$G$27,6,FALSE)</f>
        <v>#N/A</v>
      </c>
      <c r="S53" s="118" t="e">
        <f>VLOOKUP(S$29,'Expected guild %'!$A$19:$G$27,7,FALSE)</f>
        <v>#N/A</v>
      </c>
      <c r="T53" s="119" t="e">
        <f>IF(AND(R53&lt;=Q53,Q53&lt;= S53)=TRUE,"Y","N")</f>
        <v>#N/A</v>
      </c>
      <c r="U53" s="65"/>
      <c r="W53" s="108" t="s">
        <v>11</v>
      </c>
      <c r="X53" s="118">
        <f>($D$38/'Enter field data'!$F$54)</f>
        <v>0.57553956834532372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0.11510791366906475</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0.63309352517985606</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0.25179856115107913</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42539</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20160618</v>
      </c>
    </row>
    <row r="5" spans="1:5" hidden="1" x14ac:dyDescent="0.25">
      <c r="A5" s="37"/>
      <c r="B5" s="37" t="s">
        <v>805</v>
      </c>
      <c r="C5" s="50" t="str">
        <f>CONCATENATE(YEAR(C1-30),IF(MONTH(C1-30)&lt;10,"0"&amp;MONTH(C1-30),MONTH(C1-30)),IF(DAY(C1-30)&lt;10,"0"&amp;DAY(C1-30),DAY(C1-30)))</f>
        <v>20160519</v>
      </c>
    </row>
    <row r="6" spans="1:5" hidden="1" x14ac:dyDescent="0.25">
      <c r="A6" s="37"/>
      <c r="B6" s="37" t="s">
        <v>806</v>
      </c>
      <c r="C6" s="50" t="str">
        <f>CONCATENATE(YEAR(C1-90),IF(MONTH(C1-90)&lt;10,"0"&amp;MONTH(C1-90),MONTH(C1-90)),IF(DAY(C1-90)&lt;10,"0"&amp;DAY(C1-90),DAY(C1-90)))</f>
        <v>20160320</v>
      </c>
    </row>
    <row r="7" spans="1:5" hidden="1" x14ac:dyDescent="0.25">
      <c r="A7" s="37"/>
      <c r="B7" s="37" t="s">
        <v>807</v>
      </c>
      <c r="C7" s="50" t="str">
        <f>CONCATENATE(YEAR(C1-365),IF(MONTH(C1-365)&lt;10,"0"&amp;MONTH(C1-365),MONTH(C1-365)),IF(DAY(C1-365)&lt;10,"0"&amp;DAY(C1-365),DAY(C1-365)))</f>
        <v>20150619</v>
      </c>
    </row>
    <row r="8" spans="1:5" hidden="1" x14ac:dyDescent="0.25">
      <c r="A8" s="37"/>
      <c r="B8" s="37" t="s">
        <v>808</v>
      </c>
      <c r="C8" s="50" t="str">
        <f>CONCATENATE(YEAR(C1-1460),IF(MONTH(C1-1460)&lt;10,"0"&amp;MONTH(C1-1460),MONTH(C1-1460)),IF(DAY(C1-1460)&lt;10,"0"&amp;DAY(C1-1460),DAY(C1-1460)))</f>
        <v>20120619</v>
      </c>
    </row>
    <row r="9" spans="1:5" hidden="1" x14ac:dyDescent="0.25">
      <c r="A9" s="37"/>
      <c r="B9" s="37" t="s">
        <v>809</v>
      </c>
      <c r="C9" s="50">
        <f>IF(MONTH($C$1)=4,DAY($C$1),0)+IF(MONTH($C$1)=5,30-DAY($C$1),0)</f>
        <v>0</v>
      </c>
    </row>
    <row r="10" spans="1:5" hidden="1" x14ac:dyDescent="0.25">
      <c r="A10" s="37"/>
      <c r="B10" s="37" t="s">
        <v>810</v>
      </c>
      <c r="C10" s="50">
        <f>IF(MONTH($C$1)=5,DAY($C$1),0)+IF(MONTH($C$1)=6,30-DAY($C$1),0)</f>
        <v>12</v>
      </c>
    </row>
    <row r="11" spans="1:5" hidden="1" x14ac:dyDescent="0.25">
      <c r="A11" s="37"/>
      <c r="B11" s="37" t="s">
        <v>811</v>
      </c>
      <c r="C11" s="50">
        <f>IF(MONTH($C$1)=6,DAY($C$1),0)+IF(MONTH($C$1)=7,30-DAY($C$1),0)</f>
        <v>18</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2017-08-11T19:15:09Z</dcterms:modified>
</cp:coreProperties>
</file>