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101" windowWidth="18870" windowHeight="8865" tabRatio="630" firstSheet="5" activeTab="5"/>
  </bookViews>
  <sheets>
    <sheet name="2017 Mapping Data" sheetId="1" r:id="rId1"/>
    <sheet name="2012 Mapping Data" sheetId="2" r:id="rId2"/>
    <sheet name="ENTRY " sheetId="3" r:id="rId3"/>
    <sheet name="BOAT SURVEY" sheetId="4" r:id="rId4"/>
    <sheet name="STATS" sheetId="5" r:id="rId5"/>
    <sheet name="2017 Stats Summary" sheetId="6" r:id="rId6"/>
    <sheet name="2012 Stats Summary" sheetId="7" r:id="rId7"/>
    <sheet name="MAX DEPTH GRAPH" sheetId="8" r:id="rId8"/>
    <sheet name="Calculate FQI" sheetId="9" r:id="rId9"/>
    <sheet name="2017 Edited FQI" sheetId="10" r:id="rId10"/>
    <sheet name="2012 Edited FQI" sheetId="11" r:id="rId11"/>
  </sheets>
  <definedNames>
    <definedName name="_xlnm.Print_Area" localSheetId="1">'2012 Mapping Data'!$A$1:$N$24</definedName>
    <definedName name="_xlnm.Print_Area" localSheetId="6">'2012 Stats Summary'!$B$1:$G$35</definedName>
    <definedName name="_xlnm.Print_Area" localSheetId="0">'2017 Mapping Data'!$A$1:$M$24</definedName>
    <definedName name="_xlnm.Print_Area" localSheetId="5">'2017 Stats Summary'!$B$1:$F$35</definedName>
    <definedName name="_xlnm.Print_Area" localSheetId="3">'BOAT SURVEY'!$A$1:$C$15</definedName>
    <definedName name="_xlnm.Print_Area" localSheetId="2">'ENTRY '!$A$1:$AJ$24</definedName>
    <definedName name="_xlnm.Print_Area" localSheetId="4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9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<sst xmlns="http://schemas.openxmlformats.org/spreadsheetml/2006/main" count="3401" uniqueCount="603">
  <si>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</si>
  <si>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</si>
  <si>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</si>
  <si>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</si>
  <si>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</si>
  <si>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</si>
  <si>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</si>
  <si>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</si>
  <si>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</si>
  <si>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</si>
  <si>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</si>
  <si>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</si>
  <si>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</si>
  <si>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</si>
  <si>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</si>
  <si>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</si>
  <si>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</si>
  <si>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</si>
  <si>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</si>
  <si>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</si>
  <si>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</si>
  <si>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</si>
  <si>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</si>
  <si>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</si>
  <si>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</si>
  <si>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</si>
  <si>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</si>
  <si>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</si>
  <si>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</si>
  <si>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</si>
  <si>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</si>
  <si>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</si>
  <si>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</si>
  <si>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</si>
  <si>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</si>
  <si>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</si>
  <si>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</si>
  <si>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</si>
  <si>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</si>
  <si>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</si>
  <si>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</si>
  <si>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</si>
  <si>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</si>
  <si>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</si>
  <si>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</si>
  <si>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</si>
  <si>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</si>
  <si>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</si>
  <si>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</si>
  <si>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</si>
  <si>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</si>
  <si>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</si>
  <si>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</si>
  <si>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</si>
  <si>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</si>
  <si>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</si>
  <si>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</si>
  <si>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</si>
  <si>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</si>
  <si>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</si>
  <si>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</si>
  <si>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</si>
  <si>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</si>
  <si>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</si>
  <si>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</si>
  <si>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</si>
  <si>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</si>
  <si>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</si>
  <si>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</si>
  <si>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</si>
  <si>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</si>
  <si>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</si>
  <si>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</si>
  <si>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</si>
  <si>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</si>
  <si>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</si>
  <si>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</si>
  <si>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</si>
  <si>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</si>
  <si>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</si>
  <si>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</si>
  <si>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</si>
  <si>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</si>
  <si>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</si>
  <si>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</si>
  <si>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</si>
  <si>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</si>
  <si>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</si>
  <si>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</si>
  <si>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</si>
  <si>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</si>
  <si>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</si>
  <si>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</si>
  <si>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</si>
  <si>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</si>
  <si>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</si>
  <si>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</si>
  <si>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</si>
  <si>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</si>
  <si>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</si>
  <si>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</si>
  <si>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</si>
  <si>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</si>
  <si>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</si>
  <si>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</si>
  <si>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</si>
  <si>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</si>
  <si>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</si>
  <si>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</si>
  <si>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</si>
  <si>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</si>
  <si>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</si>
  <si>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</si>
  <si>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</si>
  <si>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</si>
  <si>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</si>
  <si>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</si>
  <si>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</si>
  <si>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</si>
  <si>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</si>
  <si>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</si>
  <si>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</si>
  <si>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</si>
  <si>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</si>
  <si>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</si>
  <si>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</si>
  <si>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</si>
  <si>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</si>
  <si>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</si>
  <si>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</si>
  <si>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</si>
  <si>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</si>
  <si>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</si>
  <si>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</si>
  <si>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</si>
  <si>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</si>
  <si>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</si>
  <si>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</si>
  <si>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</si>
  <si>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</si>
  <si>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</si>
  <si>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</si>
  <si>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</si>
  <si>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</si>
  <si>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</si>
  <si>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</si>
  <si>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</si>
  <si>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</si>
  <si>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</si>
  <si>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</si>
  <si>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</si>
  <si>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</si>
  <si>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</si>
  <si>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</si>
  <si>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</si>
  <si>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</si>
  <si>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</si>
  <si>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</si>
  <si>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</si>
  <si>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</si>
  <si>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</si>
  <si>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</si>
  <si>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</si>
  <si>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</si>
  <si>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</si>
  <si>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</si>
  <si>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</si>
  <si>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</si>
  <si>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</si>
  <si>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</si>
  <si>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</si>
  <si>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</si>
  <si>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</si>
  <si>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</si>
  <si>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</si>
  <si>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</si>
  <si>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</si>
  <si>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</si>
  <si>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</si>
  <si>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</si>
  <si>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</si>
  <si>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</si>
  <si>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</si>
  <si>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</si>
  <si>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</si>
  <si>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</si>
  <si>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</si>
  <si>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</si>
  <si>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</si>
  <si>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</si>
  <si>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</si>
  <si>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</si>
  <si>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</si>
  <si>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</si>
  <si>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</si>
  <si>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</si>
  <si>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</si>
  <si>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</si>
  <si>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</si>
  <si>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</si>
  <si>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</si>
  <si>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</si>
  <si>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</si>
  <si>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</si>
  <si>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</si>
  <si>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</si>
  <si>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</si>
  <si>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</si>
  <si>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</si>
  <si>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</si>
  <si>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</si>
  <si>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</si>
  <si>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</si>
  <si>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</si>
  <si>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</si>
  <si>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</si>
  <si>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</si>
  <si>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</si>
  <si>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</si>
  <si>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</si>
  <si>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</si>
  <si>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</si>
  <si>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</si>
  <si>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</si>
  <si>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</si>
  <si>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</si>
  <si>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</si>
  <si>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</si>
  <si>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</si>
  <si>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</si>
  <si>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</si>
  <si>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</si>
  <si>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</si>
  <si>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</si>
  <si>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</si>
  <si>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</si>
  <si>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</si>
  <si>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</si>
  <si>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</si>
  <si>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</si>
  <si>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</si>
  <si>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</si>
  <si>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</si>
  <si>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</si>
  <si>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</si>
  <si>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</si>
  <si>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</si>
  <si>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</si>
  <si>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</si>
  <si>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</si>
  <si>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</si>
  <si>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</si>
  <si>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</si>
  <si>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</si>
  <si>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</si>
  <si>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</si>
  <si>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</si>
  <si>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</si>
  <si>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</si>
  <si>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</si>
  <si>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</si>
  <si>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</si>
  <si>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</si>
  <si>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</si>
  <si>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</si>
  <si>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</si>
  <si>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</si>
  <si>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</si>
  <si>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</si>
  <si>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</si>
  <si>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</si>
  <si>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</si>
  <si>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</si>
  <si>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</si>
  <si>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</si>
  <si>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</si>
  <si>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</si>
  <si>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</si>
  <si>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</si>
  <si>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</si>
  <si>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</si>
  <si>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</si>
  <si>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</si>
  <si>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</si>
  <si>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</si>
  <si>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</si>
  <si>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</si>
  <si>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</si>
  <si>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</si>
  <si>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</si>
  <si>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</si>
  <si>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</si>
  <si>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</si>
  <si>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</si>
  <si>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</si>
  <si>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</si>
  <si>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</si>
  <si>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</si>
  <si>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</si>
  <si>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</si>
  <si>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</si>
  <si>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</si>
  <si>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</si>
  <si>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</si>
  <si>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</si>
  <si>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</si>
  <si>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</si>
  <si>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</si>
  <si>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</si>
  <si>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</si>
  <si>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</si>
  <si>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</si>
  <si>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</si>
  <si>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</si>
  <si>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</si>
  <si>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</si>
  <si>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</si>
  <si>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</si>
  <si>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</si>
  <si>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</si>
  <si>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</si>
  <si>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</si>
  <si>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</si>
  <si>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</si>
  <si>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</si>
  <si>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</si>
  <si>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</si>
  <si>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</si>
  <si>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</si>
  <si>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</si>
  <si>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</si>
  <si>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</si>
  <si>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</si>
  <si>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</si>
  <si>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</si>
  <si>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</si>
  <si>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</si>
  <si>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</si>
  <si>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</si>
  <si>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</si>
  <si>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</si>
  <si>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</si>
  <si>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</si>
  <si>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</si>
  <si>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</si>
  <si>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</si>
  <si>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</si>
  <si>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</si>
  <si>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</si>
  <si>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</si>
  <si>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</si>
  <si>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</si>
  <si>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</si>
  <si>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</si>
  <si>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</si>
  <si>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</si>
  <si>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</si>
  <si>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</si>
  <si>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</si>
  <si>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</si>
  <si>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</si>
  <si>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</si>
  <si>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</si>
  <si>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</si>
  <si>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</si>
  <si>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</si>
  <si>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</si>
  <si>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</si>
  <si>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</si>
  <si>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</si>
  <si>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</si>
  <si>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</si>
  <si>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</si>
  <si>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</si>
  <si>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</si>
  <si>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</si>
  <si>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</si>
  <si>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</si>
  <si>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</si>
  <si>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</si>
  <si>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</si>
  <si>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</si>
  <si>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</si>
  <si>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</si>
  <si>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</si>
  <si>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</si>
  <si>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</si>
  <si>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</si>
  <si>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</si>
  <si>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</si>
  <si>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</si>
  <si>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</si>
  <si>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</si>
  <si>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</si>
  <si>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</si>
  <si>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</si>
  <si>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</si>
  <si>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</si>
  <si>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</si>
  <si>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</si>
  <si>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</si>
  <si>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</si>
  <si>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</si>
  <si>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</si>
  <si>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</si>
  <si>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</si>
  <si>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</si>
  <si>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</si>
  <si>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</si>
  <si>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</si>
  <si>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</si>
  <si>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</si>
  <si>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</si>
  <si>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</si>
  <si>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</si>
  <si>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</si>
  <si>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</si>
  <si>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</si>
  <si>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</si>
  <si>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</si>
  <si>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</si>
  <si>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</si>
  <si>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</si>
  <si>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</si>
  <si>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</si>
  <si>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</si>
  <si>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</si>
  <si>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</si>
  <si>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</si>
  <si>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</si>
  <si>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</si>
  <si>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</si>
  <si>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</si>
  <si>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</si>
  <si>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</si>
  <si>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</si>
  <si>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</si>
  <si>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</si>
  <si>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</si>
  <si>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</si>
  <si>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</si>
  <si>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</si>
  <si>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</si>
  <si>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</si>
  <si>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</si>
  <si>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</si>
  <si>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</si>
  <si>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</si>
  <si>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</si>
  <si>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</si>
  <si>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</si>
  <si>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</si>
  <si>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</si>
  <si>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</si>
  <si>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</si>
  <si>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</si>
  <si>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</si>
  <si>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</si>
  <si>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</si>
  <si>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</si>
  <si>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</si>
  <si>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</si>
  <si>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</si>
  <si>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</si>
  <si>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</si>
  <si>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</si>
  <si>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</si>
  <si>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</si>
  <si>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</si>
  <si>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</si>
  <si>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</si>
  <si>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Mitchel L. Berg</t>
  </si>
  <si>
    <t>Noah M. Berg</t>
  </si>
  <si>
    <t>Bidens beckii,Water marigold</t>
  </si>
  <si>
    <t>Mean rake fullness (veg. sites only)</t>
  </si>
  <si>
    <t>Chara sp.,Muskgrass</t>
  </si>
  <si>
    <t>Total_Rake_Fullness</t>
  </si>
  <si>
    <t>Clear Lake (Spider Chain)</t>
  </si>
  <si>
    <t>Sawyer</t>
  </si>
  <si>
    <t>8 7 12</t>
  </si>
  <si>
    <t>M</t>
  </si>
  <si>
    <t>S</t>
  </si>
  <si>
    <t>R</t>
  </si>
  <si>
    <t>V</t>
  </si>
  <si>
    <t>Carex lasiocarpa, Narrow-leaved woolly sedge</t>
  </si>
  <si>
    <t>Chara sp.</t>
  </si>
  <si>
    <t>Muskgrass</t>
  </si>
  <si>
    <t>Narrow-leaved bur-reed</t>
  </si>
  <si>
    <t>Carex lasiocarpa</t>
  </si>
  <si>
    <t>**</t>
  </si>
  <si>
    <t>Northern water milfoil</t>
  </si>
  <si>
    <t>Carex utriculata</t>
  </si>
  <si>
    <t>Common yellow lake sedge</t>
  </si>
  <si>
    <t>Lythrum salicaria</t>
  </si>
  <si>
    <t>Blue joint</t>
  </si>
  <si>
    <t>Juncus effusus</t>
  </si>
  <si>
    <t>Common rush</t>
  </si>
  <si>
    <t>***</t>
  </si>
  <si>
    <t>Narrow-leaved woolly sedge</t>
  </si>
  <si>
    <t>Bidens_beckii_Water_marigold</t>
  </si>
  <si>
    <t>Brasenia_schreberi_Watershield</t>
  </si>
  <si>
    <t>Calla_palustris_Wild_calla</t>
  </si>
  <si>
    <t>Elatine_minima_Waterwort</t>
  </si>
  <si>
    <t>Eleocharis_acicularis_Needle_spikerush</t>
  </si>
  <si>
    <t>Eleocharis_palustris_Creeping_spikerush</t>
  </si>
  <si>
    <t>Elodea_canadensis_Common_waterweed</t>
  </si>
  <si>
    <t>Eriocaulon_aquaticum_Pipewort</t>
  </si>
  <si>
    <t>Najas_flexilis_Slender_naiad</t>
  </si>
  <si>
    <t>Najas_guadalupensis_Southern_naiad</t>
  </si>
  <si>
    <t>Nuphar_variegata_Spatterdock</t>
  </si>
  <si>
    <t>Nymphaea_odorata_White_water_lily</t>
  </si>
  <si>
    <t>Pontederia_cordata_Pickerelweed</t>
  </si>
  <si>
    <t>Potamogeton_gramineus_Variable_pondweed</t>
  </si>
  <si>
    <t>Potamogeton_illinoensis_Illinois_pondweed</t>
  </si>
  <si>
    <t>Potamogeton_pusillus_Small_pondweed</t>
  </si>
  <si>
    <t>Potamogeton_robbinsii_Fern_pondweed</t>
  </si>
  <si>
    <t>Ranunculus_flammula_Creeping_spearwort</t>
  </si>
  <si>
    <t>Sagittaria_cristata_Crested_arrowhead</t>
  </si>
  <si>
    <t>Schoenoplectus_subterminalis_Water_bulrush</t>
  </si>
  <si>
    <t>Utricularia_resupinata_Small_purple_bladderwort</t>
  </si>
  <si>
    <t>Utricularia_vulgaris_Common_bladderwort</t>
  </si>
  <si>
    <t>Vallisneria_americana_Wild_celery</t>
  </si>
  <si>
    <t>Dulichium_arundinaceum_Three_way_sedge</t>
  </si>
  <si>
    <t>Myriophyllum_tenellum_Dwarf_water_milfoil</t>
  </si>
  <si>
    <t>Potamogeton_amplifolius_Large_leaf_pondweed</t>
  </si>
  <si>
    <t>Potamogeton_natans_Floating_leaf_pondweed</t>
  </si>
  <si>
    <t>Potamogeton_praelongus_White_stem_pondweed</t>
  </si>
  <si>
    <t>Potamogeton_richardsonii_Clasping_leaf_pondweed</t>
  </si>
  <si>
    <t>Potamogeton_zosteriformis_Flat_stem_pondweed</t>
  </si>
  <si>
    <t>Sparganium_angustifolium_Narrow_leaved_bur_reed</t>
  </si>
  <si>
    <t>Carex_lasiocarpa__Narrow_leaved_woolly_sedge</t>
  </si>
  <si>
    <t>Chara_sp_Muskgrass</t>
  </si>
  <si>
    <t>Juncus_pelocarpus_f_submersus_Brown_fruited_rush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</si>
  <si>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</si>
  <si>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</si>
  <si>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</si>
  <si>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</si>
  <si>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</si>
  <si>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</si>
  <si>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</si>
  <si>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</si>
  <si>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Calamagrostis canadensis</t>
  </si>
  <si>
    <t>Purple loosestrife</t>
  </si>
  <si>
    <t>State listed species</t>
  </si>
  <si>
    <r>
      <t xml:space="preserve">County/State:  </t>
    </r>
    <r>
      <rPr>
        <sz val="8.5"/>
        <rFont val="Times New Roman"/>
        <family val="1"/>
      </rPr>
      <t xml:space="preserve">Sawyer County, Wisconsin          </t>
    </r>
    <r>
      <rPr>
        <b/>
        <sz val="8.5"/>
        <rFont val="Times New Roman"/>
        <family val="1"/>
      </rPr>
      <t xml:space="preserve">Date: </t>
    </r>
    <r>
      <rPr>
        <sz val="8.5"/>
        <rFont val="Times New Roman"/>
        <family val="1"/>
      </rPr>
      <t>8/7/12</t>
    </r>
  </si>
  <si>
    <r>
      <t>Species:</t>
    </r>
    <r>
      <rPr>
        <sz val="8.5"/>
        <rFont val="Times New Roman"/>
        <family val="1"/>
      </rPr>
      <t xml:space="preserve">  </t>
    </r>
    <r>
      <rPr>
        <i/>
        <sz val="8.5"/>
        <rFont val="Times New Roman"/>
        <family val="1"/>
      </rPr>
      <t>(Utricularia resupinata)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Small purple bladderwort</t>
    </r>
    <r>
      <rPr>
        <sz val="8.5"/>
        <rFont val="Times New Roman"/>
        <family val="1"/>
      </rPr>
      <t xml:space="preserve"> </t>
    </r>
  </si>
  <si>
    <r>
      <t>Specimen Location:</t>
    </r>
    <r>
      <rPr>
        <sz val="8.5"/>
        <rFont val="Times New Roman"/>
        <family val="1"/>
      </rPr>
      <t xml:space="preserve">  Clear Lake; N46.10024°, W91.23676°</t>
    </r>
  </si>
  <si>
    <r>
      <t>Collected/Identified by:  Matthew S. Berg  Col. #:</t>
    </r>
    <r>
      <rPr>
        <sz val="8.5"/>
        <rFont val="Times New Roman"/>
        <family val="1"/>
      </rPr>
      <t xml:space="preserve">  MSB-2012-343</t>
    </r>
  </si>
  <si>
    <r>
      <t>Habitat/Distribution:</t>
    </r>
    <r>
      <rPr>
        <sz val="8.5"/>
        <rFont val="Times New Roman"/>
        <family val="1"/>
      </rPr>
      <t xml:space="preserve">  Sand and sandy muck bottom in shallow water 0-1.5 meters deep.  Relatively common throughout Clear where it often carpeted the bottom with other “isoetids”.  Surprisingly absent from other similar looking habitat in Little Spider.</t>
    </r>
  </si>
  <si>
    <r>
      <t>Common Associates:</t>
    </r>
    <r>
      <rPr>
        <sz val="8.5"/>
        <rFont val="Times New Roman"/>
        <family val="1"/>
      </rPr>
      <t xml:space="preserve">  (</t>
    </r>
    <r>
      <rPr>
        <i/>
        <sz val="8.5"/>
        <rFont val="Times New Roman"/>
        <family val="1"/>
      </rPr>
      <t>Eleocharis acicularis</t>
    </r>
    <r>
      <rPr>
        <sz val="8.5"/>
        <rFont val="Times New Roman"/>
        <family val="1"/>
      </rPr>
      <t>) Needle spikerush, (</t>
    </r>
    <r>
      <rPr>
        <i/>
        <sz val="8.5"/>
        <rFont val="Times New Roman"/>
        <family val="1"/>
      </rPr>
      <t>Myriophyllum tenellum</t>
    </r>
    <r>
      <rPr>
        <sz val="8.5"/>
        <rFont val="Times New Roman"/>
        <family val="1"/>
      </rPr>
      <t>) Dwarf water milfoil, (</t>
    </r>
    <r>
      <rPr>
        <i/>
        <sz val="8.5"/>
        <rFont val="Times New Roman"/>
        <family val="1"/>
      </rPr>
      <t>Elatine minima</t>
    </r>
    <r>
      <rPr>
        <sz val="8.5"/>
        <rFont val="Times New Roman"/>
        <family val="1"/>
      </rPr>
      <t>) Waterwort, (</t>
    </r>
    <r>
      <rPr>
        <i/>
        <sz val="8.5"/>
        <rFont val="Times New Roman"/>
        <family val="1"/>
      </rPr>
      <t>Ranunculus flammula</t>
    </r>
    <r>
      <rPr>
        <sz val="8.5"/>
        <rFont val="Times New Roman"/>
        <family val="1"/>
      </rPr>
      <t>) Creeping spearwort, (</t>
    </r>
    <r>
      <rPr>
        <i/>
        <sz val="8.5"/>
        <rFont val="Times New Roman"/>
        <family val="1"/>
      </rPr>
      <t>Najas flexilis</t>
    </r>
    <r>
      <rPr>
        <sz val="8.5"/>
        <rFont val="Times New Roman"/>
        <family val="1"/>
      </rPr>
      <t>) Slender naiad, (</t>
    </r>
    <r>
      <rPr>
        <i/>
        <sz val="8.5"/>
        <rFont val="Times New Roman"/>
        <family val="1"/>
      </rPr>
      <t>Potamogeton gramineus</t>
    </r>
    <r>
      <rPr>
        <sz val="8.5"/>
        <rFont val="Times New Roman"/>
        <family val="1"/>
      </rPr>
      <t>) Variable pondweed, (</t>
    </r>
    <r>
      <rPr>
        <i/>
        <sz val="8.5"/>
        <rFont val="Times New Roman"/>
        <family val="1"/>
      </rPr>
      <t>Chara</t>
    </r>
    <r>
      <rPr>
        <sz val="8.5"/>
        <rFont val="Times New Roman"/>
        <family val="1"/>
      </rPr>
      <t xml:space="preserve"> sp.) Muskgrass, (</t>
    </r>
    <r>
      <rPr>
        <i/>
        <sz val="8.5"/>
        <rFont val="Times New Roman"/>
        <family val="1"/>
      </rPr>
      <t>Juncus pelocarpus</t>
    </r>
    <r>
      <rPr>
        <sz val="8.5"/>
        <rFont val="Times New Roman"/>
        <family val="1"/>
      </rPr>
      <t>) Brown-fruited rush</t>
    </r>
  </si>
  <si>
    <t/>
  </si>
  <si>
    <t>present</t>
  </si>
  <si>
    <t>8 4 2017</t>
  </si>
  <si>
    <t xml:space="preserve"> Narrow-leaved woolly sedge</t>
  </si>
  <si>
    <t>*</t>
  </si>
  <si>
    <t>Latitiude</t>
  </si>
  <si>
    <t>Substrate</t>
  </si>
  <si>
    <t>Littoral_Zone_With_Plants</t>
  </si>
  <si>
    <t>Aquatic_moss</t>
  </si>
  <si>
    <t>Myriophyllum_sibiricum_Northern_water_milfoil</t>
  </si>
  <si>
    <t>Chara_sp__Muskgrass</t>
  </si>
  <si>
    <t>Juncus_pelocarpus_f__submersus_Brown_fruited_rush</t>
  </si>
  <si>
    <t>P</t>
  </si>
  <si>
    <t>No Access - Terrestrial</t>
  </si>
  <si>
    <t>Typha angustifolia</t>
  </si>
  <si>
    <t>Bluejoint</t>
  </si>
  <si>
    <t>Scirpus cyperinus</t>
  </si>
  <si>
    <t>Woolgrass</t>
  </si>
  <si>
    <r>
      <t xml:space="preserve">Chara </t>
    </r>
    <r>
      <rPr>
        <sz val="10"/>
        <rFont val="Times New Roman"/>
        <family val="1"/>
      </rPr>
      <t>sp.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</si>
  <si>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</si>
  <si>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</si>
  <si>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</si>
  <si>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</si>
  <si>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</si>
  <si>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</si>
  <si>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Chara </t>
    </r>
    <r>
      <rPr>
        <sz val="11"/>
        <color indexed="8"/>
        <rFont val="Times New Roman"/>
        <family val="1"/>
      </rPr>
      <t>sp.</t>
    </r>
  </si>
  <si>
    <t>Iris pseudacorus</t>
  </si>
  <si>
    <t>Yellow iris</t>
  </si>
  <si>
    <t>****</t>
  </si>
  <si>
    <t>**** Only seen during the spring survey</t>
  </si>
  <si>
    <t>*** Boat survey</t>
  </si>
  <si>
    <t>** Visuals only</t>
  </si>
  <si>
    <t>* Excluded from the relative frequency calculation</t>
  </si>
  <si>
    <r>
      <t>Wild calla (</t>
    </r>
    <r>
      <rPr>
        <i/>
        <sz val="10"/>
        <rFont val="Arial"/>
        <family val="2"/>
      </rPr>
      <t>Calla palustris</t>
    </r>
    <r>
      <rPr>
        <sz val="10"/>
        <rFont val="Arial"/>
        <family val="0"/>
      </rPr>
      <t>)</t>
    </r>
  </si>
  <si>
    <r>
      <t>Bluejoint (</t>
    </r>
    <r>
      <rPr>
        <i/>
        <sz val="10"/>
        <rFont val="Arial"/>
        <family val="2"/>
      </rPr>
      <t>Calamagrostis canadensis</t>
    </r>
    <r>
      <rPr>
        <sz val="10"/>
        <rFont val="Arial"/>
        <family val="0"/>
      </rPr>
      <t>)</t>
    </r>
  </si>
  <si>
    <r>
      <t>Bottle brush sedge (</t>
    </r>
    <r>
      <rPr>
        <i/>
        <sz val="10"/>
        <rFont val="Arial"/>
        <family val="2"/>
      </rPr>
      <t>Carex comosa</t>
    </r>
    <r>
      <rPr>
        <sz val="10"/>
        <rFont val="Arial"/>
        <family val="0"/>
      </rPr>
      <t>)</t>
    </r>
  </si>
  <si>
    <r>
      <t>Common yellow lake sedge (</t>
    </r>
    <r>
      <rPr>
        <i/>
        <sz val="10"/>
        <rFont val="Arial"/>
        <family val="2"/>
      </rPr>
      <t>Carex utricularia</t>
    </r>
    <r>
      <rPr>
        <sz val="10"/>
        <rFont val="Arial"/>
        <family val="0"/>
      </rPr>
      <t>)</t>
    </r>
  </si>
  <si>
    <r>
      <t>Waterwort (</t>
    </r>
    <r>
      <rPr>
        <i/>
        <sz val="10"/>
        <rFont val="Arial"/>
        <family val="2"/>
      </rPr>
      <t>Elatine minima</t>
    </r>
    <r>
      <rPr>
        <sz val="10"/>
        <rFont val="Arial"/>
        <family val="0"/>
      </rPr>
      <t>)</t>
    </r>
  </si>
  <si>
    <r>
      <t>Common waterweed (</t>
    </r>
    <r>
      <rPr>
        <i/>
        <sz val="10"/>
        <rFont val="Arial"/>
        <family val="2"/>
      </rPr>
      <t>Elodea canadensis</t>
    </r>
    <r>
      <rPr>
        <sz val="10"/>
        <rFont val="Arial"/>
        <family val="0"/>
      </rPr>
      <t>)</t>
    </r>
  </si>
  <si>
    <r>
      <t>Water horsetail (</t>
    </r>
    <r>
      <rPr>
        <i/>
        <sz val="10"/>
        <rFont val="Arial"/>
        <family val="2"/>
      </rPr>
      <t>Equisetum fluviatile</t>
    </r>
    <r>
      <rPr>
        <sz val="10"/>
        <rFont val="Arial"/>
        <family val="0"/>
      </rPr>
      <t>)</t>
    </r>
  </si>
  <si>
    <r>
      <t>Yellow iris (</t>
    </r>
    <r>
      <rPr>
        <i/>
        <sz val="10"/>
        <rFont val="Arial"/>
        <family val="2"/>
      </rPr>
      <t>Iris pseudacorus</t>
    </r>
    <r>
      <rPr>
        <sz val="10"/>
        <rFont val="Arial"/>
        <family val="0"/>
      </rPr>
      <t>)</t>
    </r>
  </si>
  <si>
    <r>
      <t>Common rush (</t>
    </r>
    <r>
      <rPr>
        <i/>
        <sz val="10"/>
        <rFont val="Arial"/>
        <family val="2"/>
      </rPr>
      <t>Juncus effusus</t>
    </r>
    <r>
      <rPr>
        <sz val="10"/>
        <rFont val="Arial"/>
        <family val="0"/>
      </rPr>
      <t>)</t>
    </r>
  </si>
  <si>
    <r>
      <t>Purple loosestrife (</t>
    </r>
    <r>
      <rPr>
        <i/>
        <sz val="10"/>
        <rFont val="Arial"/>
        <family val="2"/>
      </rPr>
      <t>Lythrum salicaria</t>
    </r>
    <r>
      <rPr>
        <sz val="10"/>
        <rFont val="Arial"/>
        <family val="0"/>
      </rPr>
      <t>)</t>
    </r>
  </si>
  <si>
    <r>
      <t>Ribbon-leaf pondweed (</t>
    </r>
    <r>
      <rPr>
        <i/>
        <sz val="10"/>
        <rFont val="Arial"/>
        <family val="2"/>
      </rPr>
      <t>Potamogeton epihydrus</t>
    </r>
    <r>
      <rPr>
        <sz val="10"/>
        <rFont val="Arial"/>
        <family val="0"/>
      </rPr>
      <t>)</t>
    </r>
  </si>
  <si>
    <r>
      <t>Creeping spearwort (</t>
    </r>
    <r>
      <rPr>
        <i/>
        <sz val="10"/>
        <rFont val="Arial"/>
        <family val="2"/>
      </rPr>
      <t>Ranunculus aquatilis</t>
    </r>
    <r>
      <rPr>
        <sz val="10"/>
        <rFont val="Arial"/>
        <family val="0"/>
      </rPr>
      <t>)</t>
    </r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</si>
  <si>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0"/>
      </rPr>
      <t>)</t>
    </r>
  </si>
  <si>
    <r>
      <t>Woolgrass (</t>
    </r>
    <r>
      <rPr>
        <i/>
        <sz val="10"/>
        <rFont val="Arial"/>
        <family val="2"/>
      </rPr>
      <t>Scirpus cyperinus</t>
    </r>
    <r>
      <rPr>
        <sz val="10"/>
        <rFont val="Arial"/>
        <family val="0"/>
      </rPr>
      <t>)</t>
    </r>
  </si>
  <si>
    <r>
      <t>Narrow-leaved cattail (</t>
    </r>
    <r>
      <rPr>
        <i/>
        <sz val="10"/>
        <rFont val="Arial"/>
        <family val="2"/>
      </rPr>
      <t>Typha angustifolia</t>
    </r>
    <r>
      <rPr>
        <sz val="10"/>
        <rFont val="Arial"/>
        <family val="0"/>
      </rPr>
      <t>)</t>
    </r>
  </si>
  <si>
    <r>
      <t>Broad-leaved cattail (</t>
    </r>
    <r>
      <rPr>
        <i/>
        <sz val="10"/>
        <rFont val="Arial"/>
        <family val="2"/>
      </rPr>
      <t>Typha latifolia</t>
    </r>
    <r>
      <rPr>
        <sz val="10"/>
        <rFont val="Arial"/>
        <family val="0"/>
      </rPr>
      <t>)</t>
    </r>
  </si>
  <si>
    <r>
      <t>Common bladderwort (</t>
    </r>
    <r>
      <rPr>
        <i/>
        <sz val="10"/>
        <rFont val="Arial"/>
        <family val="2"/>
      </rPr>
      <t>Utricularia vulgaris</t>
    </r>
    <r>
      <rPr>
        <sz val="10"/>
        <rFont val="Arial"/>
        <family val="0"/>
      </rPr>
      <t>)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</si>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</sst>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6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5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8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textRotation="45" wrapText="1"/>
      <protection locked="0"/>
    </xf>
    <xf numFmtId="0" fontId="15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6" borderId="13" xfId="0" applyFont="1" applyFill="1" applyBorder="1" applyAlignment="1" applyProtection="1">
      <alignment textRotation="45" wrapText="1"/>
      <protection locked="0"/>
    </xf>
    <xf numFmtId="0" fontId="0" fillId="36" borderId="13" xfId="0" applyFont="1" applyFill="1" applyBorder="1" applyAlignment="1" applyProtection="1">
      <alignment textRotation="45"/>
      <protection locked="0"/>
    </xf>
    <xf numFmtId="0" fontId="6" fillId="36" borderId="13" xfId="0" applyFont="1" applyFill="1" applyBorder="1" applyAlignment="1" applyProtection="1">
      <alignment textRotation="45"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textRotation="45"/>
    </xf>
    <xf numFmtId="0" fontId="7" fillId="0" borderId="11" xfId="0" applyFont="1" applyFill="1" applyBorder="1" applyAlignment="1" applyProtection="1">
      <alignment textRotation="45"/>
      <protection locked="0"/>
    </xf>
    <xf numFmtId="0" fontId="7" fillId="0" borderId="10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37" borderId="10" xfId="0" applyFill="1" applyBorder="1" applyAlignment="1" applyProtection="1">
      <alignment/>
      <protection locked="0"/>
    </xf>
    <xf numFmtId="171" fontId="0" fillId="37" borderId="1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38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59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0" fontId="25" fillId="0" borderId="2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25" xfId="59" applyFont="1" applyFill="1" applyBorder="1" applyAlignment="1">
      <alignment horizontal="center"/>
      <protection/>
    </xf>
    <xf numFmtId="0" fontId="26" fillId="0" borderId="26" xfId="58" applyFont="1" applyFill="1" applyBorder="1" applyAlignment="1">
      <alignment horizontal="center"/>
      <protection/>
    </xf>
    <xf numFmtId="171" fontId="26" fillId="0" borderId="26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7" fillId="0" borderId="27" xfId="59" applyFont="1" applyFill="1" applyBorder="1" applyAlignment="1">
      <alignment horizontal="center"/>
      <protection/>
    </xf>
    <xf numFmtId="0" fontId="26" fillId="0" borderId="28" xfId="58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 horizontal="center"/>
      <protection/>
    </xf>
    <xf numFmtId="0" fontId="26" fillId="0" borderId="19" xfId="58" applyFont="1" applyFill="1" applyBorder="1" applyAlignment="1">
      <alignment horizontal="center"/>
      <protection/>
    </xf>
    <xf numFmtId="0" fontId="27" fillId="0" borderId="29" xfId="59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31" xfId="59" applyFont="1" applyFill="1" applyBorder="1" applyAlignment="1">
      <alignment horizontal="center"/>
      <protection/>
    </xf>
    <xf numFmtId="0" fontId="27" fillId="0" borderId="32" xfId="58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/>
      <protection/>
    </xf>
    <xf numFmtId="0" fontId="30" fillId="0" borderId="33" xfId="58" applyFont="1" applyFill="1" applyBorder="1" applyAlignment="1">
      <alignment horizontal="left" wrapText="1"/>
      <protection/>
    </xf>
    <xf numFmtId="0" fontId="26" fillId="0" borderId="34" xfId="58" applyFont="1" applyFill="1" applyBorder="1" applyAlignment="1">
      <alignment horizontal="left" wrapText="1"/>
      <protection/>
    </xf>
    <xf numFmtId="1" fontId="26" fillId="0" borderId="35" xfId="58" applyNumberFormat="1" applyFont="1" applyFill="1" applyBorder="1" applyAlignment="1">
      <alignment wrapText="1"/>
      <protection/>
    </xf>
    <xf numFmtId="1" fontId="26" fillId="0" borderId="36" xfId="58" applyNumberFormat="1" applyFont="1" applyFill="1" applyBorder="1" applyAlignment="1">
      <alignment wrapText="1"/>
      <protection/>
    </xf>
    <xf numFmtId="0" fontId="25" fillId="0" borderId="37" xfId="0" applyFont="1" applyBorder="1" applyAlignment="1">
      <alignment/>
    </xf>
    <xf numFmtId="0" fontId="30" fillId="0" borderId="38" xfId="58" applyFont="1" applyFill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1" fontId="26" fillId="0" borderId="39" xfId="58" applyNumberFormat="1" applyFont="1" applyFill="1" applyBorder="1" applyAlignment="1">
      <alignment wrapText="1"/>
      <protection/>
    </xf>
    <xf numFmtId="0" fontId="30" fillId="0" borderId="38" xfId="59" applyFont="1" applyFill="1" applyBorder="1" applyAlignment="1">
      <alignment horizontal="left" wrapText="1"/>
      <protection/>
    </xf>
    <xf numFmtId="1" fontId="26" fillId="0" borderId="40" xfId="58" applyNumberFormat="1" applyFont="1" applyFill="1" applyBorder="1" applyAlignment="1">
      <alignment wrapText="1"/>
      <protection/>
    </xf>
    <xf numFmtId="0" fontId="26" fillId="0" borderId="10" xfId="58" applyFont="1" applyFill="1" applyBorder="1" applyAlignment="1">
      <alignment horizontal="left" wrapText="1"/>
      <protection/>
    </xf>
    <xf numFmtId="1" fontId="26" fillId="0" borderId="39" xfId="59" applyNumberFormat="1" applyFont="1" applyFill="1" applyBorder="1" applyAlignment="1">
      <alignment wrapText="1"/>
      <protection/>
    </xf>
    <xf numFmtId="0" fontId="26" fillId="0" borderId="10" xfId="0" applyFont="1" applyBorder="1" applyAlignment="1">
      <alignment horizontal="left" vertical="top" wrapText="1"/>
    </xf>
    <xf numFmtId="0" fontId="26" fillId="0" borderId="10" xfId="59" applyFont="1" applyFill="1" applyBorder="1" applyAlignment="1">
      <alignment horizontal="left" wrapText="1"/>
      <protection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31" fillId="0" borderId="38" xfId="59" applyFont="1" applyFill="1" applyBorder="1" applyAlignment="1">
      <alignment horizontal="left" wrapText="1"/>
      <protection/>
    </xf>
    <xf numFmtId="0" fontId="25" fillId="0" borderId="10" xfId="59" applyFont="1" applyFill="1" applyBorder="1" applyAlignment="1">
      <alignment horizontal="left" wrapText="1"/>
      <protection/>
    </xf>
    <xf numFmtId="1" fontId="25" fillId="0" borderId="39" xfId="59" applyNumberFormat="1" applyFont="1" applyFill="1" applyBorder="1" applyAlignment="1">
      <alignment wrapText="1"/>
      <protection/>
    </xf>
    <xf numFmtId="0" fontId="32" fillId="0" borderId="0" xfId="0" applyFont="1" applyAlignment="1">
      <alignment/>
    </xf>
    <xf numFmtId="0" fontId="30" fillId="0" borderId="41" xfId="59" applyFont="1" applyFill="1" applyBorder="1" applyAlignment="1">
      <alignment horizontal="left" wrapText="1"/>
      <protection/>
    </xf>
    <xf numFmtId="0" fontId="25" fillId="0" borderId="42" xfId="0" applyFont="1" applyBorder="1" applyAlignment="1">
      <alignment/>
    </xf>
    <xf numFmtId="1" fontId="26" fillId="0" borderId="43" xfId="59" applyNumberFormat="1" applyFont="1" applyFill="1" applyBorder="1" applyAlignment="1">
      <alignment wrapText="1"/>
      <protection/>
    </xf>
    <xf numFmtId="1" fontId="26" fillId="0" borderId="44" xfId="58" applyNumberFormat="1" applyFont="1" applyFill="1" applyBorder="1" applyAlignment="1">
      <alignment wrapText="1"/>
      <protection/>
    </xf>
    <xf numFmtId="0" fontId="26" fillId="0" borderId="0" xfId="59" applyFont="1" applyFill="1" applyBorder="1" applyAlignment="1">
      <alignment horizontal="left" wrapText="1"/>
      <protection/>
    </xf>
    <xf numFmtId="1" fontId="26" fillId="0" borderId="0" xfId="59" applyNumberFormat="1" applyFont="1" applyFill="1" applyBorder="1" applyAlignment="1">
      <alignment wrapText="1"/>
      <protection/>
    </xf>
    <xf numFmtId="1" fontId="26" fillId="0" borderId="45" xfId="58" applyNumberFormat="1" applyFont="1" applyFill="1" applyBorder="1" applyAlignment="1">
      <alignment wrapText="1"/>
      <protection/>
    </xf>
    <xf numFmtId="0" fontId="25" fillId="0" borderId="0" xfId="0" applyFont="1" applyBorder="1" applyAlignment="1">
      <alignment/>
    </xf>
    <xf numFmtId="0" fontId="27" fillId="0" borderId="0" xfId="59" applyFont="1" applyFill="1" applyBorder="1" applyAlignment="1">
      <alignment horizontal="left" wrapText="1"/>
      <protection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68" fontId="25" fillId="0" borderId="0" xfId="0" applyNumberFormat="1" applyFont="1" applyAlignment="1">
      <alignment/>
    </xf>
    <xf numFmtId="0" fontId="27" fillId="39" borderId="46" xfId="59" applyFont="1" applyFill="1" applyBorder="1" applyAlignment="1">
      <alignment horizontal="left" wrapText="1"/>
      <protection/>
    </xf>
    <xf numFmtId="0" fontId="26" fillId="39" borderId="47" xfId="59" applyFont="1" applyFill="1" applyBorder="1" applyAlignment="1">
      <alignment horizontal="left" wrapText="1"/>
      <protection/>
    </xf>
    <xf numFmtId="0" fontId="25" fillId="36" borderId="47" xfId="0" applyFont="1" applyFill="1" applyBorder="1" applyAlignment="1">
      <alignment/>
    </xf>
    <xf numFmtId="0" fontId="25" fillId="36" borderId="47" xfId="0" applyFont="1" applyFill="1" applyBorder="1" applyAlignment="1">
      <alignment/>
    </xf>
    <xf numFmtId="168" fontId="25" fillId="36" borderId="32" xfId="0" applyNumberFormat="1" applyFont="1" applyFill="1" applyBorder="1" applyAlignment="1">
      <alignment/>
    </xf>
    <xf numFmtId="0" fontId="33" fillId="0" borderId="0" xfId="59" applyFont="1" applyFill="1" applyBorder="1" applyAlignment="1">
      <alignment horizontal="left" wrapText="1"/>
      <protection/>
    </xf>
    <xf numFmtId="0" fontId="17" fillId="0" borderId="0" xfId="0" applyFont="1" applyAlignment="1">
      <alignment horizontal="right"/>
    </xf>
    <xf numFmtId="0" fontId="30" fillId="0" borderId="33" xfId="59" applyFont="1" applyFill="1" applyBorder="1" applyAlignment="1">
      <alignment horizontal="left" wrapText="1"/>
      <protection/>
    </xf>
    <xf numFmtId="0" fontId="25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2" xfId="57" applyFont="1" applyBorder="1" applyAlignment="1">
      <alignment textRotation="45"/>
      <protection/>
    </xf>
    <xf numFmtId="0" fontId="37" fillId="0" borderId="12" xfId="57" applyFont="1" applyBorder="1" applyAlignment="1">
      <alignment/>
      <protection/>
    </xf>
    <xf numFmtId="2" fontId="38" fillId="0" borderId="10" xfId="57" applyNumberFormat="1" applyFont="1" applyBorder="1" applyAlignment="1">
      <alignment textRotation="45"/>
      <protection/>
    </xf>
    <xf numFmtId="0" fontId="38" fillId="0" borderId="10" xfId="57" applyFont="1" applyFill="1" applyBorder="1" applyAlignment="1" applyProtection="1">
      <alignment textRotation="45" wrapText="1"/>
      <protection locked="0"/>
    </xf>
    <xf numFmtId="0" fontId="17" fillId="0" borderId="0" xfId="57" applyFont="1" applyBorder="1" applyAlignment="1">
      <alignment textRotation="45"/>
      <protection/>
    </xf>
    <xf numFmtId="0" fontId="39" fillId="0" borderId="0" xfId="57" applyFont="1" applyProtection="1">
      <alignment/>
      <protection/>
    </xf>
    <xf numFmtId="0" fontId="17" fillId="0" borderId="0" xfId="57" applyFont="1" applyBorder="1" applyAlignment="1">
      <alignment horizontal="left"/>
      <protection/>
    </xf>
    <xf numFmtId="2" fontId="17" fillId="0" borderId="10" xfId="57" applyNumberFormat="1" applyFont="1" applyBorder="1" applyAlignment="1">
      <alignment textRotation="45"/>
      <protection/>
    </xf>
    <xf numFmtId="0" fontId="38" fillId="0" borderId="11" xfId="57" applyFont="1" applyFill="1" applyBorder="1" applyAlignment="1" applyProtection="1">
      <alignment textRotation="45" wrapText="1"/>
      <protection locked="0"/>
    </xf>
    <xf numFmtId="0" fontId="39" fillId="0" borderId="0" xfId="57" applyFont="1" applyFill="1" applyBorder="1" applyProtection="1">
      <alignment/>
      <protection/>
    </xf>
    <xf numFmtId="171" fontId="17" fillId="0" borderId="0" xfId="57" applyNumberFormat="1" applyFont="1" applyBorder="1" applyAlignment="1">
      <alignment horizontal="left"/>
      <protection/>
    </xf>
    <xf numFmtId="0" fontId="29" fillId="0" borderId="0" xfId="57" applyFont="1" applyBorder="1" applyAlignment="1">
      <alignment/>
      <protection/>
    </xf>
    <xf numFmtId="0" fontId="18" fillId="0" borderId="11" xfId="57" applyFont="1" applyFill="1" applyBorder="1" applyAlignment="1" applyProtection="1">
      <alignment textRotation="45"/>
      <protection locked="0"/>
    </xf>
    <xf numFmtId="0" fontId="18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>
      <alignment textRotation="45"/>
      <protection/>
    </xf>
    <xf numFmtId="0" fontId="17" fillId="0" borderId="0" xfId="57" applyFont="1">
      <alignment/>
      <protection/>
    </xf>
    <xf numFmtId="0" fontId="39" fillId="0" borderId="0" xfId="57" applyFont="1">
      <alignment/>
      <protection/>
    </xf>
    <xf numFmtId="2" fontId="17" fillId="33" borderId="10" xfId="57" applyNumberFormat="1" applyFont="1" applyFill="1" applyBorder="1" applyAlignment="1">
      <alignment/>
      <protection/>
    </xf>
    <xf numFmtId="0" fontId="17" fillId="33" borderId="11" xfId="57" applyFont="1" applyFill="1" applyBorder="1">
      <alignment/>
      <protection/>
    </xf>
    <xf numFmtId="0" fontId="17" fillId="0" borderId="0" xfId="57" applyFont="1" applyBorder="1">
      <alignment/>
      <protection/>
    </xf>
    <xf numFmtId="168" fontId="17" fillId="0" borderId="0" xfId="57" applyNumberFormat="1" applyFont="1">
      <alignment/>
      <protection/>
    </xf>
    <xf numFmtId="168" fontId="39" fillId="0" borderId="0" xfId="57" applyNumberFormat="1" applyFont="1">
      <alignment/>
      <protection/>
    </xf>
    <xf numFmtId="2" fontId="39" fillId="33" borderId="10" xfId="57" applyNumberFormat="1" applyFont="1" applyFill="1" applyBorder="1" applyAlignment="1">
      <alignment/>
      <protection/>
    </xf>
    <xf numFmtId="168" fontId="17" fillId="33" borderId="11" xfId="57" applyNumberFormat="1" applyFont="1" applyFill="1" applyBorder="1">
      <alignment/>
      <protection/>
    </xf>
    <xf numFmtId="168" fontId="17" fillId="0" borderId="0" xfId="57" applyNumberFormat="1" applyFont="1" applyBorder="1">
      <alignment/>
      <protection/>
    </xf>
    <xf numFmtId="2" fontId="39" fillId="0" borderId="0" xfId="57" applyNumberFormat="1" applyFont="1">
      <alignment/>
      <protection/>
    </xf>
    <xf numFmtId="2" fontId="17" fillId="33" borderId="10" xfId="57" applyNumberFormat="1" applyFont="1" applyFill="1" applyBorder="1">
      <alignment/>
      <protection/>
    </xf>
    <xf numFmtId="2" fontId="39" fillId="0" borderId="0" xfId="57" applyNumberFormat="1" applyFont="1" applyBorder="1">
      <alignment/>
      <protection/>
    </xf>
    <xf numFmtId="2" fontId="39" fillId="33" borderId="10" xfId="57" applyNumberFormat="1" applyFont="1" applyFill="1" applyBorder="1">
      <alignment/>
      <protection/>
    </xf>
    <xf numFmtId="2" fontId="17" fillId="0" borderId="0" xfId="57" applyNumberFormat="1" applyFont="1">
      <alignment/>
      <protection/>
    </xf>
    <xf numFmtId="2" fontId="17" fillId="0" borderId="0" xfId="57" applyNumberFormat="1" applyFont="1" applyBorder="1">
      <alignment/>
      <protection/>
    </xf>
    <xf numFmtId="1" fontId="17" fillId="0" borderId="0" xfId="57" applyNumberFormat="1" applyFont="1">
      <alignment/>
      <protection/>
    </xf>
    <xf numFmtId="1" fontId="39" fillId="0" borderId="0" xfId="57" applyNumberFormat="1" applyFont="1">
      <alignment/>
      <protection/>
    </xf>
    <xf numFmtId="1" fontId="17" fillId="33" borderId="10" xfId="57" applyNumberFormat="1" applyFont="1" applyFill="1" applyBorder="1" applyAlignment="1">
      <alignment/>
      <protection/>
    </xf>
    <xf numFmtId="1" fontId="17" fillId="0" borderId="0" xfId="57" applyNumberFormat="1" applyFont="1" applyBorder="1">
      <alignment/>
      <protection/>
    </xf>
    <xf numFmtId="1" fontId="39" fillId="0" borderId="0" xfId="57" applyNumberFormat="1" applyFont="1" applyBorder="1">
      <alignment/>
      <protection/>
    </xf>
    <xf numFmtId="1" fontId="17" fillId="33" borderId="11" xfId="57" applyNumberFormat="1" applyFont="1" applyFill="1" applyBorder="1" applyAlignment="1">
      <alignment/>
      <protection/>
    </xf>
    <xf numFmtId="1" fontId="17" fillId="0" borderId="0" xfId="57" applyNumberFormat="1" applyFont="1" applyFill="1" applyBorder="1">
      <alignment/>
      <protection/>
    </xf>
    <xf numFmtId="1" fontId="39" fillId="0" borderId="0" xfId="57" applyNumberFormat="1" applyFont="1" applyFill="1" applyBorder="1">
      <alignment/>
      <protection/>
    </xf>
    <xf numFmtId="1" fontId="17" fillId="0" borderId="0" xfId="57" applyNumberFormat="1" applyFont="1" applyFill="1" applyBorder="1" applyAlignment="1">
      <alignment/>
      <protection/>
    </xf>
    <xf numFmtId="2" fontId="17" fillId="0" borderId="0" xfId="57" applyNumberFormat="1" applyFont="1" applyFill="1" applyBorder="1">
      <alignment/>
      <protection/>
    </xf>
    <xf numFmtId="0" fontId="29" fillId="0" borderId="0" xfId="57" applyFont="1">
      <alignment/>
      <protection/>
    </xf>
    <xf numFmtId="2" fontId="17" fillId="0" borderId="0" xfId="57" applyNumberFormat="1" applyFont="1" applyBorder="1" applyAlignment="1">
      <alignment/>
      <protection/>
    </xf>
    <xf numFmtId="0" fontId="39" fillId="0" borderId="0" xfId="57" applyFont="1" applyBorder="1" applyAlignment="1">
      <alignment/>
      <protection/>
    </xf>
    <xf numFmtId="1" fontId="39" fillId="33" borderId="10" xfId="57" applyNumberFormat="1" applyFont="1" applyFill="1" applyBorder="1" applyAlignment="1">
      <alignment/>
      <protection/>
    </xf>
    <xf numFmtId="0" fontId="18" fillId="0" borderId="0" xfId="57" applyFont="1" applyBorder="1">
      <alignment/>
      <protection/>
    </xf>
    <xf numFmtId="0" fontId="18" fillId="0" borderId="0" xfId="57" applyFont="1">
      <alignment/>
      <protection/>
    </xf>
    <xf numFmtId="0" fontId="17" fillId="0" borderId="0" xfId="57" applyFont="1" applyFill="1" applyBorder="1">
      <alignment/>
      <protection/>
    </xf>
    <xf numFmtId="1" fontId="39" fillId="33" borderId="10" xfId="57" applyNumberFormat="1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40" fillId="0" borderId="0" xfId="57" applyFont="1" applyFill="1" applyBorder="1">
      <alignment/>
      <protection/>
    </xf>
    <xf numFmtId="2" fontId="17" fillId="0" borderId="10" xfId="57" applyNumberFormat="1" applyFont="1" applyBorder="1" applyAlignment="1">
      <alignment/>
      <protection/>
    </xf>
    <xf numFmtId="2" fontId="17" fillId="0" borderId="0" xfId="57" applyNumberFormat="1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34" fillId="0" borderId="0" xfId="59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31921460"/>
        <c:axId val="18857685"/>
      </c:barChart>
      <c:catAx>
        <c:axId val="3192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85"/>
        <c:crosses val="autoZero"/>
        <c:auto val="1"/>
        <c:lblOffset val="100"/>
        <c:tickLblSkip val="2"/>
        <c:noMultiLvlLbl val="0"/>
      </c:catAx>
      <c:valAx>
        <c:axId val="1885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6"/>
  <sheetViews>
    <sheetView zoomScalePageLayoutView="0" workbookViewId="0" topLeftCell="A1">
      <pane xSplit="1" ySplit="1" topLeftCell="I44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" sqref="A1:AM455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37" width="5.7109375" style="4" customWidth="1"/>
    <col min="38" max="38" width="5.7109375" style="20" customWidth="1"/>
    <col min="39" max="16384" width="5.7109375" style="4" customWidth="1"/>
  </cols>
  <sheetData>
    <row r="1" spans="1:39" s="3" customFormat="1" ht="189.75" customHeight="1">
      <c r="A1" s="115" t="s">
        <v>533</v>
      </c>
      <c r="B1" s="116" t="s">
        <v>555</v>
      </c>
      <c r="C1" s="114" t="s">
        <v>535</v>
      </c>
      <c r="D1" s="117" t="s">
        <v>536</v>
      </c>
      <c r="E1" s="114" t="s">
        <v>556</v>
      </c>
      <c r="F1" s="118" t="s">
        <v>538</v>
      </c>
      <c r="G1" s="115" t="s">
        <v>557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560</v>
      </c>
      <c r="M1" s="6" t="s">
        <v>522</v>
      </c>
      <c r="N1" s="6" t="s">
        <v>503</v>
      </c>
      <c r="O1" s="6" t="s">
        <v>504</v>
      </c>
      <c r="P1" s="6" t="s">
        <v>506</v>
      </c>
      <c r="Q1" s="6" t="s">
        <v>561</v>
      </c>
      <c r="R1" s="6" t="s">
        <v>559</v>
      </c>
      <c r="S1" s="6" t="s">
        <v>523</v>
      </c>
      <c r="T1" s="6" t="s">
        <v>507</v>
      </c>
      <c r="U1" s="6" t="s">
        <v>508</v>
      </c>
      <c r="V1" s="6" t="s">
        <v>509</v>
      </c>
      <c r="W1" s="6" t="s">
        <v>510</v>
      </c>
      <c r="X1" s="6" t="s">
        <v>511</v>
      </c>
      <c r="Y1" s="6" t="s">
        <v>524</v>
      </c>
      <c r="Z1" s="6" t="s">
        <v>512</v>
      </c>
      <c r="AA1" s="6" t="s">
        <v>513</v>
      </c>
      <c r="AB1" s="6" t="s">
        <v>525</v>
      </c>
      <c r="AC1" s="6" t="s">
        <v>526</v>
      </c>
      <c r="AD1" s="6" t="s">
        <v>514</v>
      </c>
      <c r="AE1" s="6" t="s">
        <v>515</v>
      </c>
      <c r="AF1" s="6" t="s">
        <v>528</v>
      </c>
      <c r="AG1" s="6" t="s">
        <v>517</v>
      </c>
      <c r="AH1" s="6" t="s">
        <v>518</v>
      </c>
      <c r="AI1" s="6" t="s">
        <v>529</v>
      </c>
      <c r="AJ1" s="6" t="s">
        <v>519</v>
      </c>
      <c r="AK1" s="6" t="s">
        <v>521</v>
      </c>
      <c r="AL1" s="95" t="s">
        <v>558</v>
      </c>
      <c r="AM1" s="114" t="s">
        <v>530</v>
      </c>
    </row>
    <row r="2" spans="1:39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4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98">
        <v>0</v>
      </c>
      <c r="AM2" s="4">
        <v>0</v>
      </c>
    </row>
    <row r="3" spans="1:39" ht="12.75">
      <c r="A3" s="22">
        <v>2</v>
      </c>
      <c r="B3" s="112">
        <v>46.08961</v>
      </c>
      <c r="C3" s="112">
        <v>-91.24139</v>
      </c>
      <c r="D3" s="4">
        <v>2</v>
      </c>
      <c r="E3" s="4" t="s">
        <v>480</v>
      </c>
      <c r="F3" s="101">
        <v>1</v>
      </c>
      <c r="G3" s="22">
        <v>1</v>
      </c>
      <c r="H3" s="83">
        <v>2</v>
      </c>
      <c r="I3" s="4">
        <v>1</v>
      </c>
      <c r="J3" s="24">
        <v>0</v>
      </c>
      <c r="K3" s="24">
        <v>0</v>
      </c>
      <c r="L3" s="2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4</v>
      </c>
      <c r="AI3" s="4">
        <v>0</v>
      </c>
      <c r="AJ3" s="4">
        <v>0</v>
      </c>
      <c r="AK3" s="4">
        <v>0</v>
      </c>
      <c r="AL3" s="98">
        <v>0</v>
      </c>
      <c r="AM3" s="4">
        <v>0</v>
      </c>
    </row>
    <row r="4" spans="1:39" ht="12.75">
      <c r="A4" s="22">
        <v>3</v>
      </c>
      <c r="B4" s="112">
        <v>46.08962</v>
      </c>
      <c r="C4" s="112">
        <v>-91.24078</v>
      </c>
      <c r="D4" s="4">
        <v>2</v>
      </c>
      <c r="E4" s="4" t="s">
        <v>480</v>
      </c>
      <c r="F4" s="101">
        <v>1</v>
      </c>
      <c r="G4" s="22">
        <v>1</v>
      </c>
      <c r="H4" s="83">
        <v>3</v>
      </c>
      <c r="I4" s="4">
        <v>3</v>
      </c>
      <c r="J4" s="24">
        <v>0</v>
      </c>
      <c r="K4" s="24">
        <v>3</v>
      </c>
      <c r="L4" s="2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0</v>
      </c>
      <c r="AJ4" s="4">
        <v>0</v>
      </c>
      <c r="AK4" s="4">
        <v>0</v>
      </c>
      <c r="AL4" s="98">
        <v>0</v>
      </c>
      <c r="AM4" s="4">
        <v>0</v>
      </c>
    </row>
    <row r="5" spans="1:39" ht="12.75">
      <c r="A5" s="22">
        <v>4</v>
      </c>
      <c r="B5" s="112">
        <v>46.08962</v>
      </c>
      <c r="C5" s="112">
        <v>-91.24017</v>
      </c>
      <c r="D5" s="4">
        <v>2.5</v>
      </c>
      <c r="E5" s="4" t="s">
        <v>480</v>
      </c>
      <c r="F5" s="101">
        <v>1</v>
      </c>
      <c r="G5" s="22">
        <v>1</v>
      </c>
      <c r="H5" s="83">
        <v>2</v>
      </c>
      <c r="I5" s="4">
        <v>2</v>
      </c>
      <c r="J5" s="24">
        <v>0</v>
      </c>
      <c r="K5" s="24">
        <v>1</v>
      </c>
      <c r="L5" s="2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2</v>
      </c>
      <c r="AI5" s="4">
        <v>0</v>
      </c>
      <c r="AJ5" s="4">
        <v>0</v>
      </c>
      <c r="AK5" s="4">
        <v>0</v>
      </c>
      <c r="AL5" s="98">
        <v>0</v>
      </c>
      <c r="AM5" s="4">
        <v>0</v>
      </c>
    </row>
    <row r="6" spans="1:39" ht="12.75">
      <c r="A6" s="22">
        <v>5</v>
      </c>
      <c r="B6" s="112">
        <v>46.08963</v>
      </c>
      <c r="C6" s="112">
        <v>-91.23956</v>
      </c>
      <c r="D6" s="4">
        <v>2.5</v>
      </c>
      <c r="E6" s="4" t="s">
        <v>480</v>
      </c>
      <c r="F6" s="101">
        <v>1</v>
      </c>
      <c r="G6" s="22">
        <v>1</v>
      </c>
      <c r="H6" s="83">
        <v>3</v>
      </c>
      <c r="I6" s="4">
        <v>1</v>
      </c>
      <c r="J6" s="24">
        <v>0</v>
      </c>
      <c r="K6" s="24">
        <v>0</v>
      </c>
      <c r="L6" s="2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98">
        <v>0</v>
      </c>
      <c r="AM6" s="4">
        <v>0</v>
      </c>
    </row>
    <row r="7" spans="1:39" ht="12.75">
      <c r="A7" s="22">
        <v>6</v>
      </c>
      <c r="B7" s="112">
        <v>46.09002</v>
      </c>
      <c r="C7" s="112">
        <v>-91.24261</v>
      </c>
      <c r="D7" s="4">
        <v>2</v>
      </c>
      <c r="E7" s="4" t="s">
        <v>481</v>
      </c>
      <c r="F7" s="101">
        <v>1</v>
      </c>
      <c r="G7" s="22">
        <v>1</v>
      </c>
      <c r="H7" s="83">
        <v>4</v>
      </c>
      <c r="I7" s="4">
        <v>3</v>
      </c>
      <c r="J7" s="24">
        <v>0</v>
      </c>
      <c r="K7" s="24">
        <v>0</v>
      </c>
      <c r="L7" s="24">
        <v>0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3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98">
        <v>0</v>
      </c>
      <c r="AM7" s="4">
        <v>0</v>
      </c>
    </row>
    <row r="8" spans="1:39" ht="12.75">
      <c r="A8" s="22">
        <v>7</v>
      </c>
      <c r="B8" s="112">
        <v>46.09003</v>
      </c>
      <c r="C8" s="112">
        <v>-91.24201</v>
      </c>
      <c r="D8" s="4">
        <v>3</v>
      </c>
      <c r="E8" s="4" t="s">
        <v>480</v>
      </c>
      <c r="F8" s="101">
        <v>1</v>
      </c>
      <c r="G8" s="22">
        <v>1</v>
      </c>
      <c r="H8" s="83">
        <v>1</v>
      </c>
      <c r="I8" s="4">
        <v>1</v>
      </c>
      <c r="J8" s="24">
        <v>0</v>
      </c>
      <c r="K8" s="24">
        <v>0</v>
      </c>
      <c r="L8" s="2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98">
        <v>0</v>
      </c>
      <c r="AM8" s="4">
        <v>0</v>
      </c>
    </row>
    <row r="9" spans="1:39" ht="12.75">
      <c r="A9" s="22">
        <v>8</v>
      </c>
      <c r="B9" s="112">
        <v>46.09003</v>
      </c>
      <c r="C9" s="112">
        <v>-91.2414</v>
      </c>
      <c r="D9" s="4">
        <v>3.5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98">
        <v>0</v>
      </c>
      <c r="AM9" s="4">
        <v>0</v>
      </c>
    </row>
    <row r="10" spans="1:39" ht="12.75">
      <c r="A10" s="22">
        <v>9</v>
      </c>
      <c r="B10" s="112">
        <v>46.09004</v>
      </c>
      <c r="C10" s="112">
        <v>-91.24079</v>
      </c>
      <c r="D10" s="4">
        <v>3</v>
      </c>
      <c r="E10" s="4" t="s">
        <v>480</v>
      </c>
      <c r="F10" s="101">
        <v>1</v>
      </c>
      <c r="G10" s="22">
        <v>1</v>
      </c>
      <c r="H10" s="83">
        <v>1</v>
      </c>
      <c r="I10" s="4">
        <v>1</v>
      </c>
      <c r="J10" s="24">
        <v>0</v>
      </c>
      <c r="K10" s="24">
        <v>0</v>
      </c>
      <c r="L10" s="2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4</v>
      </c>
      <c r="AH10" s="4">
        <v>0</v>
      </c>
      <c r="AI10" s="4">
        <v>0</v>
      </c>
      <c r="AJ10" s="4">
        <v>0</v>
      </c>
      <c r="AK10" s="4">
        <v>0</v>
      </c>
      <c r="AL10" s="98">
        <v>0</v>
      </c>
      <c r="AM10" s="4">
        <v>0</v>
      </c>
    </row>
    <row r="11" spans="1:39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0</v>
      </c>
      <c r="H11" s="83">
        <v>0</v>
      </c>
      <c r="I11" s="4">
        <v>0</v>
      </c>
      <c r="J11" s="24">
        <v>0</v>
      </c>
      <c r="K11" s="24">
        <v>0</v>
      </c>
      <c r="L11" s="2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98">
        <v>0</v>
      </c>
      <c r="AM11" s="4">
        <v>0</v>
      </c>
    </row>
    <row r="12" spans="1:39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0</v>
      </c>
      <c r="H12" s="83">
        <v>0</v>
      </c>
      <c r="I12" s="4">
        <v>0</v>
      </c>
      <c r="J12" s="24">
        <v>0</v>
      </c>
      <c r="K12" s="24">
        <v>0</v>
      </c>
      <c r="L12" s="2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98">
        <v>0</v>
      </c>
      <c r="AM12" s="4">
        <v>0</v>
      </c>
    </row>
    <row r="13" spans="1:39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2</v>
      </c>
      <c r="I13" s="4">
        <v>1</v>
      </c>
      <c r="J13" s="24">
        <v>0</v>
      </c>
      <c r="K13" s="24">
        <v>1</v>
      </c>
      <c r="L13" s="2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98">
        <v>0</v>
      </c>
      <c r="AM13" s="4">
        <v>0</v>
      </c>
    </row>
    <row r="14" spans="1:39" ht="12.75">
      <c r="A14" s="22">
        <v>13</v>
      </c>
      <c r="B14" s="112">
        <v>46.09044</v>
      </c>
      <c r="C14" s="112">
        <v>-91.24262</v>
      </c>
      <c r="D14" s="4">
        <v>4</v>
      </c>
      <c r="E14" s="4" t="s">
        <v>480</v>
      </c>
      <c r="F14" s="101">
        <v>1</v>
      </c>
      <c r="G14" s="22">
        <v>1</v>
      </c>
      <c r="H14" s="83">
        <v>2</v>
      </c>
      <c r="I14" s="4">
        <v>1</v>
      </c>
      <c r="J14" s="24">
        <v>0</v>
      </c>
      <c r="K14" s="24">
        <v>0</v>
      </c>
      <c r="L14" s="2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98">
        <v>0</v>
      </c>
      <c r="AM14" s="4">
        <v>0</v>
      </c>
    </row>
    <row r="15" spans="1:39" ht="12.75">
      <c r="A15" s="22">
        <v>14</v>
      </c>
      <c r="B15" s="112">
        <v>46.09045</v>
      </c>
      <c r="C15" s="112">
        <v>-91.24202</v>
      </c>
      <c r="D15" s="4">
        <v>4</v>
      </c>
      <c r="E15" s="4" t="s">
        <v>480</v>
      </c>
      <c r="F15" s="101">
        <v>1</v>
      </c>
      <c r="G15" s="22">
        <v>0</v>
      </c>
      <c r="H15" s="83">
        <v>0</v>
      </c>
      <c r="I15" s="4">
        <v>0</v>
      </c>
      <c r="J15" s="24">
        <v>0</v>
      </c>
      <c r="K15" s="24">
        <v>0</v>
      </c>
      <c r="L15" s="2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98">
        <v>0</v>
      </c>
      <c r="AM15" s="4">
        <v>0</v>
      </c>
    </row>
    <row r="16" spans="1:39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2</v>
      </c>
      <c r="I16" s="4">
        <v>1</v>
      </c>
      <c r="J16" s="24">
        <v>0</v>
      </c>
      <c r="K16" s="24">
        <v>0</v>
      </c>
      <c r="L16" s="2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98">
        <v>0</v>
      </c>
      <c r="AM16" s="4">
        <v>0</v>
      </c>
    </row>
    <row r="17" spans="1:39" ht="12.75">
      <c r="A17" s="22">
        <v>16</v>
      </c>
      <c r="B17" s="112">
        <v>46.09046</v>
      </c>
      <c r="C17" s="112">
        <v>-91.2408</v>
      </c>
      <c r="D17" s="4">
        <v>5.5</v>
      </c>
      <c r="E17" s="4" t="s">
        <v>480</v>
      </c>
      <c r="F17" s="101">
        <v>1</v>
      </c>
      <c r="G17" s="22">
        <v>1</v>
      </c>
      <c r="H17" s="83">
        <v>2</v>
      </c>
      <c r="I17" s="4">
        <v>2</v>
      </c>
      <c r="J17" s="24">
        <v>0</v>
      </c>
      <c r="K17" s="24">
        <v>0</v>
      </c>
      <c r="L17" s="2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98">
        <v>0</v>
      </c>
      <c r="AM17" s="4">
        <v>0</v>
      </c>
    </row>
    <row r="18" spans="1:39" ht="12.75">
      <c r="A18" s="22">
        <v>17</v>
      </c>
      <c r="B18" s="112">
        <v>46.09047</v>
      </c>
      <c r="C18" s="112">
        <v>-91.24019</v>
      </c>
      <c r="D18" s="4">
        <v>4.5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4</v>
      </c>
      <c r="AH18" s="4">
        <v>0</v>
      </c>
      <c r="AI18" s="4">
        <v>0</v>
      </c>
      <c r="AJ18" s="4">
        <v>0</v>
      </c>
      <c r="AK18" s="4">
        <v>0</v>
      </c>
      <c r="AL18" s="98">
        <v>0</v>
      </c>
      <c r="AM18" s="4">
        <v>0</v>
      </c>
    </row>
    <row r="19" spans="1:39" ht="12.75">
      <c r="A19" s="22">
        <v>18</v>
      </c>
      <c r="B19" s="112">
        <v>46.09048</v>
      </c>
      <c r="C19" s="112">
        <v>-91.23958</v>
      </c>
      <c r="D19" s="4">
        <v>4.5</v>
      </c>
      <c r="E19" s="4" t="s">
        <v>480</v>
      </c>
      <c r="F19" s="101">
        <v>1</v>
      </c>
      <c r="G19" s="22">
        <v>1</v>
      </c>
      <c r="H19" s="83">
        <v>1</v>
      </c>
      <c r="I19" s="4">
        <v>1</v>
      </c>
      <c r="J19" s="24">
        <v>0</v>
      </c>
      <c r="K19" s="24">
        <v>0</v>
      </c>
      <c r="L19" s="2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98">
        <v>0</v>
      </c>
      <c r="AM19" s="4">
        <v>0</v>
      </c>
    </row>
    <row r="20" spans="1:39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1</v>
      </c>
      <c r="I20" s="4">
        <v>2</v>
      </c>
      <c r="J20" s="24">
        <v>0</v>
      </c>
      <c r="K20" s="24">
        <v>0</v>
      </c>
      <c r="L20" s="2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</v>
      </c>
      <c r="AH20" s="4">
        <v>0</v>
      </c>
      <c r="AI20" s="4">
        <v>0</v>
      </c>
      <c r="AJ20" s="4">
        <v>0</v>
      </c>
      <c r="AK20" s="4">
        <v>0</v>
      </c>
      <c r="AL20" s="98">
        <v>0</v>
      </c>
      <c r="AM20" s="4">
        <v>0</v>
      </c>
    </row>
    <row r="21" spans="1:39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98">
        <v>0</v>
      </c>
      <c r="AM21" s="4">
        <v>0</v>
      </c>
    </row>
    <row r="22" spans="1:39" ht="12.75">
      <c r="A22" s="22">
        <v>21</v>
      </c>
      <c r="B22" s="112">
        <v>46.09049</v>
      </c>
      <c r="C22" s="112">
        <v>-91.23776</v>
      </c>
      <c r="D22" s="4">
        <v>3</v>
      </c>
      <c r="E22" s="4" t="s">
        <v>480</v>
      </c>
      <c r="F22" s="101">
        <v>1</v>
      </c>
      <c r="G22" s="22">
        <v>1</v>
      </c>
      <c r="H22" s="83">
        <v>2</v>
      </c>
      <c r="I22" s="4">
        <v>1</v>
      </c>
      <c r="J22" s="24">
        <v>0</v>
      </c>
      <c r="K22" s="24">
        <v>0</v>
      </c>
      <c r="L22" s="2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4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98">
        <v>0</v>
      </c>
      <c r="AM22" s="4">
        <v>0</v>
      </c>
    </row>
    <row r="23" spans="1:39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98">
        <v>0</v>
      </c>
      <c r="AM23" s="4">
        <v>0</v>
      </c>
    </row>
    <row r="24" spans="1:39" ht="12.75">
      <c r="A24" s="22">
        <v>23</v>
      </c>
      <c r="B24" s="112">
        <v>46.09086</v>
      </c>
      <c r="C24" s="112">
        <v>-91.24263</v>
      </c>
      <c r="D24" s="4">
        <v>4.5</v>
      </c>
      <c r="E24" s="4" t="s">
        <v>480</v>
      </c>
      <c r="F24" s="101">
        <v>1</v>
      </c>
      <c r="G24" s="22">
        <v>1</v>
      </c>
      <c r="H24" s="83">
        <v>1</v>
      </c>
      <c r="I24" s="4">
        <v>2</v>
      </c>
      <c r="J24" s="24">
        <v>0</v>
      </c>
      <c r="K24" s="24">
        <v>2</v>
      </c>
      <c r="L24" s="2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98">
        <v>0</v>
      </c>
      <c r="AM24" s="4">
        <v>0</v>
      </c>
    </row>
    <row r="25" spans="1:39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1</v>
      </c>
      <c r="J25" s="24">
        <v>0</v>
      </c>
      <c r="K25" s="24">
        <v>0</v>
      </c>
      <c r="L25" s="2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4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98">
        <v>0</v>
      </c>
      <c r="AM25" s="4">
        <v>0</v>
      </c>
    </row>
    <row r="26" spans="1:39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2</v>
      </c>
      <c r="I26" s="4">
        <v>1</v>
      </c>
      <c r="J26" s="24">
        <v>0</v>
      </c>
      <c r="K26" s="24">
        <v>0</v>
      </c>
      <c r="L26" s="2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98">
        <v>0</v>
      </c>
      <c r="AM26" s="4">
        <v>0</v>
      </c>
    </row>
    <row r="27" spans="1:39" ht="12.75">
      <c r="A27" s="22">
        <v>26</v>
      </c>
      <c r="B27" s="112">
        <v>46.09089</v>
      </c>
      <c r="C27" s="112">
        <v>-91.24081</v>
      </c>
      <c r="D27" s="4">
        <v>5</v>
      </c>
      <c r="E27" s="4" t="s">
        <v>480</v>
      </c>
      <c r="F27" s="101">
        <v>1</v>
      </c>
      <c r="G27" s="22">
        <v>1</v>
      </c>
      <c r="H27" s="83">
        <v>1</v>
      </c>
      <c r="I27" s="4">
        <v>2</v>
      </c>
      <c r="J27" s="24">
        <v>0</v>
      </c>
      <c r="K27" s="24">
        <v>0</v>
      </c>
      <c r="L27" s="2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98">
        <v>0</v>
      </c>
      <c r="AM27" s="4">
        <v>0</v>
      </c>
    </row>
    <row r="28" spans="1:39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2</v>
      </c>
      <c r="I28" s="4">
        <v>1</v>
      </c>
      <c r="J28" s="24">
        <v>0</v>
      </c>
      <c r="K28" s="24">
        <v>0</v>
      </c>
      <c r="L28" s="2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98">
        <v>0</v>
      </c>
      <c r="AM28" s="4">
        <v>0</v>
      </c>
    </row>
    <row r="29" spans="1:39" ht="12.75">
      <c r="A29" s="22">
        <v>28</v>
      </c>
      <c r="B29" s="112">
        <v>46.0909</v>
      </c>
      <c r="C29" s="112">
        <v>-91.23959</v>
      </c>
      <c r="D29" s="4">
        <v>5</v>
      </c>
      <c r="E29" s="4" t="s">
        <v>480</v>
      </c>
      <c r="F29" s="101">
        <v>1</v>
      </c>
      <c r="G29" s="22">
        <v>0</v>
      </c>
      <c r="H29" s="83">
        <v>0</v>
      </c>
      <c r="I29" s="4">
        <v>0</v>
      </c>
      <c r="J29" s="24">
        <v>0</v>
      </c>
      <c r="K29" s="24">
        <v>0</v>
      </c>
      <c r="L29" s="2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98">
        <v>0</v>
      </c>
      <c r="AM29" s="4">
        <v>0</v>
      </c>
    </row>
    <row r="30" spans="1:39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2</v>
      </c>
      <c r="J30" s="24">
        <v>0</v>
      </c>
      <c r="K30" s="24">
        <v>1</v>
      </c>
      <c r="L30" s="24">
        <v>1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4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98">
        <v>0</v>
      </c>
      <c r="AM30" s="4">
        <v>0</v>
      </c>
    </row>
    <row r="31" spans="1:39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98">
        <v>0</v>
      </c>
      <c r="AM31" s="4">
        <v>0</v>
      </c>
    </row>
    <row r="32" spans="1:39" ht="12.75">
      <c r="A32" s="22">
        <v>31</v>
      </c>
      <c r="B32" s="112">
        <v>46.09092</v>
      </c>
      <c r="C32" s="112">
        <v>-91.23716</v>
      </c>
      <c r="D32" s="4">
        <v>3.5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4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98">
        <v>0</v>
      </c>
      <c r="AM32" s="4">
        <v>0</v>
      </c>
    </row>
    <row r="33" spans="1:39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4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98">
        <v>0</v>
      </c>
      <c r="AM33" s="4">
        <v>0</v>
      </c>
    </row>
    <row r="34" spans="1:39" ht="12.75">
      <c r="A34" s="22">
        <v>33</v>
      </c>
      <c r="B34" s="112">
        <v>46.09129</v>
      </c>
      <c r="C34" s="112">
        <v>-91.24264</v>
      </c>
      <c r="D34" s="4">
        <v>4.5</v>
      </c>
      <c r="E34" s="4" t="s">
        <v>480</v>
      </c>
      <c r="F34" s="101">
        <v>1</v>
      </c>
      <c r="G34" s="22">
        <v>0</v>
      </c>
      <c r="H34" s="83">
        <v>0</v>
      </c>
      <c r="I34" s="4">
        <v>0</v>
      </c>
      <c r="J34" s="24">
        <v>0</v>
      </c>
      <c r="K34" s="24">
        <v>0</v>
      </c>
      <c r="L34" s="2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98">
        <v>0</v>
      </c>
      <c r="AM34" s="4">
        <v>0</v>
      </c>
    </row>
    <row r="35" spans="1:39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98">
        <v>0</v>
      </c>
      <c r="AM35" s="4">
        <v>0</v>
      </c>
    </row>
    <row r="36" spans="1:39" ht="12.75">
      <c r="A36" s="22">
        <v>35</v>
      </c>
      <c r="B36" s="112">
        <v>46.0913</v>
      </c>
      <c r="C36" s="112">
        <v>-91.24143</v>
      </c>
      <c r="D36" s="4">
        <v>5</v>
      </c>
      <c r="E36" s="4" t="s">
        <v>480</v>
      </c>
      <c r="F36" s="101">
        <v>1</v>
      </c>
      <c r="G36" s="22">
        <v>0</v>
      </c>
      <c r="H36" s="83">
        <v>0</v>
      </c>
      <c r="I36" s="4">
        <v>0</v>
      </c>
      <c r="J36" s="24">
        <v>0</v>
      </c>
      <c r="K36" s="24">
        <v>0</v>
      </c>
      <c r="L36" s="2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4</v>
      </c>
      <c r="Z36" s="4">
        <v>0</v>
      </c>
      <c r="AA36" s="4">
        <v>0</v>
      </c>
      <c r="AB36" s="4">
        <v>0</v>
      </c>
      <c r="AC36" s="4">
        <v>4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98">
        <v>0</v>
      </c>
      <c r="AM36" s="4">
        <v>0</v>
      </c>
    </row>
    <row r="37" spans="1:39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0</v>
      </c>
      <c r="H37" s="83">
        <v>0</v>
      </c>
      <c r="I37" s="4">
        <v>0</v>
      </c>
      <c r="J37" s="24">
        <v>0</v>
      </c>
      <c r="K37" s="24">
        <v>0</v>
      </c>
      <c r="L37" s="2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98">
        <v>0</v>
      </c>
      <c r="AM37" s="4">
        <v>0</v>
      </c>
    </row>
    <row r="38" spans="1:39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0</v>
      </c>
      <c r="H38" s="83">
        <v>0</v>
      </c>
      <c r="I38" s="4">
        <v>0</v>
      </c>
      <c r="J38" s="24">
        <v>0</v>
      </c>
      <c r="K38" s="24">
        <v>0</v>
      </c>
      <c r="L38" s="2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98">
        <v>0</v>
      </c>
      <c r="AM38" s="4">
        <v>0</v>
      </c>
    </row>
    <row r="39" spans="1:39" ht="12.75">
      <c r="A39" s="22">
        <v>38</v>
      </c>
      <c r="B39" s="112">
        <v>46.09132</v>
      </c>
      <c r="C39" s="112">
        <v>-91.2396</v>
      </c>
      <c r="D39" s="4">
        <v>2.5</v>
      </c>
      <c r="E39" s="4" t="s">
        <v>481</v>
      </c>
      <c r="F39" s="101">
        <v>1</v>
      </c>
      <c r="G39" s="22">
        <v>1</v>
      </c>
      <c r="H39" s="83">
        <v>2</v>
      </c>
      <c r="I39" s="4">
        <v>2</v>
      </c>
      <c r="J39" s="24">
        <v>0</v>
      </c>
      <c r="K39" s="24">
        <v>0</v>
      </c>
      <c r="L39" s="24">
        <v>1</v>
      </c>
      <c r="M39" s="4">
        <v>0</v>
      </c>
      <c r="N39" s="4">
        <v>0</v>
      </c>
      <c r="O39" s="4">
        <v>0</v>
      </c>
      <c r="P39" s="4">
        <v>4</v>
      </c>
      <c r="Q39" s="4">
        <v>0</v>
      </c>
      <c r="R39" s="4">
        <v>0</v>
      </c>
      <c r="S39" s="4">
        <v>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98">
        <v>0</v>
      </c>
      <c r="AM39" s="4">
        <v>0</v>
      </c>
    </row>
    <row r="40" spans="1:39" ht="12.75">
      <c r="A40" s="22">
        <v>39</v>
      </c>
      <c r="B40" s="112">
        <v>46.09133</v>
      </c>
      <c r="C40" s="112">
        <v>-91.23899</v>
      </c>
      <c r="D40" s="4">
        <v>4</v>
      </c>
      <c r="E40" s="4" t="s">
        <v>480</v>
      </c>
      <c r="F40" s="101">
        <v>1</v>
      </c>
      <c r="G40" s="22">
        <v>1</v>
      </c>
      <c r="H40" s="83">
        <v>1</v>
      </c>
      <c r="I40" s="4">
        <v>1</v>
      </c>
      <c r="J40" s="24">
        <v>0</v>
      </c>
      <c r="K40" s="24">
        <v>0</v>
      </c>
      <c r="L40" s="2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98">
        <v>0</v>
      </c>
      <c r="AM40" s="4">
        <v>0</v>
      </c>
    </row>
    <row r="41" spans="1:39" ht="12.75">
      <c r="A41" s="22">
        <v>40</v>
      </c>
      <c r="B41" s="112">
        <v>46.09134</v>
      </c>
      <c r="C41" s="112">
        <v>-91.23839</v>
      </c>
      <c r="D41" s="4">
        <v>4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98">
        <v>0</v>
      </c>
      <c r="AM41" s="4">
        <v>0</v>
      </c>
    </row>
    <row r="42" spans="1:39" ht="12.75">
      <c r="A42" s="22">
        <v>41</v>
      </c>
      <c r="B42" s="112">
        <v>46.09134</v>
      </c>
      <c r="C42" s="112">
        <v>-91.23778</v>
      </c>
      <c r="D42" s="4">
        <v>4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98">
        <v>0</v>
      </c>
      <c r="AM42" s="4">
        <v>0</v>
      </c>
    </row>
    <row r="43" spans="1:39" ht="12.75">
      <c r="A43" s="22">
        <v>42</v>
      </c>
      <c r="B43" s="112">
        <v>46.09135</v>
      </c>
      <c r="C43" s="112">
        <v>-91.23717</v>
      </c>
      <c r="D43" s="4">
        <v>4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98">
        <v>0</v>
      </c>
      <c r="AM43" s="4">
        <v>0</v>
      </c>
    </row>
    <row r="44" spans="1:39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0</v>
      </c>
      <c r="H44" s="83">
        <v>0</v>
      </c>
      <c r="I44" s="4">
        <v>0</v>
      </c>
      <c r="J44" s="24">
        <v>0</v>
      </c>
      <c r="K44" s="24">
        <v>0</v>
      </c>
      <c r="L44" s="2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98">
        <v>0</v>
      </c>
      <c r="AM44" s="4">
        <v>0</v>
      </c>
    </row>
    <row r="45" spans="1:39" ht="12.75">
      <c r="A45" s="22">
        <v>44</v>
      </c>
      <c r="B45" s="112">
        <v>46.09171</v>
      </c>
      <c r="C45" s="112">
        <v>-91.24326</v>
      </c>
      <c r="D45" s="4">
        <v>3.5</v>
      </c>
      <c r="E45" s="4" t="s">
        <v>480</v>
      </c>
      <c r="F45" s="101">
        <v>1</v>
      </c>
      <c r="G45" s="22">
        <v>0</v>
      </c>
      <c r="H45" s="83">
        <v>0</v>
      </c>
      <c r="I45" s="4">
        <v>0</v>
      </c>
      <c r="J45" s="24">
        <v>0</v>
      </c>
      <c r="K45" s="24">
        <v>0</v>
      </c>
      <c r="L45" s="2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4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98">
        <v>0</v>
      </c>
      <c r="AM45" s="4">
        <v>0</v>
      </c>
    </row>
    <row r="46" spans="1:39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1</v>
      </c>
      <c r="I46" s="4">
        <v>1</v>
      </c>
      <c r="J46" s="24">
        <v>0</v>
      </c>
      <c r="K46" s="24">
        <v>0</v>
      </c>
      <c r="L46" s="2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98">
        <v>0</v>
      </c>
      <c r="AM46" s="4">
        <v>0</v>
      </c>
    </row>
    <row r="47" spans="1:39" ht="12.75">
      <c r="A47" s="22">
        <v>46</v>
      </c>
      <c r="B47" s="112">
        <v>46.09172</v>
      </c>
      <c r="C47" s="112">
        <v>-91.24204</v>
      </c>
      <c r="D47" s="4">
        <v>5</v>
      </c>
      <c r="E47" s="4" t="s">
        <v>480</v>
      </c>
      <c r="F47" s="101">
        <v>1</v>
      </c>
      <c r="G47" s="22">
        <v>1</v>
      </c>
      <c r="H47" s="83">
        <v>1</v>
      </c>
      <c r="I47" s="4">
        <v>1</v>
      </c>
      <c r="J47" s="24">
        <v>0</v>
      </c>
      <c r="K47" s="24">
        <v>0</v>
      </c>
      <c r="L47" s="2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98">
        <v>0</v>
      </c>
      <c r="AM47" s="4">
        <v>0</v>
      </c>
    </row>
    <row r="48" spans="1:39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1</v>
      </c>
      <c r="H48" s="83">
        <v>1</v>
      </c>
      <c r="I48" s="4">
        <v>1</v>
      </c>
      <c r="J48" s="24">
        <v>0</v>
      </c>
      <c r="K48" s="24">
        <v>0</v>
      </c>
      <c r="L48" s="2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4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98">
        <v>0</v>
      </c>
      <c r="AM48" s="4">
        <v>0</v>
      </c>
    </row>
    <row r="49" spans="1:39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98">
        <v>0</v>
      </c>
      <c r="AM49" s="4">
        <v>0</v>
      </c>
    </row>
    <row r="50" spans="1:39" ht="12.75">
      <c r="A50" s="22">
        <v>49</v>
      </c>
      <c r="B50" s="112">
        <v>46.09174</v>
      </c>
      <c r="C50" s="112">
        <v>-91.24022</v>
      </c>
      <c r="D50" s="4">
        <v>5</v>
      </c>
      <c r="E50" s="4" t="s">
        <v>482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98">
        <v>0</v>
      </c>
      <c r="AM50" s="4">
        <v>0</v>
      </c>
    </row>
    <row r="51" spans="1:39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0</v>
      </c>
      <c r="H51" s="83">
        <v>0</v>
      </c>
      <c r="I51" s="4">
        <v>0</v>
      </c>
      <c r="J51" s="24">
        <v>0</v>
      </c>
      <c r="K51" s="24">
        <v>0</v>
      </c>
      <c r="L51" s="2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98">
        <v>0</v>
      </c>
      <c r="AM51" s="4">
        <v>0</v>
      </c>
    </row>
    <row r="52" spans="1:39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98">
        <v>0</v>
      </c>
      <c r="AM52" s="4">
        <v>0</v>
      </c>
    </row>
    <row r="53" spans="1:39" ht="12.75">
      <c r="A53" s="22">
        <v>52</v>
      </c>
      <c r="B53" s="112">
        <v>46.09176</v>
      </c>
      <c r="C53" s="112">
        <v>-91.2384</v>
      </c>
      <c r="D53" s="4">
        <v>4.5</v>
      </c>
      <c r="E53" s="4" t="s">
        <v>480</v>
      </c>
      <c r="F53" s="101">
        <v>1</v>
      </c>
      <c r="G53" s="22">
        <v>0</v>
      </c>
      <c r="H53" s="83">
        <v>0</v>
      </c>
      <c r="I53" s="4">
        <v>0</v>
      </c>
      <c r="J53" s="24">
        <v>0</v>
      </c>
      <c r="K53" s="24">
        <v>0</v>
      </c>
      <c r="L53" s="2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4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98">
        <v>0</v>
      </c>
      <c r="AM53" s="4">
        <v>0</v>
      </c>
    </row>
    <row r="54" spans="1:39" ht="12.75">
      <c r="A54" s="22">
        <v>53</v>
      </c>
      <c r="B54" s="112">
        <v>46.09176</v>
      </c>
      <c r="C54" s="112">
        <v>-91.23779</v>
      </c>
      <c r="D54" s="4">
        <v>4</v>
      </c>
      <c r="E54" s="4" t="s">
        <v>480</v>
      </c>
      <c r="F54" s="101">
        <v>1</v>
      </c>
      <c r="G54" s="22">
        <v>1</v>
      </c>
      <c r="H54" s="83">
        <v>1</v>
      </c>
      <c r="I54" s="4">
        <v>1</v>
      </c>
      <c r="J54" s="24">
        <v>0</v>
      </c>
      <c r="K54" s="24">
        <v>0</v>
      </c>
      <c r="L54" s="2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4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98">
        <v>0</v>
      </c>
      <c r="AM54" s="4">
        <v>0</v>
      </c>
    </row>
    <row r="55" spans="1:39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1</v>
      </c>
      <c r="I55" s="4">
        <v>1</v>
      </c>
      <c r="J55" s="24">
        <v>0</v>
      </c>
      <c r="K55" s="24">
        <v>0</v>
      </c>
      <c r="L55" s="2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4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98">
        <v>0</v>
      </c>
      <c r="AM55" s="4">
        <v>0</v>
      </c>
    </row>
    <row r="56" spans="1:39" ht="12.75">
      <c r="A56" s="22">
        <v>55</v>
      </c>
      <c r="B56" s="112">
        <v>46.09178</v>
      </c>
      <c r="C56" s="112">
        <v>-91.23657</v>
      </c>
      <c r="D56" s="4">
        <v>3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98">
        <v>0</v>
      </c>
      <c r="AM56" s="4">
        <v>0</v>
      </c>
    </row>
    <row r="57" spans="1:39" ht="12.75">
      <c r="A57" s="22">
        <v>56</v>
      </c>
      <c r="B57" s="112">
        <v>46.09178</v>
      </c>
      <c r="C57" s="112">
        <v>-91.23597</v>
      </c>
      <c r="D57" s="4">
        <v>3</v>
      </c>
      <c r="E57" s="4" t="s">
        <v>481</v>
      </c>
      <c r="F57" s="101">
        <v>1</v>
      </c>
      <c r="G57" s="22">
        <v>1</v>
      </c>
      <c r="H57" s="83">
        <v>3</v>
      </c>
      <c r="I57" s="4">
        <v>3</v>
      </c>
      <c r="J57" s="24">
        <v>0</v>
      </c>
      <c r="K57" s="24">
        <v>0</v>
      </c>
      <c r="L57" s="24">
        <v>1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3</v>
      </c>
      <c r="AK57" s="4">
        <v>0</v>
      </c>
      <c r="AL57" s="98">
        <v>0</v>
      </c>
      <c r="AM57" s="4">
        <v>0</v>
      </c>
    </row>
    <row r="58" spans="1:39" ht="12.75">
      <c r="A58" s="22">
        <v>57</v>
      </c>
      <c r="B58" s="112">
        <v>46.09213</v>
      </c>
      <c r="C58" s="112">
        <v>-91.24327</v>
      </c>
      <c r="D58" s="4">
        <v>3.5</v>
      </c>
      <c r="E58" s="4" t="s">
        <v>480</v>
      </c>
      <c r="F58" s="101">
        <v>1</v>
      </c>
      <c r="G58" s="22">
        <v>0</v>
      </c>
      <c r="H58" s="83">
        <v>0</v>
      </c>
      <c r="I58" s="4">
        <v>0</v>
      </c>
      <c r="J58" s="24">
        <v>0</v>
      </c>
      <c r="K58" s="24">
        <v>4</v>
      </c>
      <c r="L58" s="2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98">
        <v>0</v>
      </c>
      <c r="AM58" s="4">
        <v>0</v>
      </c>
    </row>
    <row r="59" spans="1:39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0</v>
      </c>
      <c r="H59" s="83">
        <v>0</v>
      </c>
      <c r="I59" s="4">
        <v>0</v>
      </c>
      <c r="J59" s="24">
        <v>0</v>
      </c>
      <c r="K59" s="24">
        <v>0</v>
      </c>
      <c r="L59" s="2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4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98">
        <v>0</v>
      </c>
      <c r="AM59" s="4">
        <v>0</v>
      </c>
    </row>
    <row r="60" spans="1:39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98">
        <v>0</v>
      </c>
      <c r="AM60" s="4">
        <v>0</v>
      </c>
    </row>
    <row r="61" spans="1:39" ht="12.75">
      <c r="A61" s="22">
        <v>60</v>
      </c>
      <c r="B61" s="112">
        <v>46.09215</v>
      </c>
      <c r="C61" s="112">
        <v>-91.24145</v>
      </c>
      <c r="D61" s="4">
        <v>5.5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98">
        <v>0</v>
      </c>
      <c r="AM61" s="4">
        <v>0</v>
      </c>
    </row>
    <row r="62" spans="1:39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0</v>
      </c>
      <c r="H62" s="83">
        <v>0</v>
      </c>
      <c r="I62" s="4">
        <v>0</v>
      </c>
      <c r="J62" s="24">
        <v>0</v>
      </c>
      <c r="K62" s="24">
        <v>0</v>
      </c>
      <c r="L62" s="2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98">
        <v>0</v>
      </c>
      <c r="AM62" s="4">
        <v>0</v>
      </c>
    </row>
    <row r="63" spans="1:39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1</v>
      </c>
      <c r="H63" s="83">
        <v>2</v>
      </c>
      <c r="I63" s="4">
        <v>1</v>
      </c>
      <c r="J63" s="24">
        <v>0</v>
      </c>
      <c r="K63" s="24">
        <v>0</v>
      </c>
      <c r="L63" s="2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98">
        <v>0</v>
      </c>
      <c r="AM63" s="4">
        <v>0</v>
      </c>
    </row>
    <row r="64" spans="1:39" ht="12.75">
      <c r="A64" s="22">
        <v>63</v>
      </c>
      <c r="B64" s="112">
        <v>46.09217</v>
      </c>
      <c r="C64" s="112">
        <v>-91.23962</v>
      </c>
      <c r="D64" s="4">
        <v>5.5</v>
      </c>
      <c r="E64" s="4" t="s">
        <v>480</v>
      </c>
      <c r="F64" s="101">
        <v>1</v>
      </c>
      <c r="G64" s="22">
        <v>0</v>
      </c>
      <c r="H64" s="83">
        <v>0</v>
      </c>
      <c r="I64" s="4">
        <v>0</v>
      </c>
      <c r="J64" s="24">
        <v>0</v>
      </c>
      <c r="K64" s="24">
        <v>0</v>
      </c>
      <c r="L64" s="2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98">
        <v>0</v>
      </c>
      <c r="AM64" s="4">
        <v>0</v>
      </c>
    </row>
    <row r="65" spans="1:39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98">
        <v>0</v>
      </c>
      <c r="AM65" s="4">
        <v>0</v>
      </c>
    </row>
    <row r="66" spans="1:39" ht="12.75">
      <c r="A66" s="22">
        <v>65</v>
      </c>
      <c r="B66" s="112">
        <v>46.09218</v>
      </c>
      <c r="C66" s="112">
        <v>-91.23841</v>
      </c>
      <c r="D66" s="4">
        <v>4.5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98">
        <v>0</v>
      </c>
      <c r="AM66" s="4">
        <v>0</v>
      </c>
    </row>
    <row r="67" spans="1:39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98">
        <v>0</v>
      </c>
      <c r="AM67" s="4">
        <v>0</v>
      </c>
    </row>
    <row r="68" spans="1:39" ht="12.75">
      <c r="A68" s="22">
        <v>67</v>
      </c>
      <c r="B68" s="112">
        <v>46.09219</v>
      </c>
      <c r="C68" s="112">
        <v>-91.23719</v>
      </c>
      <c r="D68" s="4">
        <v>4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98">
        <v>0</v>
      </c>
      <c r="AM68" s="4">
        <v>0</v>
      </c>
    </row>
    <row r="69" spans="1:39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98">
        <v>0</v>
      </c>
      <c r="AM69" s="4">
        <v>0</v>
      </c>
    </row>
    <row r="70" spans="1:39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1</v>
      </c>
      <c r="H70" s="83">
        <v>2</v>
      </c>
      <c r="I70" s="4">
        <v>1</v>
      </c>
      <c r="J70" s="24">
        <v>0</v>
      </c>
      <c r="K70" s="24">
        <v>0</v>
      </c>
      <c r="L70" s="2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98">
        <v>0</v>
      </c>
      <c r="AM70" s="4">
        <v>0</v>
      </c>
    </row>
    <row r="71" spans="1:39" ht="12.75">
      <c r="A71" s="22">
        <v>70</v>
      </c>
      <c r="B71" s="112">
        <v>46.09255</v>
      </c>
      <c r="C71" s="112">
        <v>-91.24328</v>
      </c>
      <c r="D71" s="4">
        <v>3.5</v>
      </c>
      <c r="E71" s="4" t="s">
        <v>480</v>
      </c>
      <c r="F71" s="101">
        <v>1</v>
      </c>
      <c r="G71" s="22">
        <v>1</v>
      </c>
      <c r="H71" s="83">
        <v>2</v>
      </c>
      <c r="I71" s="4">
        <v>2</v>
      </c>
      <c r="J71" s="24">
        <v>0</v>
      </c>
      <c r="K71" s="24">
        <v>4</v>
      </c>
      <c r="L71" s="2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98">
        <v>0</v>
      </c>
      <c r="AM71" s="4">
        <v>0</v>
      </c>
    </row>
    <row r="72" spans="1:39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0</v>
      </c>
      <c r="H72" s="83">
        <v>0</v>
      </c>
      <c r="I72" s="4">
        <v>0</v>
      </c>
      <c r="J72" s="24">
        <v>0</v>
      </c>
      <c r="K72" s="24">
        <v>0</v>
      </c>
      <c r="L72" s="2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98">
        <v>0</v>
      </c>
      <c r="AM72" s="4">
        <v>0</v>
      </c>
    </row>
    <row r="73" spans="1:39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1</v>
      </c>
      <c r="H73" s="83">
        <v>2</v>
      </c>
      <c r="I73" s="4">
        <v>1</v>
      </c>
      <c r="J73" s="24">
        <v>0</v>
      </c>
      <c r="K73" s="24">
        <v>0</v>
      </c>
      <c r="L73" s="2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98">
        <v>0</v>
      </c>
      <c r="AM73" s="4">
        <v>0</v>
      </c>
    </row>
    <row r="74" spans="1:39" ht="12.75">
      <c r="A74" s="22">
        <v>73</v>
      </c>
      <c r="B74" s="112">
        <v>46.09257</v>
      </c>
      <c r="C74" s="112">
        <v>-91.24145</v>
      </c>
      <c r="D74" s="4">
        <v>5.5</v>
      </c>
      <c r="E74" s="4" t="s">
        <v>480</v>
      </c>
      <c r="F74" s="101">
        <v>1</v>
      </c>
      <c r="G74" s="22">
        <v>0</v>
      </c>
      <c r="H74" s="83">
        <v>0</v>
      </c>
      <c r="I74" s="4">
        <v>0</v>
      </c>
      <c r="J74" s="24">
        <v>0</v>
      </c>
      <c r="K74" s="24">
        <v>0</v>
      </c>
      <c r="L74" s="2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98">
        <v>0</v>
      </c>
      <c r="AM74" s="4">
        <v>0</v>
      </c>
    </row>
    <row r="75" spans="1:39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2</v>
      </c>
      <c r="J75" s="24">
        <v>0</v>
      </c>
      <c r="K75" s="24">
        <v>0</v>
      </c>
      <c r="L75" s="2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98">
        <v>0</v>
      </c>
      <c r="AM75" s="4">
        <v>0</v>
      </c>
    </row>
    <row r="76" spans="1:39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1</v>
      </c>
      <c r="H76" s="83">
        <v>1</v>
      </c>
      <c r="I76" s="4">
        <v>1</v>
      </c>
      <c r="J76" s="24">
        <v>0</v>
      </c>
      <c r="K76" s="24">
        <v>0</v>
      </c>
      <c r="L76" s="2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1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98">
        <v>0</v>
      </c>
      <c r="AM76" s="4">
        <v>0</v>
      </c>
    </row>
    <row r="77" spans="1:39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1</v>
      </c>
      <c r="I77" s="4">
        <v>1</v>
      </c>
      <c r="J77" s="24">
        <v>0</v>
      </c>
      <c r="K77" s="24">
        <v>0</v>
      </c>
      <c r="L77" s="2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98">
        <v>0</v>
      </c>
      <c r="AM77" s="4">
        <v>0</v>
      </c>
    </row>
    <row r="78" spans="1:39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2</v>
      </c>
      <c r="I78" s="4">
        <v>1</v>
      </c>
      <c r="J78" s="24">
        <v>0</v>
      </c>
      <c r="K78" s="24">
        <v>0</v>
      </c>
      <c r="L78" s="2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4</v>
      </c>
      <c r="X78" s="4">
        <v>0</v>
      </c>
      <c r="Y78" s="4">
        <v>4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98">
        <v>0</v>
      </c>
      <c r="AM78" s="4">
        <v>0</v>
      </c>
    </row>
    <row r="79" spans="1:39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2</v>
      </c>
      <c r="I79" s="4">
        <v>1</v>
      </c>
      <c r="J79" s="24">
        <v>0</v>
      </c>
      <c r="K79" s="24">
        <v>0</v>
      </c>
      <c r="L79" s="2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98">
        <v>0</v>
      </c>
      <c r="AM79" s="4">
        <v>0</v>
      </c>
    </row>
    <row r="80" spans="1:39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2</v>
      </c>
      <c r="I80" s="4">
        <v>1</v>
      </c>
      <c r="J80" s="24">
        <v>0</v>
      </c>
      <c r="K80" s="24">
        <v>0</v>
      </c>
      <c r="L80" s="2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98">
        <v>0</v>
      </c>
      <c r="AM80" s="4">
        <v>0</v>
      </c>
    </row>
    <row r="81" spans="1:39" ht="12.75">
      <c r="A81" s="22">
        <v>80</v>
      </c>
      <c r="B81" s="112">
        <v>46.09262</v>
      </c>
      <c r="C81" s="112">
        <v>-91.2372</v>
      </c>
      <c r="D81" s="4">
        <v>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98">
        <v>0</v>
      </c>
      <c r="AM81" s="4">
        <v>0</v>
      </c>
    </row>
    <row r="82" spans="1:39" ht="12.75">
      <c r="A82" s="22">
        <v>81</v>
      </c>
      <c r="B82" s="112">
        <v>46.09262</v>
      </c>
      <c r="C82" s="112">
        <v>-91.23659</v>
      </c>
      <c r="D82" s="4">
        <v>4.5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98">
        <v>0</v>
      </c>
      <c r="AM82" s="4">
        <v>0</v>
      </c>
    </row>
    <row r="83" spans="1:39" ht="12.75">
      <c r="A83" s="22">
        <v>82</v>
      </c>
      <c r="B83" s="112">
        <v>46.09263</v>
      </c>
      <c r="C83" s="112">
        <v>-91.23598</v>
      </c>
      <c r="D83" s="4">
        <v>4</v>
      </c>
      <c r="E83" s="4" t="s">
        <v>480</v>
      </c>
      <c r="F83" s="101">
        <v>1</v>
      </c>
      <c r="G83" s="22">
        <v>0</v>
      </c>
      <c r="H83" s="83">
        <v>0</v>
      </c>
      <c r="I83" s="4">
        <v>0</v>
      </c>
      <c r="J83" s="24">
        <v>0</v>
      </c>
      <c r="K83" s="24">
        <v>0</v>
      </c>
      <c r="L83" s="2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98">
        <v>0</v>
      </c>
      <c r="AM83" s="4">
        <v>0</v>
      </c>
    </row>
    <row r="84" spans="1:39" ht="12.75">
      <c r="A84" s="22">
        <v>83</v>
      </c>
      <c r="B84" s="112">
        <v>46.09264</v>
      </c>
      <c r="C84" s="112">
        <v>-91.23538</v>
      </c>
      <c r="D84" s="4">
        <v>5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4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98">
        <v>0</v>
      </c>
      <c r="AM84" s="4">
        <v>0</v>
      </c>
    </row>
    <row r="85" spans="1:39" ht="12.75">
      <c r="A85" s="22">
        <v>84</v>
      </c>
      <c r="B85" s="112">
        <v>46.09265</v>
      </c>
      <c r="C85" s="112">
        <v>-91.23416</v>
      </c>
      <c r="D85" s="4">
        <v>3</v>
      </c>
      <c r="E85" s="4" t="s">
        <v>480</v>
      </c>
      <c r="F85" s="101">
        <v>1</v>
      </c>
      <c r="G85" s="22">
        <v>1</v>
      </c>
      <c r="H85" s="83">
        <v>1</v>
      </c>
      <c r="I85" s="4">
        <v>1</v>
      </c>
      <c r="J85" s="24">
        <v>0</v>
      </c>
      <c r="K85" s="24">
        <v>4</v>
      </c>
      <c r="L85" s="2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98">
        <v>0</v>
      </c>
      <c r="AM85" s="4">
        <v>0</v>
      </c>
    </row>
    <row r="86" spans="1:39" ht="12.75">
      <c r="A86" s="22">
        <v>85</v>
      </c>
      <c r="B86" s="112">
        <v>46.09266</v>
      </c>
      <c r="C86" s="112">
        <v>-91.23355</v>
      </c>
      <c r="D86" s="4">
        <v>3.5</v>
      </c>
      <c r="E86" s="4" t="s">
        <v>480</v>
      </c>
      <c r="F86" s="101">
        <v>1</v>
      </c>
      <c r="G86" s="22">
        <v>1</v>
      </c>
      <c r="H86" s="83">
        <v>2</v>
      </c>
      <c r="I86" s="4">
        <v>1</v>
      </c>
      <c r="J86" s="24">
        <v>0</v>
      </c>
      <c r="K86" s="24">
        <v>4</v>
      </c>
      <c r="L86" s="2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98">
        <v>0</v>
      </c>
      <c r="AM86" s="4">
        <v>0</v>
      </c>
    </row>
    <row r="87" spans="1:39" ht="12.75">
      <c r="A87" s="22">
        <v>86</v>
      </c>
      <c r="B87" s="112">
        <v>46.09298</v>
      </c>
      <c r="C87" s="112">
        <v>-91.24268</v>
      </c>
      <c r="D87" s="4">
        <v>5.5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98">
        <v>0</v>
      </c>
      <c r="AM87" s="4">
        <v>0</v>
      </c>
    </row>
    <row r="88" spans="1:39" ht="12.75">
      <c r="A88" s="22">
        <v>87</v>
      </c>
      <c r="B88" s="112">
        <v>46.09299</v>
      </c>
      <c r="C88" s="112">
        <v>-91.24207</v>
      </c>
      <c r="D88" s="4">
        <v>5.5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98">
        <v>0</v>
      </c>
      <c r="AM88" s="4">
        <v>0</v>
      </c>
    </row>
    <row r="89" spans="1:39" ht="12.75">
      <c r="A89" s="22">
        <v>88</v>
      </c>
      <c r="B89" s="112">
        <v>46.09299</v>
      </c>
      <c r="C89" s="112">
        <v>-91.24146</v>
      </c>
      <c r="D89" s="4">
        <v>5</v>
      </c>
      <c r="E89" s="4" t="s">
        <v>480</v>
      </c>
      <c r="F89" s="101">
        <v>1</v>
      </c>
      <c r="G89" s="22">
        <v>1</v>
      </c>
      <c r="H89" s="83">
        <v>1</v>
      </c>
      <c r="I89" s="4">
        <v>2</v>
      </c>
      <c r="J89" s="24">
        <v>0</v>
      </c>
      <c r="K89" s="24">
        <v>0</v>
      </c>
      <c r="L89" s="2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98">
        <v>0</v>
      </c>
      <c r="AM89" s="4">
        <v>0</v>
      </c>
    </row>
    <row r="90" spans="1:39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3</v>
      </c>
      <c r="I90" s="4">
        <v>1</v>
      </c>
      <c r="J90" s="24">
        <v>0</v>
      </c>
      <c r="K90" s="24">
        <v>0</v>
      </c>
      <c r="L90" s="2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1</v>
      </c>
      <c r="Z90" s="4">
        <v>1</v>
      </c>
      <c r="AA90" s="4">
        <v>1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98">
        <v>0</v>
      </c>
      <c r="AM90" s="4">
        <v>0</v>
      </c>
    </row>
    <row r="91" spans="1:39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2</v>
      </c>
      <c r="I91" s="4">
        <v>1</v>
      </c>
      <c r="J91" s="24">
        <v>0</v>
      </c>
      <c r="K91" s="24">
        <v>0</v>
      </c>
      <c r="L91" s="2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4</v>
      </c>
      <c r="Z91" s="4">
        <v>1</v>
      </c>
      <c r="AA91" s="4">
        <v>0</v>
      </c>
      <c r="AB91" s="4">
        <v>0</v>
      </c>
      <c r="AC91" s="4">
        <v>0</v>
      </c>
      <c r="AD91" s="4">
        <v>0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98">
        <v>0</v>
      </c>
      <c r="AM91" s="4">
        <v>0</v>
      </c>
    </row>
    <row r="92" spans="1:39" ht="12.75">
      <c r="A92" s="22">
        <v>91</v>
      </c>
      <c r="B92" s="112">
        <v>46.09301</v>
      </c>
      <c r="C92" s="112">
        <v>-91.23964</v>
      </c>
      <c r="D92" s="4">
        <v>6</v>
      </c>
      <c r="E92" s="4" t="s">
        <v>480</v>
      </c>
      <c r="F92" s="101">
        <v>1</v>
      </c>
      <c r="G92" s="22">
        <v>0</v>
      </c>
      <c r="H92" s="83">
        <v>0</v>
      </c>
      <c r="I92" s="4">
        <v>0</v>
      </c>
      <c r="J92" s="24">
        <v>0</v>
      </c>
      <c r="K92" s="24">
        <v>0</v>
      </c>
      <c r="L92" s="2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98">
        <v>0</v>
      </c>
      <c r="AM92" s="4">
        <v>0</v>
      </c>
    </row>
    <row r="93" spans="1:39" ht="12.75">
      <c r="A93" s="22">
        <v>92</v>
      </c>
      <c r="B93" s="112">
        <v>46.09302</v>
      </c>
      <c r="C93" s="112">
        <v>-91.23903</v>
      </c>
      <c r="D93" s="4">
        <v>5</v>
      </c>
      <c r="E93" s="4" t="s">
        <v>480</v>
      </c>
      <c r="F93" s="101">
        <v>1</v>
      </c>
      <c r="G93" s="22">
        <v>0</v>
      </c>
      <c r="H93" s="83">
        <v>0</v>
      </c>
      <c r="I93" s="4">
        <v>0</v>
      </c>
      <c r="J93" s="24">
        <v>0</v>
      </c>
      <c r="K93" s="24">
        <v>0</v>
      </c>
      <c r="L93" s="2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98">
        <v>0</v>
      </c>
      <c r="AM93" s="4">
        <v>0</v>
      </c>
    </row>
    <row r="94" spans="1:39" ht="12.75">
      <c r="A94" s="22">
        <v>93</v>
      </c>
      <c r="B94" s="112">
        <v>46.09303</v>
      </c>
      <c r="C94" s="112">
        <v>-91.23843</v>
      </c>
      <c r="D94" s="4">
        <v>4.5</v>
      </c>
      <c r="E94" s="4" t="s">
        <v>480</v>
      </c>
      <c r="F94" s="101">
        <v>1</v>
      </c>
      <c r="G94" s="22">
        <v>1</v>
      </c>
      <c r="H94" s="83">
        <v>4</v>
      </c>
      <c r="I94" s="4">
        <v>2</v>
      </c>
      <c r="J94" s="24">
        <v>0</v>
      </c>
      <c r="K94" s="24">
        <v>0</v>
      </c>
      <c r="L94" s="2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4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0</v>
      </c>
      <c r="AG94" s="4">
        <v>2</v>
      </c>
      <c r="AH94" s="4">
        <v>0</v>
      </c>
      <c r="AI94" s="4">
        <v>0</v>
      </c>
      <c r="AJ94" s="4">
        <v>0</v>
      </c>
      <c r="AK94" s="4">
        <v>0</v>
      </c>
      <c r="AL94" s="98">
        <v>0</v>
      </c>
      <c r="AM94" s="4">
        <v>0</v>
      </c>
    </row>
    <row r="95" spans="1:39" ht="12.75">
      <c r="A95" s="22">
        <v>94</v>
      </c>
      <c r="B95" s="112">
        <v>46.09303</v>
      </c>
      <c r="C95" s="112">
        <v>-91.23782</v>
      </c>
      <c r="D95" s="4">
        <v>5</v>
      </c>
      <c r="E95" s="4" t="s">
        <v>480</v>
      </c>
      <c r="F95" s="101">
        <v>1</v>
      </c>
      <c r="G95" s="22">
        <v>0</v>
      </c>
      <c r="H95" s="83">
        <v>0</v>
      </c>
      <c r="I95" s="4">
        <v>0</v>
      </c>
      <c r="J95" s="24">
        <v>0</v>
      </c>
      <c r="K95" s="24">
        <v>0</v>
      </c>
      <c r="L95" s="2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98">
        <v>0</v>
      </c>
      <c r="AM95" s="4">
        <v>0</v>
      </c>
    </row>
    <row r="96" spans="1:39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0</v>
      </c>
      <c r="H96" s="83">
        <v>0</v>
      </c>
      <c r="I96" s="4">
        <v>0</v>
      </c>
      <c r="J96" s="24">
        <v>0</v>
      </c>
      <c r="K96" s="24">
        <v>0</v>
      </c>
      <c r="L96" s="2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4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98">
        <v>0</v>
      </c>
      <c r="AM96" s="4">
        <v>0</v>
      </c>
    </row>
    <row r="97" spans="1:39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481</v>
      </c>
      <c r="F97" s="101">
        <v>1</v>
      </c>
      <c r="G97" s="22">
        <v>1</v>
      </c>
      <c r="H97" s="83">
        <v>4</v>
      </c>
      <c r="I97" s="4">
        <v>2</v>
      </c>
      <c r="J97" s="24">
        <v>0</v>
      </c>
      <c r="K97" s="24">
        <v>0</v>
      </c>
      <c r="L97" s="24">
        <v>1</v>
      </c>
      <c r="M97" s="4">
        <v>0</v>
      </c>
      <c r="N97" s="4">
        <v>1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1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98">
        <v>0</v>
      </c>
      <c r="AM97" s="4">
        <v>0</v>
      </c>
    </row>
    <row r="98" spans="1:39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2</v>
      </c>
      <c r="I98" s="4">
        <v>1</v>
      </c>
      <c r="J98" s="24">
        <v>0</v>
      </c>
      <c r="K98" s="24">
        <v>0</v>
      </c>
      <c r="L98" s="2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2</v>
      </c>
      <c r="AK98" s="4">
        <v>0</v>
      </c>
      <c r="AL98" s="98">
        <v>0</v>
      </c>
      <c r="AM98" s="4">
        <v>4</v>
      </c>
    </row>
    <row r="99" spans="1:39" ht="12.75">
      <c r="A99" s="22">
        <v>98</v>
      </c>
      <c r="B99" s="112">
        <v>46.09306</v>
      </c>
      <c r="C99" s="112">
        <v>-91.23539</v>
      </c>
      <c r="D99" s="4">
        <v>4.5</v>
      </c>
      <c r="E99" s="4" t="s">
        <v>480</v>
      </c>
      <c r="F99" s="101">
        <v>1</v>
      </c>
      <c r="G99" s="22">
        <v>0</v>
      </c>
      <c r="H99" s="83">
        <v>0</v>
      </c>
      <c r="I99" s="4">
        <v>0</v>
      </c>
      <c r="J99" s="24">
        <v>0</v>
      </c>
      <c r="K99" s="24">
        <v>0</v>
      </c>
      <c r="L99" s="2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4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98">
        <v>0</v>
      </c>
      <c r="AM99" s="4">
        <v>0</v>
      </c>
    </row>
    <row r="100" spans="1:39" ht="12.75">
      <c r="A100" s="22">
        <v>99</v>
      </c>
      <c r="B100" s="112">
        <v>46.09307</v>
      </c>
      <c r="C100" s="112">
        <v>-91.23478</v>
      </c>
      <c r="D100" s="4">
        <v>4.5</v>
      </c>
      <c r="E100" s="4" t="s">
        <v>480</v>
      </c>
      <c r="F100" s="101">
        <v>1</v>
      </c>
      <c r="G100" s="22">
        <v>1</v>
      </c>
      <c r="H100" s="83">
        <v>1</v>
      </c>
      <c r="I100" s="4">
        <v>1</v>
      </c>
      <c r="J100" s="24">
        <v>0</v>
      </c>
      <c r="K100" s="24">
        <v>0</v>
      </c>
      <c r="L100" s="2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98">
        <v>0</v>
      </c>
      <c r="AM100" s="4">
        <v>0</v>
      </c>
    </row>
    <row r="101" spans="1:39" ht="12.75">
      <c r="A101" s="22">
        <v>100</v>
      </c>
      <c r="B101" s="112">
        <v>46.09307</v>
      </c>
      <c r="C101" s="112">
        <v>-91.23417</v>
      </c>
      <c r="D101" s="4">
        <v>5</v>
      </c>
      <c r="E101" s="4" t="s">
        <v>480</v>
      </c>
      <c r="F101" s="101">
        <v>1</v>
      </c>
      <c r="G101" s="22">
        <v>0</v>
      </c>
      <c r="H101" s="83">
        <v>0</v>
      </c>
      <c r="I101" s="4">
        <v>0</v>
      </c>
      <c r="J101" s="24">
        <v>0</v>
      </c>
      <c r="K101" s="24">
        <v>0</v>
      </c>
      <c r="L101" s="2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4</v>
      </c>
      <c r="AH101" s="4">
        <v>0</v>
      </c>
      <c r="AI101" s="4">
        <v>0</v>
      </c>
      <c r="AJ101" s="4">
        <v>0</v>
      </c>
      <c r="AK101" s="4">
        <v>0</v>
      </c>
      <c r="AL101" s="98">
        <v>0</v>
      </c>
      <c r="AM101" s="4">
        <v>0</v>
      </c>
    </row>
    <row r="102" spans="1:39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3</v>
      </c>
      <c r="I102" s="4">
        <v>2</v>
      </c>
      <c r="J102" s="24">
        <v>0</v>
      </c>
      <c r="K102" s="24">
        <v>0</v>
      </c>
      <c r="L102" s="2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0</v>
      </c>
      <c r="AL102" s="98">
        <v>0</v>
      </c>
      <c r="AM102" s="4">
        <v>0</v>
      </c>
    </row>
    <row r="103" spans="1:39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1</v>
      </c>
      <c r="H103" s="83">
        <v>3</v>
      </c>
      <c r="I103" s="4">
        <v>1</v>
      </c>
      <c r="J103" s="24">
        <v>0</v>
      </c>
      <c r="K103" s="24">
        <v>0</v>
      </c>
      <c r="L103" s="2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1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</v>
      </c>
      <c r="AH103" s="4">
        <v>0</v>
      </c>
      <c r="AI103" s="4">
        <v>0</v>
      </c>
      <c r="AJ103" s="4">
        <v>0</v>
      </c>
      <c r="AK103" s="4">
        <v>0</v>
      </c>
      <c r="AL103" s="98">
        <v>0</v>
      </c>
      <c r="AM103" s="4">
        <v>0</v>
      </c>
    </row>
    <row r="104" spans="1:39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98">
        <v>0</v>
      </c>
      <c r="AM104" s="4">
        <v>0</v>
      </c>
    </row>
    <row r="105" spans="1:39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98">
        <v>0</v>
      </c>
      <c r="AM105" s="4">
        <v>0</v>
      </c>
    </row>
    <row r="106" spans="1:39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0</v>
      </c>
      <c r="H106" s="83">
        <v>0</v>
      </c>
      <c r="I106" s="4">
        <v>0</v>
      </c>
      <c r="J106" s="24">
        <v>0</v>
      </c>
      <c r="K106" s="24">
        <v>0</v>
      </c>
      <c r="L106" s="2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98">
        <v>0</v>
      </c>
      <c r="AM106" s="4">
        <v>0</v>
      </c>
    </row>
    <row r="107" spans="1:39" ht="12.75">
      <c r="A107" s="22">
        <v>106</v>
      </c>
      <c r="B107" s="112">
        <v>46.09342</v>
      </c>
      <c r="C107" s="112">
        <v>-91.24087</v>
      </c>
      <c r="D107" s="4">
        <v>5.5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98">
        <v>0</v>
      </c>
      <c r="AM107" s="4">
        <v>0</v>
      </c>
    </row>
    <row r="108" spans="1:39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0</v>
      </c>
      <c r="H108" s="83">
        <v>0</v>
      </c>
      <c r="I108" s="4">
        <v>0</v>
      </c>
      <c r="J108" s="24">
        <v>0</v>
      </c>
      <c r="K108" s="24">
        <v>0</v>
      </c>
      <c r="L108" s="2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98">
        <v>0</v>
      </c>
      <c r="AM108" s="4">
        <v>0</v>
      </c>
    </row>
    <row r="109" spans="1:39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98">
        <v>0</v>
      </c>
      <c r="AM109" s="4">
        <v>0</v>
      </c>
    </row>
    <row r="110" spans="1:39" ht="12.75">
      <c r="A110" s="22">
        <v>109</v>
      </c>
      <c r="B110" s="112">
        <v>46.09344</v>
      </c>
      <c r="C110" s="112">
        <v>-91.23904</v>
      </c>
      <c r="D110" s="4">
        <v>6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98">
        <v>0</v>
      </c>
      <c r="AM110" s="4">
        <v>0</v>
      </c>
    </row>
    <row r="111" spans="1:39" ht="12.75">
      <c r="A111" s="22">
        <v>110</v>
      </c>
      <c r="B111" s="112">
        <v>46.09345</v>
      </c>
      <c r="C111" s="112">
        <v>-91.23843</v>
      </c>
      <c r="D111" s="4">
        <v>5.5</v>
      </c>
      <c r="E111" s="4" t="s">
        <v>480</v>
      </c>
      <c r="F111" s="101">
        <v>1</v>
      </c>
      <c r="G111" s="22">
        <v>1</v>
      </c>
      <c r="H111" s="83">
        <v>1</v>
      </c>
      <c r="I111" s="4">
        <v>1</v>
      </c>
      <c r="J111" s="24">
        <v>0</v>
      </c>
      <c r="K111" s="24">
        <v>0</v>
      </c>
      <c r="L111" s="2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98">
        <v>0</v>
      </c>
      <c r="AM111" s="4">
        <v>0</v>
      </c>
    </row>
    <row r="112" spans="1:39" ht="12.75">
      <c r="A112" s="22">
        <v>111</v>
      </c>
      <c r="B112" s="112">
        <v>46.09346</v>
      </c>
      <c r="C112" s="112">
        <v>-91.23783</v>
      </c>
      <c r="D112" s="4">
        <v>4</v>
      </c>
      <c r="E112" s="4" t="s">
        <v>481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98">
        <v>0</v>
      </c>
      <c r="AM112" s="4">
        <v>0</v>
      </c>
    </row>
    <row r="113" spans="1:39" ht="12.75">
      <c r="A113" s="22">
        <v>112</v>
      </c>
      <c r="B113" s="112">
        <v>46.0935</v>
      </c>
      <c r="C113" s="112">
        <v>-91.23418</v>
      </c>
      <c r="D113" s="4">
        <v>2</v>
      </c>
      <c r="E113" s="4" t="s">
        <v>481</v>
      </c>
      <c r="F113" s="101">
        <v>1</v>
      </c>
      <c r="G113" s="22">
        <v>1</v>
      </c>
      <c r="H113" s="83">
        <v>1</v>
      </c>
      <c r="I113" s="4">
        <v>3</v>
      </c>
      <c r="J113" s="24">
        <v>0</v>
      </c>
      <c r="K113" s="24">
        <v>0</v>
      </c>
      <c r="L113" s="24">
        <v>0</v>
      </c>
      <c r="M113" s="4">
        <v>0</v>
      </c>
      <c r="N113" s="4">
        <v>0</v>
      </c>
      <c r="O113" s="4">
        <v>0</v>
      </c>
      <c r="P113" s="4">
        <v>3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98">
        <v>0</v>
      </c>
      <c r="AM113" s="4">
        <v>0</v>
      </c>
    </row>
    <row r="114" spans="1:39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98">
        <v>0</v>
      </c>
      <c r="AM114" s="4">
        <v>0</v>
      </c>
    </row>
    <row r="115" spans="1:39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1</v>
      </c>
      <c r="I115" s="4">
        <v>2</v>
      </c>
      <c r="J115" s="24">
        <v>0</v>
      </c>
      <c r="K115" s="24">
        <v>0</v>
      </c>
      <c r="L115" s="2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98">
        <v>0</v>
      </c>
      <c r="AM115" s="4">
        <v>0</v>
      </c>
    </row>
    <row r="116" spans="1:39" ht="12.75">
      <c r="A116" s="22">
        <v>115</v>
      </c>
      <c r="B116" s="112">
        <v>46.09351</v>
      </c>
      <c r="C116" s="112">
        <v>-91.23236</v>
      </c>
      <c r="D116" s="4">
        <v>4.5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4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98">
        <v>0</v>
      </c>
      <c r="AM116" s="4">
        <v>0</v>
      </c>
    </row>
    <row r="117" spans="1:39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98">
        <v>0</v>
      </c>
      <c r="AM117" s="4">
        <v>0</v>
      </c>
    </row>
    <row r="118" spans="1:39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98">
        <v>0</v>
      </c>
      <c r="AM118" s="4">
        <v>0</v>
      </c>
    </row>
    <row r="119" spans="1:39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98">
        <v>0</v>
      </c>
      <c r="AM119" s="4">
        <v>0</v>
      </c>
    </row>
    <row r="120" spans="1:39" ht="12.75">
      <c r="A120" s="22">
        <v>119</v>
      </c>
      <c r="B120" s="112">
        <v>46.09385</v>
      </c>
      <c r="C120" s="112">
        <v>-91.24088</v>
      </c>
      <c r="D120" s="4">
        <v>5.5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98">
        <v>0</v>
      </c>
      <c r="AM120" s="4">
        <v>0</v>
      </c>
    </row>
    <row r="121" spans="1:39" ht="12.75">
      <c r="A121" s="22">
        <v>120</v>
      </c>
      <c r="B121" s="112">
        <v>46.09385</v>
      </c>
      <c r="C121" s="112">
        <v>-91.24027</v>
      </c>
      <c r="D121" s="4">
        <v>5</v>
      </c>
      <c r="E121" s="4" t="s">
        <v>480</v>
      </c>
      <c r="F121" s="101">
        <v>1</v>
      </c>
      <c r="G121" s="22">
        <v>1</v>
      </c>
      <c r="H121" s="83">
        <v>3</v>
      </c>
      <c r="I121" s="4">
        <v>2</v>
      </c>
      <c r="J121" s="24">
        <v>0</v>
      </c>
      <c r="K121" s="24">
        <v>0</v>
      </c>
      <c r="L121" s="2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4">
        <v>4</v>
      </c>
      <c r="AD121" s="4">
        <v>0</v>
      </c>
      <c r="AE121" s="4">
        <v>0</v>
      </c>
      <c r="AF121" s="4">
        <v>0</v>
      </c>
      <c r="AG121" s="4">
        <v>2</v>
      </c>
      <c r="AH121" s="4">
        <v>0</v>
      </c>
      <c r="AI121" s="4">
        <v>0</v>
      </c>
      <c r="AJ121" s="4">
        <v>0</v>
      </c>
      <c r="AK121" s="4">
        <v>0</v>
      </c>
      <c r="AL121" s="98">
        <v>0</v>
      </c>
      <c r="AM121" s="4">
        <v>0</v>
      </c>
    </row>
    <row r="122" spans="1:39" ht="12.75">
      <c r="A122" s="22">
        <v>121</v>
      </c>
      <c r="B122" s="112">
        <v>46.09386</v>
      </c>
      <c r="C122" s="112">
        <v>-91.23966</v>
      </c>
      <c r="D122" s="4">
        <v>5</v>
      </c>
      <c r="E122" s="4" t="s">
        <v>480</v>
      </c>
      <c r="F122" s="101">
        <v>1</v>
      </c>
      <c r="G122" s="22">
        <v>1</v>
      </c>
      <c r="H122" s="83">
        <v>1</v>
      </c>
      <c r="I122" s="4">
        <v>1</v>
      </c>
      <c r="J122" s="24">
        <v>0</v>
      </c>
      <c r="K122" s="24">
        <v>0</v>
      </c>
      <c r="L122" s="2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98">
        <v>0</v>
      </c>
      <c r="AM122" s="4">
        <v>0</v>
      </c>
    </row>
    <row r="123" spans="1:39" ht="12.75">
      <c r="A123" s="22">
        <v>122</v>
      </c>
      <c r="B123" s="112">
        <v>46.09387</v>
      </c>
      <c r="C123" s="112">
        <v>-91.23905</v>
      </c>
      <c r="D123" s="4">
        <v>6</v>
      </c>
      <c r="E123" s="4" t="s">
        <v>480</v>
      </c>
      <c r="F123" s="101">
        <v>1</v>
      </c>
      <c r="G123" s="22">
        <v>1</v>
      </c>
      <c r="H123" s="83">
        <v>1</v>
      </c>
      <c r="I123" s="4">
        <v>1</v>
      </c>
      <c r="J123" s="24">
        <v>0</v>
      </c>
      <c r="K123" s="24">
        <v>0</v>
      </c>
      <c r="L123" s="2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98">
        <v>0</v>
      </c>
      <c r="AM123" s="4">
        <v>0</v>
      </c>
    </row>
    <row r="124" spans="1:39" ht="12.75">
      <c r="A124" s="22">
        <v>123</v>
      </c>
      <c r="B124" s="112">
        <v>46.09392</v>
      </c>
      <c r="C124" s="112">
        <v>-91.23419</v>
      </c>
      <c r="D124" s="4">
        <v>3.5</v>
      </c>
      <c r="E124" s="4" t="s">
        <v>481</v>
      </c>
      <c r="F124" s="101">
        <v>1</v>
      </c>
      <c r="G124" s="22">
        <v>1</v>
      </c>
      <c r="H124" s="83">
        <v>1</v>
      </c>
      <c r="I124" s="4">
        <v>2</v>
      </c>
      <c r="J124" s="24">
        <v>0</v>
      </c>
      <c r="K124" s="24">
        <v>0</v>
      </c>
      <c r="L124" s="2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2</v>
      </c>
      <c r="AK124" s="4">
        <v>0</v>
      </c>
      <c r="AL124" s="98">
        <v>0</v>
      </c>
      <c r="AM124" s="4">
        <v>0</v>
      </c>
    </row>
    <row r="125" spans="1:39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98">
        <v>0</v>
      </c>
      <c r="AM125" s="4">
        <v>0</v>
      </c>
    </row>
    <row r="126" spans="1:39" ht="12.75">
      <c r="A126" s="22">
        <v>125</v>
      </c>
      <c r="B126" s="112">
        <v>46.09393</v>
      </c>
      <c r="C126" s="112">
        <v>-91.23297</v>
      </c>
      <c r="D126" s="4">
        <v>4.5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98">
        <v>0</v>
      </c>
      <c r="AM126" s="4">
        <v>0</v>
      </c>
    </row>
    <row r="127" spans="1:39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1</v>
      </c>
      <c r="H127" s="83">
        <v>1</v>
      </c>
      <c r="I127" s="4">
        <v>1</v>
      </c>
      <c r="J127" s="24">
        <v>0</v>
      </c>
      <c r="K127" s="24">
        <v>0</v>
      </c>
      <c r="L127" s="2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4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</v>
      </c>
      <c r="AH127" s="4">
        <v>0</v>
      </c>
      <c r="AI127" s="4">
        <v>0</v>
      </c>
      <c r="AJ127" s="4">
        <v>0</v>
      </c>
      <c r="AK127" s="4">
        <v>0</v>
      </c>
      <c r="AL127" s="98">
        <v>0</v>
      </c>
      <c r="AM127" s="4">
        <v>0</v>
      </c>
    </row>
    <row r="128" spans="1:39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98">
        <v>0</v>
      </c>
      <c r="AM128" s="4">
        <v>0</v>
      </c>
    </row>
    <row r="129" spans="1:39" ht="12.75">
      <c r="A129" s="22">
        <v>128</v>
      </c>
      <c r="B129" s="112">
        <v>46.09424</v>
      </c>
      <c r="C129" s="112">
        <v>-91.24332</v>
      </c>
      <c r="D129" s="4">
        <v>5.5</v>
      </c>
      <c r="E129" s="4" t="s">
        <v>480</v>
      </c>
      <c r="F129" s="101">
        <v>1</v>
      </c>
      <c r="G129" s="22">
        <v>1</v>
      </c>
      <c r="H129" s="83">
        <v>2</v>
      </c>
      <c r="I129" s="4">
        <v>1</v>
      </c>
      <c r="J129" s="24">
        <v>0</v>
      </c>
      <c r="K129" s="24">
        <v>0</v>
      </c>
      <c r="L129" s="2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98">
        <v>0</v>
      </c>
      <c r="AM129" s="4">
        <v>0</v>
      </c>
    </row>
    <row r="130" spans="1:39" ht="12.75">
      <c r="A130" s="22">
        <v>129</v>
      </c>
      <c r="B130" s="112">
        <v>46.09425</v>
      </c>
      <c r="C130" s="112">
        <v>-91.24271</v>
      </c>
      <c r="D130" s="4">
        <v>5.5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98">
        <v>0</v>
      </c>
      <c r="AM130" s="4">
        <v>0</v>
      </c>
    </row>
    <row r="131" spans="1:39" ht="12.75">
      <c r="A131" s="22">
        <v>130</v>
      </c>
      <c r="B131" s="112">
        <v>46.09426</v>
      </c>
      <c r="C131" s="112">
        <v>-91.2421</v>
      </c>
      <c r="D131" s="4">
        <v>6.5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98">
        <v>0</v>
      </c>
      <c r="AM131" s="4">
        <v>0</v>
      </c>
    </row>
    <row r="132" spans="1:39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98">
        <v>0</v>
      </c>
      <c r="AM132" s="4">
        <v>0</v>
      </c>
    </row>
    <row r="133" spans="1:39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98">
        <v>0</v>
      </c>
      <c r="AM133" s="4">
        <v>0</v>
      </c>
    </row>
    <row r="134" spans="1:39" ht="12.75">
      <c r="A134" s="22">
        <v>133</v>
      </c>
      <c r="B134" s="112">
        <v>46.09427</v>
      </c>
      <c r="C134" s="112">
        <v>-91.24028</v>
      </c>
      <c r="D134" s="4">
        <v>6</v>
      </c>
      <c r="E134" s="4" t="s">
        <v>480</v>
      </c>
      <c r="F134" s="101">
        <v>1</v>
      </c>
      <c r="G134" s="22">
        <v>1</v>
      </c>
      <c r="H134" s="83">
        <v>1</v>
      </c>
      <c r="I134" s="4">
        <v>1</v>
      </c>
      <c r="J134" s="24">
        <v>0</v>
      </c>
      <c r="K134" s="24">
        <v>0</v>
      </c>
      <c r="L134" s="2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1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98">
        <v>0</v>
      </c>
      <c r="AM134" s="4">
        <v>0</v>
      </c>
    </row>
    <row r="135" spans="1:39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0</v>
      </c>
      <c r="H135" s="83">
        <v>0</v>
      </c>
      <c r="I135" s="4">
        <v>0</v>
      </c>
      <c r="J135" s="24">
        <v>0</v>
      </c>
      <c r="K135" s="24">
        <v>0</v>
      </c>
      <c r="L135" s="2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98">
        <v>0</v>
      </c>
      <c r="AM135" s="4">
        <v>0</v>
      </c>
    </row>
    <row r="136" spans="1:39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4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98">
        <v>0</v>
      </c>
      <c r="AM136" s="4">
        <v>0</v>
      </c>
    </row>
    <row r="137" spans="1:39" ht="12.75">
      <c r="A137" s="22">
        <v>136</v>
      </c>
      <c r="B137" s="112">
        <v>46.0943</v>
      </c>
      <c r="C137" s="112">
        <v>-91.23845</v>
      </c>
      <c r="D137" s="4">
        <v>5.5</v>
      </c>
      <c r="E137" s="4" t="s">
        <v>480</v>
      </c>
      <c r="F137" s="101">
        <v>1</v>
      </c>
      <c r="G137" s="22">
        <v>1</v>
      </c>
      <c r="H137" s="83">
        <v>1</v>
      </c>
      <c r="I137" s="4">
        <v>1</v>
      </c>
      <c r="J137" s="24">
        <v>0</v>
      </c>
      <c r="K137" s="24">
        <v>0</v>
      </c>
      <c r="L137" s="2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4</v>
      </c>
      <c r="AD137" s="4">
        <v>0</v>
      </c>
      <c r="AE137" s="4">
        <v>1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98">
        <v>0</v>
      </c>
      <c r="AM137" s="4">
        <v>0</v>
      </c>
    </row>
    <row r="138" spans="1:39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0</v>
      </c>
      <c r="H138" s="83">
        <v>0</v>
      </c>
      <c r="I138" s="4">
        <v>0</v>
      </c>
      <c r="J138" s="24">
        <v>0</v>
      </c>
      <c r="K138" s="24">
        <v>0</v>
      </c>
      <c r="L138" s="2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98">
        <v>0</v>
      </c>
      <c r="AM138" s="4">
        <v>0</v>
      </c>
    </row>
    <row r="139" spans="1:39" ht="12.75">
      <c r="A139" s="22">
        <v>138</v>
      </c>
      <c r="B139" s="112">
        <v>46.09433</v>
      </c>
      <c r="C139" s="112">
        <v>-91.23481</v>
      </c>
      <c r="D139" s="4">
        <v>2</v>
      </c>
      <c r="E139" s="4" t="s">
        <v>481</v>
      </c>
      <c r="F139" s="101">
        <v>1</v>
      </c>
      <c r="G139" s="22">
        <v>1</v>
      </c>
      <c r="H139" s="83">
        <v>4</v>
      </c>
      <c r="I139" s="4">
        <v>3</v>
      </c>
      <c r="J139" s="24">
        <v>0</v>
      </c>
      <c r="K139" s="24">
        <v>0</v>
      </c>
      <c r="L139" s="24">
        <v>1</v>
      </c>
      <c r="M139" s="4">
        <v>0</v>
      </c>
      <c r="N139" s="4">
        <v>0</v>
      </c>
      <c r="O139" s="4">
        <v>0</v>
      </c>
      <c r="P139" s="4">
        <v>1</v>
      </c>
      <c r="Q139" s="4">
        <v>1</v>
      </c>
      <c r="R139" s="4">
        <v>0</v>
      </c>
      <c r="S139" s="4">
        <v>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98">
        <v>0</v>
      </c>
      <c r="AM139" s="4">
        <v>0</v>
      </c>
    </row>
    <row r="140" spans="1:39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98">
        <v>0</v>
      </c>
      <c r="AM140" s="4">
        <v>0</v>
      </c>
    </row>
    <row r="141" spans="1:39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98">
        <v>0</v>
      </c>
      <c r="AM141" s="4">
        <v>0</v>
      </c>
    </row>
    <row r="142" spans="1:39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98">
        <v>0</v>
      </c>
      <c r="AM142" s="4">
        <v>0</v>
      </c>
    </row>
    <row r="143" spans="1:39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98">
        <v>0</v>
      </c>
      <c r="AM143" s="4">
        <v>0</v>
      </c>
    </row>
    <row r="144" spans="1:39" ht="12.75">
      <c r="A144" s="22">
        <v>143</v>
      </c>
      <c r="B144" s="112">
        <v>46.09437</v>
      </c>
      <c r="C144" s="112">
        <v>-91.23177</v>
      </c>
      <c r="D144" s="4">
        <v>4.5</v>
      </c>
      <c r="E144" s="4" t="s">
        <v>480</v>
      </c>
      <c r="F144" s="101">
        <v>1</v>
      </c>
      <c r="G144" s="22">
        <v>0</v>
      </c>
      <c r="H144" s="83">
        <v>0</v>
      </c>
      <c r="I144" s="4">
        <v>0</v>
      </c>
      <c r="J144" s="24">
        <v>0</v>
      </c>
      <c r="K144" s="24">
        <v>0</v>
      </c>
      <c r="L144" s="2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98">
        <v>0</v>
      </c>
      <c r="AM144" s="4">
        <v>0</v>
      </c>
    </row>
    <row r="145" spans="1:39" ht="12.75">
      <c r="A145" s="22">
        <v>144</v>
      </c>
      <c r="B145" s="112">
        <v>46.09465</v>
      </c>
      <c r="C145" s="112">
        <v>-91.24515</v>
      </c>
      <c r="D145" s="4">
        <v>1</v>
      </c>
      <c r="E145" s="4" t="s">
        <v>480</v>
      </c>
      <c r="F145" s="101">
        <v>1</v>
      </c>
      <c r="G145" s="22">
        <v>1</v>
      </c>
      <c r="H145" s="83">
        <v>1</v>
      </c>
      <c r="I145" s="4">
        <v>2</v>
      </c>
      <c r="J145" s="24">
        <v>0</v>
      </c>
      <c r="K145" s="24">
        <v>0</v>
      </c>
      <c r="L145" s="2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98">
        <v>0</v>
      </c>
      <c r="AM145" s="4">
        <v>0</v>
      </c>
    </row>
    <row r="146" spans="1:39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4</v>
      </c>
      <c r="I146" s="4">
        <v>1</v>
      </c>
      <c r="J146" s="24">
        <v>0</v>
      </c>
      <c r="K146" s="24">
        <v>0</v>
      </c>
      <c r="L146" s="2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</v>
      </c>
      <c r="U146" s="4">
        <v>0</v>
      </c>
      <c r="V146" s="4">
        <v>0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1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98">
        <v>0</v>
      </c>
      <c r="AM146" s="4">
        <v>0</v>
      </c>
    </row>
    <row r="147" spans="1:39" ht="12.75">
      <c r="A147" s="22">
        <v>146</v>
      </c>
      <c r="B147" s="112">
        <v>46.09466</v>
      </c>
      <c r="C147" s="112">
        <v>-91.24393</v>
      </c>
      <c r="D147" s="4">
        <v>4.5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98">
        <v>0</v>
      </c>
      <c r="AM147" s="4">
        <v>0</v>
      </c>
    </row>
    <row r="148" spans="1:39" ht="12.75">
      <c r="A148" s="22">
        <v>147</v>
      </c>
      <c r="B148" s="112">
        <v>46.09466</v>
      </c>
      <c r="C148" s="112">
        <v>-91.24333</v>
      </c>
      <c r="D148" s="4">
        <v>4.5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98">
        <v>0</v>
      </c>
      <c r="AM148" s="4">
        <v>0</v>
      </c>
    </row>
    <row r="149" spans="1:39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98">
        <v>0</v>
      </c>
      <c r="AM149" s="4">
        <v>0</v>
      </c>
    </row>
    <row r="150" spans="1:39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1</v>
      </c>
      <c r="H150" s="83">
        <v>1</v>
      </c>
      <c r="I150" s="4">
        <v>1</v>
      </c>
      <c r="J150" s="24">
        <v>0</v>
      </c>
      <c r="K150" s="24">
        <v>0</v>
      </c>
      <c r="L150" s="2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98">
        <v>0</v>
      </c>
      <c r="AM150" s="4">
        <v>0</v>
      </c>
    </row>
    <row r="151" spans="1:39" ht="12.75">
      <c r="A151" s="22">
        <v>150</v>
      </c>
      <c r="B151" s="112">
        <v>46.09469</v>
      </c>
      <c r="C151" s="112">
        <v>-91.2415</v>
      </c>
      <c r="D151" s="4">
        <v>5.5</v>
      </c>
      <c r="E151" s="4" t="s">
        <v>480</v>
      </c>
      <c r="F151" s="101">
        <v>1</v>
      </c>
      <c r="G151" s="22">
        <v>1</v>
      </c>
      <c r="H151" s="83">
        <v>2</v>
      </c>
      <c r="I151" s="4">
        <v>1</v>
      </c>
      <c r="J151" s="24">
        <v>0</v>
      </c>
      <c r="K151" s="24">
        <v>0</v>
      </c>
      <c r="L151" s="2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1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1</v>
      </c>
      <c r="AH151" s="4">
        <v>0</v>
      </c>
      <c r="AI151" s="4">
        <v>0</v>
      </c>
      <c r="AJ151" s="4">
        <v>0</v>
      </c>
      <c r="AK151" s="4">
        <v>0</v>
      </c>
      <c r="AL151" s="98">
        <v>0</v>
      </c>
      <c r="AM151" s="4">
        <v>0</v>
      </c>
    </row>
    <row r="152" spans="1:39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98">
        <v>0</v>
      </c>
      <c r="AM152" s="4">
        <v>0</v>
      </c>
    </row>
    <row r="153" spans="1:39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98">
        <v>0</v>
      </c>
      <c r="AM153" s="4">
        <v>0</v>
      </c>
    </row>
    <row r="154" spans="1:39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0</v>
      </c>
      <c r="H154" s="83">
        <v>0</v>
      </c>
      <c r="I154" s="4">
        <v>0</v>
      </c>
      <c r="J154" s="24">
        <v>0</v>
      </c>
      <c r="K154" s="24">
        <v>0</v>
      </c>
      <c r="L154" s="2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98">
        <v>0</v>
      </c>
      <c r="AM154" s="4">
        <v>0</v>
      </c>
    </row>
    <row r="155" spans="1:39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1</v>
      </c>
      <c r="I155" s="4">
        <v>1</v>
      </c>
      <c r="J155" s="24">
        <v>0</v>
      </c>
      <c r="K155" s="24">
        <v>0</v>
      </c>
      <c r="L155" s="2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98">
        <v>0</v>
      </c>
      <c r="AM155" s="4">
        <v>0</v>
      </c>
    </row>
    <row r="156" spans="1:39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0</v>
      </c>
      <c r="H156" s="83">
        <v>0</v>
      </c>
      <c r="I156" s="4">
        <v>0</v>
      </c>
      <c r="J156" s="24">
        <v>0</v>
      </c>
      <c r="K156" s="24">
        <v>0</v>
      </c>
      <c r="L156" s="2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98">
        <v>0</v>
      </c>
      <c r="AM156" s="4">
        <v>0</v>
      </c>
    </row>
    <row r="157" spans="1:39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98">
        <v>0</v>
      </c>
      <c r="AM157" s="4">
        <v>0</v>
      </c>
    </row>
    <row r="158" spans="1:39" ht="12.75">
      <c r="A158" s="22">
        <v>157</v>
      </c>
      <c r="B158" s="112">
        <v>46.09473</v>
      </c>
      <c r="C158" s="112">
        <v>-91.23725</v>
      </c>
      <c r="D158" s="4">
        <v>6</v>
      </c>
      <c r="E158" s="4" t="s">
        <v>480</v>
      </c>
      <c r="F158" s="101">
        <v>1</v>
      </c>
      <c r="G158" s="22">
        <v>0</v>
      </c>
      <c r="H158" s="83">
        <v>0</v>
      </c>
      <c r="I158" s="4">
        <v>0</v>
      </c>
      <c r="J158" s="24">
        <v>0</v>
      </c>
      <c r="K158" s="24">
        <v>0</v>
      </c>
      <c r="L158" s="2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98">
        <v>0</v>
      </c>
      <c r="AM158" s="4">
        <v>0</v>
      </c>
    </row>
    <row r="159" spans="1:39" ht="12.75">
      <c r="A159" s="22">
        <v>158</v>
      </c>
      <c r="B159" s="112">
        <v>46.09476</v>
      </c>
      <c r="C159" s="112">
        <v>-91.23482</v>
      </c>
      <c r="D159" s="4">
        <v>4.5</v>
      </c>
      <c r="E159" s="4" t="s">
        <v>481</v>
      </c>
      <c r="F159" s="101">
        <v>1</v>
      </c>
      <c r="G159" s="22">
        <v>0</v>
      </c>
      <c r="H159" s="83">
        <v>0</v>
      </c>
      <c r="I159" s="4">
        <v>0</v>
      </c>
      <c r="J159" s="24">
        <v>0</v>
      </c>
      <c r="K159" s="24">
        <v>0</v>
      </c>
      <c r="L159" s="2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98">
        <v>0</v>
      </c>
      <c r="AM159" s="4">
        <v>0</v>
      </c>
    </row>
    <row r="160" spans="1:39" ht="12.75">
      <c r="A160" s="22">
        <v>159</v>
      </c>
      <c r="B160" s="112">
        <v>46.09476</v>
      </c>
      <c r="C160" s="112">
        <v>-91.23421</v>
      </c>
      <c r="D160" s="4">
        <v>5.5</v>
      </c>
      <c r="E160" s="4" t="s">
        <v>480</v>
      </c>
      <c r="F160" s="101">
        <v>1</v>
      </c>
      <c r="G160" s="22">
        <v>0</v>
      </c>
      <c r="H160" s="83">
        <v>0</v>
      </c>
      <c r="I160" s="4">
        <v>0</v>
      </c>
      <c r="J160" s="24">
        <v>0</v>
      </c>
      <c r="K160" s="24">
        <v>0</v>
      </c>
      <c r="L160" s="2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98">
        <v>0</v>
      </c>
      <c r="AM160" s="4">
        <v>0</v>
      </c>
    </row>
    <row r="161" spans="1:39" ht="12.75">
      <c r="A161" s="22">
        <v>160</v>
      </c>
      <c r="B161" s="112">
        <v>46.09477</v>
      </c>
      <c r="C161" s="112">
        <v>-91.2336</v>
      </c>
      <c r="D161" s="4">
        <v>4.5</v>
      </c>
      <c r="E161" s="4" t="s">
        <v>480</v>
      </c>
      <c r="F161" s="101">
        <v>1</v>
      </c>
      <c r="G161" s="22">
        <v>1</v>
      </c>
      <c r="H161" s="83">
        <v>1</v>
      </c>
      <c r="I161" s="4">
        <v>1</v>
      </c>
      <c r="J161" s="24">
        <v>0</v>
      </c>
      <c r="K161" s="24">
        <v>4</v>
      </c>
      <c r="L161" s="2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98">
        <v>0</v>
      </c>
      <c r="AM161" s="4">
        <v>0</v>
      </c>
    </row>
    <row r="162" spans="1:39" ht="12.75">
      <c r="A162" s="22">
        <v>161</v>
      </c>
      <c r="B162" s="112">
        <v>46.09478</v>
      </c>
      <c r="C162" s="112">
        <v>-91.23299</v>
      </c>
      <c r="D162" s="4">
        <v>6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98">
        <v>0</v>
      </c>
      <c r="AM162" s="4">
        <v>0</v>
      </c>
    </row>
    <row r="163" spans="1:39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0</v>
      </c>
      <c r="H163" s="83">
        <v>0</v>
      </c>
      <c r="I163" s="4">
        <v>0</v>
      </c>
      <c r="J163" s="24">
        <v>0</v>
      </c>
      <c r="K163" s="24">
        <v>0</v>
      </c>
      <c r="L163" s="2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98">
        <v>0</v>
      </c>
      <c r="AM163" s="4">
        <v>0</v>
      </c>
    </row>
    <row r="164" spans="1:39" ht="12.75">
      <c r="A164" s="22">
        <v>163</v>
      </c>
      <c r="B164" s="112">
        <v>46.09479</v>
      </c>
      <c r="C164" s="112">
        <v>-91.23178</v>
      </c>
      <c r="D164" s="4">
        <v>4.5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98">
        <v>0</v>
      </c>
      <c r="AM164" s="4">
        <v>0</v>
      </c>
    </row>
    <row r="165" spans="1:39" ht="12.75">
      <c r="A165" s="22">
        <v>164</v>
      </c>
      <c r="B165" s="112">
        <v>46.09507</v>
      </c>
      <c r="C165" s="112">
        <v>-91.24516</v>
      </c>
      <c r="D165" s="4">
        <v>2</v>
      </c>
      <c r="E165" s="4" t="s">
        <v>480</v>
      </c>
      <c r="F165" s="101">
        <v>1</v>
      </c>
      <c r="G165" s="22">
        <v>1</v>
      </c>
      <c r="H165" s="83">
        <v>2</v>
      </c>
      <c r="I165" s="4">
        <v>2</v>
      </c>
      <c r="J165" s="24">
        <v>0</v>
      </c>
      <c r="K165" s="24">
        <v>1</v>
      </c>
      <c r="L165" s="2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98">
        <v>0</v>
      </c>
      <c r="AM165" s="4">
        <v>0</v>
      </c>
    </row>
    <row r="166" spans="1:39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2</v>
      </c>
      <c r="J166" s="24">
        <v>0</v>
      </c>
      <c r="K166" s="24">
        <v>4</v>
      </c>
      <c r="L166" s="2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98">
        <v>0</v>
      </c>
      <c r="AM166" s="4">
        <v>0</v>
      </c>
    </row>
    <row r="167" spans="1:39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1</v>
      </c>
      <c r="H167" s="83">
        <v>1</v>
      </c>
      <c r="I167" s="4">
        <v>1</v>
      </c>
      <c r="J167" s="24">
        <v>0</v>
      </c>
      <c r="K167" s="24">
        <v>0</v>
      </c>
      <c r="L167" s="2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98">
        <v>0</v>
      </c>
      <c r="AM167" s="4">
        <v>0</v>
      </c>
    </row>
    <row r="168" spans="1:39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98">
        <v>0</v>
      </c>
      <c r="AM168" s="4">
        <v>0</v>
      </c>
    </row>
    <row r="169" spans="1:39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1</v>
      </c>
      <c r="H169" s="83">
        <v>1</v>
      </c>
      <c r="I169" s="4">
        <v>1</v>
      </c>
      <c r="J169" s="24">
        <v>0</v>
      </c>
      <c r="K169" s="24">
        <v>0</v>
      </c>
      <c r="L169" s="2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1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98">
        <v>0</v>
      </c>
      <c r="AM169" s="4">
        <v>0</v>
      </c>
    </row>
    <row r="170" spans="1:39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0</v>
      </c>
      <c r="AI170" s="4">
        <v>0</v>
      </c>
      <c r="AJ170" s="4">
        <v>0</v>
      </c>
      <c r="AK170" s="4">
        <v>0</v>
      </c>
      <c r="AL170" s="98">
        <v>0</v>
      </c>
      <c r="AM170" s="4">
        <v>0</v>
      </c>
    </row>
    <row r="171" spans="1:39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0</v>
      </c>
      <c r="H171" s="83">
        <v>0</v>
      </c>
      <c r="I171" s="4">
        <v>0</v>
      </c>
      <c r="J171" s="24">
        <v>0</v>
      </c>
      <c r="K171" s="24">
        <v>0</v>
      </c>
      <c r="L171" s="2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98">
        <v>0</v>
      </c>
      <c r="AM171" s="4">
        <v>0</v>
      </c>
    </row>
    <row r="172" spans="1:39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0</v>
      </c>
      <c r="H172" s="83">
        <v>0</v>
      </c>
      <c r="I172" s="4">
        <v>0</v>
      </c>
      <c r="J172" s="24">
        <v>0</v>
      </c>
      <c r="K172" s="24">
        <v>0</v>
      </c>
      <c r="L172" s="2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98">
        <v>0</v>
      </c>
      <c r="AM172" s="4">
        <v>0</v>
      </c>
    </row>
    <row r="173" spans="1:39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0</v>
      </c>
      <c r="H173" s="83">
        <v>0</v>
      </c>
      <c r="I173" s="4">
        <v>0</v>
      </c>
      <c r="J173" s="24">
        <v>0</v>
      </c>
      <c r="K173" s="24">
        <v>0</v>
      </c>
      <c r="L173" s="2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98">
        <v>0</v>
      </c>
      <c r="AM173" s="4">
        <v>0</v>
      </c>
    </row>
    <row r="174" spans="1:39" ht="12.75">
      <c r="A174" s="22">
        <v>173</v>
      </c>
      <c r="B174" s="112">
        <v>46.09513</v>
      </c>
      <c r="C174" s="112">
        <v>-91.23969</v>
      </c>
      <c r="D174" s="4">
        <v>6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4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98">
        <v>0</v>
      </c>
      <c r="AM174" s="4">
        <v>0</v>
      </c>
    </row>
    <row r="175" spans="1:39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0</v>
      </c>
      <c r="H175" s="83">
        <v>0</v>
      </c>
      <c r="I175" s="4">
        <v>0</v>
      </c>
      <c r="J175" s="24">
        <v>0</v>
      </c>
      <c r="K175" s="24">
        <v>0</v>
      </c>
      <c r="L175" s="2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4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98">
        <v>0</v>
      </c>
      <c r="AM175" s="4">
        <v>0</v>
      </c>
    </row>
    <row r="176" spans="1:39" ht="12.75">
      <c r="A176" s="22">
        <v>175</v>
      </c>
      <c r="B176" s="112">
        <v>46.09514</v>
      </c>
      <c r="C176" s="112">
        <v>-91.23847</v>
      </c>
      <c r="D176" s="4">
        <v>6.5</v>
      </c>
      <c r="E176" s="4" t="s">
        <v>480</v>
      </c>
      <c r="F176" s="101">
        <v>1</v>
      </c>
      <c r="G176" s="22">
        <v>0</v>
      </c>
      <c r="H176" s="83">
        <v>0</v>
      </c>
      <c r="I176" s="4">
        <v>0</v>
      </c>
      <c r="J176" s="24">
        <v>0</v>
      </c>
      <c r="K176" s="24">
        <v>0</v>
      </c>
      <c r="L176" s="2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98">
        <v>0</v>
      </c>
      <c r="AM176" s="4">
        <v>0</v>
      </c>
    </row>
    <row r="177" spans="1:39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98">
        <v>0</v>
      </c>
      <c r="AM177" s="4">
        <v>0</v>
      </c>
    </row>
    <row r="178" spans="1:39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0</v>
      </c>
      <c r="H178" s="83">
        <v>0</v>
      </c>
      <c r="I178" s="4">
        <v>0</v>
      </c>
      <c r="J178" s="24">
        <v>0</v>
      </c>
      <c r="K178" s="24">
        <v>0</v>
      </c>
      <c r="L178" s="2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98">
        <v>0</v>
      </c>
      <c r="AM178" s="4">
        <v>0</v>
      </c>
    </row>
    <row r="179" spans="1:39" ht="12.75">
      <c r="A179" s="22">
        <v>178</v>
      </c>
      <c r="B179" s="112">
        <v>46.09516</v>
      </c>
      <c r="C179" s="112">
        <v>-91.23665</v>
      </c>
      <c r="D179" s="4">
        <v>6.5</v>
      </c>
      <c r="E179" s="4" t="s">
        <v>480</v>
      </c>
      <c r="F179" s="101">
        <v>1</v>
      </c>
      <c r="G179" s="22">
        <v>1</v>
      </c>
      <c r="H179" s="83">
        <v>1</v>
      </c>
      <c r="I179" s="4">
        <v>2</v>
      </c>
      <c r="J179" s="24">
        <v>0</v>
      </c>
      <c r="K179" s="24">
        <v>0</v>
      </c>
      <c r="L179" s="2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98">
        <v>0</v>
      </c>
      <c r="AM179" s="4">
        <v>0</v>
      </c>
    </row>
    <row r="180" spans="1:39" ht="12.75">
      <c r="A180" s="22">
        <v>179</v>
      </c>
      <c r="B180" s="112">
        <v>46.09517</v>
      </c>
      <c r="C180" s="112">
        <v>-91.23543</v>
      </c>
      <c r="D180" s="4">
        <v>3</v>
      </c>
      <c r="E180" s="4" t="s">
        <v>482</v>
      </c>
      <c r="F180" s="101">
        <v>1</v>
      </c>
      <c r="G180" s="22">
        <v>1</v>
      </c>
      <c r="H180" s="83">
        <v>3</v>
      </c>
      <c r="I180" s="4">
        <v>1</v>
      </c>
      <c r="J180" s="24">
        <v>0</v>
      </c>
      <c r="K180" s="24">
        <v>0</v>
      </c>
      <c r="L180" s="24">
        <v>1</v>
      </c>
      <c r="M180" s="4">
        <v>0</v>
      </c>
      <c r="N180" s="4">
        <v>0</v>
      </c>
      <c r="O180" s="4">
        <v>1</v>
      </c>
      <c r="P180" s="4">
        <v>0</v>
      </c>
      <c r="Q180" s="4">
        <v>0</v>
      </c>
      <c r="R180" s="4">
        <v>0</v>
      </c>
      <c r="S180" s="4">
        <v>1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98">
        <v>0</v>
      </c>
      <c r="AM180" s="4">
        <v>0</v>
      </c>
    </row>
    <row r="181" spans="1:39" ht="12.75">
      <c r="A181" s="22">
        <v>180</v>
      </c>
      <c r="B181" s="112">
        <v>46.09518</v>
      </c>
      <c r="C181" s="112">
        <v>-91.23482</v>
      </c>
      <c r="D181" s="4">
        <v>5.5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98">
        <v>0</v>
      </c>
      <c r="AM181" s="4">
        <v>0</v>
      </c>
    </row>
    <row r="182" spans="1:39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2</v>
      </c>
      <c r="J182" s="24">
        <v>0</v>
      </c>
      <c r="K182" s="24">
        <v>0</v>
      </c>
      <c r="L182" s="2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2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98">
        <v>0</v>
      </c>
      <c r="AM182" s="4">
        <v>0</v>
      </c>
    </row>
    <row r="183" spans="1:39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0</v>
      </c>
      <c r="H183" s="83">
        <v>0</v>
      </c>
      <c r="I183" s="4">
        <v>0</v>
      </c>
      <c r="J183" s="24">
        <v>0</v>
      </c>
      <c r="K183" s="24">
        <v>0</v>
      </c>
      <c r="L183" s="2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98">
        <v>0</v>
      </c>
      <c r="AM183" s="4">
        <v>0</v>
      </c>
    </row>
    <row r="184" spans="1:39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0</v>
      </c>
      <c r="H184" s="83">
        <v>0</v>
      </c>
      <c r="I184" s="4">
        <v>0</v>
      </c>
      <c r="J184" s="24">
        <v>0</v>
      </c>
      <c r="K184" s="24">
        <v>0</v>
      </c>
      <c r="L184" s="2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98">
        <v>0</v>
      </c>
      <c r="AM184" s="4">
        <v>0</v>
      </c>
    </row>
    <row r="185" spans="1:39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98">
        <v>0</v>
      </c>
      <c r="AM185" s="4">
        <v>0</v>
      </c>
    </row>
    <row r="186" spans="1:39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98">
        <v>0</v>
      </c>
      <c r="AM186" s="4">
        <v>0</v>
      </c>
    </row>
    <row r="187" spans="1:39" ht="12.75">
      <c r="A187" s="22">
        <v>186</v>
      </c>
      <c r="B187" s="112">
        <v>46.09522</v>
      </c>
      <c r="C187" s="112">
        <v>-91.23118</v>
      </c>
      <c r="D187" s="4">
        <v>6.5</v>
      </c>
      <c r="E187" s="4" t="s">
        <v>480</v>
      </c>
      <c r="F187" s="101">
        <v>1</v>
      </c>
      <c r="G187" s="22">
        <v>0</v>
      </c>
      <c r="H187" s="83">
        <v>0</v>
      </c>
      <c r="I187" s="4">
        <v>0</v>
      </c>
      <c r="J187" s="24">
        <v>0</v>
      </c>
      <c r="K187" s="24">
        <v>0</v>
      </c>
      <c r="L187" s="2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98">
        <v>0</v>
      </c>
      <c r="AM187" s="4">
        <v>0</v>
      </c>
    </row>
    <row r="188" spans="1:39" ht="12.75">
      <c r="A188" s="22">
        <v>187</v>
      </c>
      <c r="B188" s="112">
        <v>46.09549</v>
      </c>
      <c r="C188" s="112">
        <v>-91.24517</v>
      </c>
      <c r="D188" s="4">
        <v>2</v>
      </c>
      <c r="E188" s="4" t="s">
        <v>480</v>
      </c>
      <c r="F188" s="101">
        <v>1</v>
      </c>
      <c r="G188" s="22">
        <v>1</v>
      </c>
      <c r="H188" s="83">
        <v>3</v>
      </c>
      <c r="I188" s="4">
        <v>2</v>
      </c>
      <c r="J188" s="24">
        <v>0</v>
      </c>
      <c r="K188" s="24">
        <v>1</v>
      </c>
      <c r="L188" s="2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1</v>
      </c>
      <c r="W188" s="4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98">
        <v>0</v>
      </c>
      <c r="AM188" s="4">
        <v>0</v>
      </c>
    </row>
    <row r="189" spans="1:39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1</v>
      </c>
      <c r="H189" s="83">
        <v>1</v>
      </c>
      <c r="I189" s="4">
        <v>1</v>
      </c>
      <c r="J189" s="24">
        <v>0</v>
      </c>
      <c r="K189" s="24">
        <v>0</v>
      </c>
      <c r="L189" s="2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1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98">
        <v>0</v>
      </c>
      <c r="AM189" s="4">
        <v>0</v>
      </c>
    </row>
    <row r="190" spans="1:39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1</v>
      </c>
      <c r="H190" s="83">
        <v>1</v>
      </c>
      <c r="I190" s="4">
        <v>1</v>
      </c>
      <c r="J190" s="24">
        <v>0</v>
      </c>
      <c r="K190" s="24">
        <v>0</v>
      </c>
      <c r="L190" s="2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1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98">
        <v>0</v>
      </c>
      <c r="AM190" s="4">
        <v>0</v>
      </c>
    </row>
    <row r="191" spans="1:39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1</v>
      </c>
      <c r="H191" s="83">
        <v>2</v>
      </c>
      <c r="I191" s="4">
        <v>1</v>
      </c>
      <c r="J191" s="24">
        <v>0</v>
      </c>
      <c r="K191" s="24">
        <v>0</v>
      </c>
      <c r="L191" s="2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98">
        <v>0</v>
      </c>
      <c r="AM191" s="4">
        <v>0</v>
      </c>
    </row>
    <row r="192" spans="1:39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3</v>
      </c>
      <c r="I192" s="4">
        <v>2</v>
      </c>
      <c r="J192" s="24">
        <v>0</v>
      </c>
      <c r="K192" s="24">
        <v>0</v>
      </c>
      <c r="L192" s="2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</v>
      </c>
      <c r="AD192" s="4">
        <v>0</v>
      </c>
      <c r="AE192" s="4">
        <v>2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98">
        <v>0</v>
      </c>
      <c r="AM192" s="4">
        <v>0</v>
      </c>
    </row>
    <row r="193" spans="1:39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98">
        <v>0</v>
      </c>
      <c r="AM193" s="4">
        <v>0</v>
      </c>
    </row>
    <row r="194" spans="1:39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1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98">
        <v>0</v>
      </c>
      <c r="AM194" s="4">
        <v>0</v>
      </c>
    </row>
    <row r="195" spans="1:39" ht="12.75">
      <c r="A195" s="22">
        <v>194</v>
      </c>
      <c r="B195" s="112">
        <v>46.09554</v>
      </c>
      <c r="C195" s="112">
        <v>-91.24091</v>
      </c>
      <c r="D195" s="4">
        <v>6</v>
      </c>
      <c r="E195" s="4" t="s">
        <v>480</v>
      </c>
      <c r="F195" s="101">
        <v>1</v>
      </c>
      <c r="G195" s="22">
        <v>1</v>
      </c>
      <c r="H195" s="83">
        <v>1</v>
      </c>
      <c r="I195" s="4">
        <v>1</v>
      </c>
      <c r="J195" s="24">
        <v>0</v>
      </c>
      <c r="K195" s="24">
        <v>0</v>
      </c>
      <c r="L195" s="2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1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98">
        <v>0</v>
      </c>
      <c r="AM195" s="4">
        <v>0</v>
      </c>
    </row>
    <row r="196" spans="1:39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98">
        <v>0</v>
      </c>
      <c r="AM196" s="4">
        <v>0</v>
      </c>
    </row>
    <row r="197" spans="1:39" ht="12.75">
      <c r="A197" s="22">
        <v>196</v>
      </c>
      <c r="B197" s="112">
        <v>46.09555</v>
      </c>
      <c r="C197" s="112">
        <v>-91.2397</v>
      </c>
      <c r="D197" s="4">
        <v>5.5</v>
      </c>
      <c r="E197" s="4" t="s">
        <v>480</v>
      </c>
      <c r="F197" s="101">
        <v>1</v>
      </c>
      <c r="G197" s="22">
        <v>0</v>
      </c>
      <c r="H197" s="83">
        <v>0</v>
      </c>
      <c r="I197" s="4">
        <v>0</v>
      </c>
      <c r="J197" s="24">
        <v>0</v>
      </c>
      <c r="K197" s="24">
        <v>0</v>
      </c>
      <c r="L197" s="2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98">
        <v>0</v>
      </c>
      <c r="AM197" s="4">
        <v>0</v>
      </c>
    </row>
    <row r="198" spans="1:39" ht="12.75">
      <c r="A198" s="22">
        <v>197</v>
      </c>
      <c r="B198" s="112">
        <v>46.09556</v>
      </c>
      <c r="C198" s="112">
        <v>-91.23909</v>
      </c>
      <c r="D198" s="4">
        <v>6</v>
      </c>
      <c r="E198" s="4" t="s">
        <v>480</v>
      </c>
      <c r="F198" s="101">
        <v>1</v>
      </c>
      <c r="G198" s="22">
        <v>1</v>
      </c>
      <c r="H198" s="83">
        <v>2</v>
      </c>
      <c r="I198" s="4">
        <v>1</v>
      </c>
      <c r="J198" s="24">
        <v>0</v>
      </c>
      <c r="K198" s="24">
        <v>0</v>
      </c>
      <c r="L198" s="2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1</v>
      </c>
      <c r="AH198" s="4">
        <v>0</v>
      </c>
      <c r="AI198" s="4">
        <v>0</v>
      </c>
      <c r="AJ198" s="4">
        <v>0</v>
      </c>
      <c r="AK198" s="4">
        <v>0</v>
      </c>
      <c r="AL198" s="98">
        <v>0</v>
      </c>
      <c r="AM198" s="4">
        <v>0</v>
      </c>
    </row>
    <row r="199" spans="1:39" ht="12.75">
      <c r="A199" s="22">
        <v>198</v>
      </c>
      <c r="B199" s="112">
        <v>46.09556</v>
      </c>
      <c r="C199" s="112">
        <v>-91.23848</v>
      </c>
      <c r="D199" s="4">
        <v>6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98">
        <v>0</v>
      </c>
      <c r="AM199" s="4">
        <v>0</v>
      </c>
    </row>
    <row r="200" spans="1:39" ht="12.75">
      <c r="A200" s="22">
        <v>199</v>
      </c>
      <c r="B200" s="112">
        <v>46.09557</v>
      </c>
      <c r="C200" s="112">
        <v>-91.23787</v>
      </c>
      <c r="D200" s="4">
        <v>6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98">
        <v>0</v>
      </c>
      <c r="AM200" s="4">
        <v>0</v>
      </c>
    </row>
    <row r="201" spans="1:39" ht="12.75">
      <c r="A201" s="22">
        <v>200</v>
      </c>
      <c r="B201" s="112">
        <v>46.09558</v>
      </c>
      <c r="C201" s="112">
        <v>-91.23727</v>
      </c>
      <c r="D201" s="4">
        <v>6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1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98">
        <v>0</v>
      </c>
      <c r="AM201" s="4">
        <v>0</v>
      </c>
    </row>
    <row r="202" spans="1:39" ht="12.75">
      <c r="A202" s="22">
        <v>201</v>
      </c>
      <c r="B202" s="112">
        <v>46.09558</v>
      </c>
      <c r="C202" s="112">
        <v>-91.23666</v>
      </c>
      <c r="D202" s="4">
        <v>8.5</v>
      </c>
      <c r="E202" s="4" t="s">
        <v>480</v>
      </c>
      <c r="F202" s="101">
        <v>1</v>
      </c>
      <c r="G202" s="22">
        <v>1</v>
      </c>
      <c r="H202" s="83">
        <v>1</v>
      </c>
      <c r="I202" s="4">
        <v>1</v>
      </c>
      <c r="J202" s="24">
        <v>0</v>
      </c>
      <c r="K202" s="24">
        <v>0</v>
      </c>
      <c r="L202" s="2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1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98">
        <v>0</v>
      </c>
      <c r="AM202" s="4">
        <v>0</v>
      </c>
    </row>
    <row r="203" spans="1:39" ht="12.75">
      <c r="A203" s="22">
        <v>202</v>
      </c>
      <c r="B203" s="112">
        <v>46.09559</v>
      </c>
      <c r="C203" s="112">
        <v>-91.23605</v>
      </c>
      <c r="D203" s="4">
        <v>8.5</v>
      </c>
      <c r="E203" s="4" t="s">
        <v>480</v>
      </c>
      <c r="F203" s="101">
        <v>1</v>
      </c>
      <c r="G203" s="22">
        <v>0</v>
      </c>
      <c r="H203" s="83">
        <v>0</v>
      </c>
      <c r="I203" s="4">
        <v>0</v>
      </c>
      <c r="J203" s="24">
        <v>0</v>
      </c>
      <c r="K203" s="24">
        <v>0</v>
      </c>
      <c r="L203" s="2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98">
        <v>0</v>
      </c>
      <c r="AM203" s="4">
        <v>0</v>
      </c>
    </row>
    <row r="204" spans="1:39" ht="12.75">
      <c r="A204" s="22">
        <v>203</v>
      </c>
      <c r="B204" s="112">
        <v>46.0956</v>
      </c>
      <c r="C204" s="112">
        <v>-91.23544</v>
      </c>
      <c r="D204" s="4">
        <v>5.5</v>
      </c>
      <c r="E204" s="4" t="s">
        <v>482</v>
      </c>
      <c r="F204" s="101">
        <v>1</v>
      </c>
      <c r="G204" s="22">
        <v>1</v>
      </c>
      <c r="H204" s="83">
        <v>1</v>
      </c>
      <c r="I204" s="4">
        <v>1</v>
      </c>
      <c r="J204" s="24">
        <v>0</v>
      </c>
      <c r="K204" s="24">
        <v>0</v>
      </c>
      <c r="L204" s="2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98">
        <v>0</v>
      </c>
      <c r="AM204" s="4">
        <v>0</v>
      </c>
    </row>
    <row r="205" spans="1:39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0</v>
      </c>
      <c r="H205" s="83">
        <v>0</v>
      </c>
      <c r="I205" s="4">
        <v>0</v>
      </c>
      <c r="J205" s="24">
        <v>0</v>
      </c>
      <c r="K205" s="24">
        <v>0</v>
      </c>
      <c r="L205" s="2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98">
        <v>0</v>
      </c>
      <c r="AM205" s="4">
        <v>0</v>
      </c>
    </row>
    <row r="206" spans="1:39" ht="12.75">
      <c r="A206" s="22">
        <v>205</v>
      </c>
      <c r="B206" s="112">
        <v>46.09561</v>
      </c>
      <c r="C206" s="112">
        <v>-91.23423</v>
      </c>
      <c r="D206" s="4">
        <v>7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98">
        <v>0</v>
      </c>
      <c r="AM206" s="4">
        <v>0</v>
      </c>
    </row>
    <row r="207" spans="1:39" ht="12.75">
      <c r="A207" s="22">
        <v>206</v>
      </c>
      <c r="B207" s="112">
        <v>46.09562</v>
      </c>
      <c r="C207" s="112">
        <v>-91.23362</v>
      </c>
      <c r="D207" s="4">
        <v>7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98">
        <v>0</v>
      </c>
      <c r="AM207" s="4">
        <v>0</v>
      </c>
    </row>
    <row r="208" spans="1:39" ht="12.75">
      <c r="A208" s="22">
        <v>207</v>
      </c>
      <c r="B208" s="112">
        <v>46.09562</v>
      </c>
      <c r="C208" s="112">
        <v>-91.23301</v>
      </c>
      <c r="D208" s="4">
        <v>7</v>
      </c>
      <c r="E208" s="4" t="s">
        <v>480</v>
      </c>
      <c r="F208" s="101">
        <v>1</v>
      </c>
      <c r="G208" s="22">
        <v>0</v>
      </c>
      <c r="H208" s="83">
        <v>0</v>
      </c>
      <c r="I208" s="4">
        <v>0</v>
      </c>
      <c r="J208" s="24">
        <v>0</v>
      </c>
      <c r="K208" s="24">
        <v>0</v>
      </c>
      <c r="L208" s="2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98">
        <v>0</v>
      </c>
      <c r="AM208" s="4">
        <v>0</v>
      </c>
    </row>
    <row r="209" spans="1:39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98">
        <v>0</v>
      </c>
      <c r="AM209" s="4">
        <v>0</v>
      </c>
    </row>
    <row r="210" spans="1:39" ht="12.75">
      <c r="A210" s="22">
        <v>209</v>
      </c>
      <c r="B210" s="112">
        <v>46.09564</v>
      </c>
      <c r="C210" s="112">
        <v>-91.2318</v>
      </c>
      <c r="D210" s="4">
        <v>6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98">
        <v>0</v>
      </c>
      <c r="AM210" s="4">
        <v>0</v>
      </c>
    </row>
    <row r="211" spans="1:39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98">
        <v>0</v>
      </c>
      <c r="AM211" s="4">
        <v>0</v>
      </c>
    </row>
    <row r="212" spans="1:39" ht="12.75">
      <c r="A212" s="22">
        <v>211</v>
      </c>
      <c r="B212" s="112">
        <v>46.09565</v>
      </c>
      <c r="C212" s="112">
        <v>-91.23058</v>
      </c>
      <c r="D212" s="4">
        <v>7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98">
        <v>0</v>
      </c>
      <c r="AM212" s="4">
        <v>0</v>
      </c>
    </row>
    <row r="213" spans="1:39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</v>
      </c>
      <c r="X213" s="4">
        <v>4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98">
        <v>0</v>
      </c>
      <c r="AM213" s="4">
        <v>0</v>
      </c>
    </row>
    <row r="214" spans="1:39" ht="12.75">
      <c r="A214" s="22">
        <v>213</v>
      </c>
      <c r="B214" s="112">
        <v>46.09592</v>
      </c>
      <c r="C214" s="112">
        <v>-91.24457</v>
      </c>
      <c r="D214" s="4">
        <v>5.5</v>
      </c>
      <c r="E214" s="4" t="s">
        <v>480</v>
      </c>
      <c r="F214" s="101">
        <v>1</v>
      </c>
      <c r="G214" s="22">
        <v>0</v>
      </c>
      <c r="H214" s="83">
        <v>0</v>
      </c>
      <c r="I214" s="4">
        <v>0</v>
      </c>
      <c r="J214" s="24">
        <v>0</v>
      </c>
      <c r="K214" s="24">
        <v>0</v>
      </c>
      <c r="L214" s="2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98">
        <v>0</v>
      </c>
      <c r="AM214" s="4">
        <v>0</v>
      </c>
    </row>
    <row r="215" spans="1:39" ht="12.75">
      <c r="A215" s="22">
        <v>214</v>
      </c>
      <c r="B215" s="112">
        <v>46.09593</v>
      </c>
      <c r="C215" s="112">
        <v>-91.24396</v>
      </c>
      <c r="D215" s="4">
        <v>5.5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98">
        <v>0</v>
      </c>
      <c r="AM215" s="4">
        <v>0</v>
      </c>
    </row>
    <row r="216" spans="1:39" ht="12.75">
      <c r="A216" s="22">
        <v>215</v>
      </c>
      <c r="B216" s="112">
        <v>46.09593</v>
      </c>
      <c r="C216" s="112">
        <v>-91.24336</v>
      </c>
      <c r="D216" s="4">
        <v>5.5</v>
      </c>
      <c r="E216" s="4" t="s">
        <v>480</v>
      </c>
      <c r="F216" s="101">
        <v>1</v>
      </c>
      <c r="G216" s="22">
        <v>1</v>
      </c>
      <c r="H216" s="83">
        <v>1</v>
      </c>
      <c r="I216" s="4">
        <v>1</v>
      </c>
      <c r="J216" s="24">
        <v>0</v>
      </c>
      <c r="K216" s="24">
        <v>0</v>
      </c>
      <c r="L216" s="2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98">
        <v>0</v>
      </c>
      <c r="AM216" s="4">
        <v>0</v>
      </c>
    </row>
    <row r="217" spans="1:39" ht="12.75">
      <c r="A217" s="22">
        <v>216</v>
      </c>
      <c r="B217" s="112">
        <v>46.09594</v>
      </c>
      <c r="C217" s="112">
        <v>-91.24275</v>
      </c>
      <c r="D217" s="4">
        <v>6</v>
      </c>
      <c r="E217" s="4" t="s">
        <v>480</v>
      </c>
      <c r="F217" s="101">
        <v>1</v>
      </c>
      <c r="G217" s="22">
        <v>1</v>
      </c>
      <c r="H217" s="83">
        <v>1</v>
      </c>
      <c r="I217" s="4">
        <v>1</v>
      </c>
      <c r="J217" s="24">
        <v>0</v>
      </c>
      <c r="K217" s="24">
        <v>0</v>
      </c>
      <c r="L217" s="2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1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98">
        <v>0</v>
      </c>
      <c r="AM217" s="4">
        <v>0</v>
      </c>
    </row>
    <row r="218" spans="1:39" ht="12.75">
      <c r="A218" s="22">
        <v>217</v>
      </c>
      <c r="B218" s="112">
        <v>46.09595</v>
      </c>
      <c r="C218" s="112">
        <v>-91.24214</v>
      </c>
      <c r="D218" s="4">
        <v>6</v>
      </c>
      <c r="E218" s="4" t="s">
        <v>480</v>
      </c>
      <c r="F218" s="101">
        <v>1</v>
      </c>
      <c r="G218" s="22">
        <v>1</v>
      </c>
      <c r="H218" s="83">
        <v>2</v>
      </c>
      <c r="I218" s="4">
        <v>2</v>
      </c>
      <c r="J218" s="24">
        <v>0</v>
      </c>
      <c r="K218" s="24">
        <v>0</v>
      </c>
      <c r="L218" s="2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2</v>
      </c>
      <c r="Z218" s="4">
        <v>0</v>
      </c>
      <c r="AA218" s="4">
        <v>0</v>
      </c>
      <c r="AB218" s="4">
        <v>0</v>
      </c>
      <c r="AC218" s="4">
        <v>4</v>
      </c>
      <c r="AD218" s="4">
        <v>0</v>
      </c>
      <c r="AE218" s="4">
        <v>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98">
        <v>0</v>
      </c>
      <c r="AM218" s="4">
        <v>0</v>
      </c>
    </row>
    <row r="219" spans="1:39" ht="12.75">
      <c r="A219" s="22">
        <v>218</v>
      </c>
      <c r="B219" s="112">
        <v>46.09595</v>
      </c>
      <c r="C219" s="112">
        <v>-91.24153</v>
      </c>
      <c r="D219" s="4">
        <v>6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98">
        <v>0</v>
      </c>
      <c r="AM219" s="4">
        <v>0</v>
      </c>
    </row>
    <row r="220" spans="1:39" ht="12.75">
      <c r="A220" s="22">
        <v>219</v>
      </c>
      <c r="B220" s="112">
        <v>46.09596</v>
      </c>
      <c r="C220" s="112">
        <v>-91.24092</v>
      </c>
      <c r="D220" s="4">
        <v>6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1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98">
        <v>0</v>
      </c>
      <c r="AM220" s="4">
        <v>0</v>
      </c>
    </row>
    <row r="221" spans="1:39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0</v>
      </c>
      <c r="H221" s="83">
        <v>0</v>
      </c>
      <c r="I221" s="4">
        <v>0</v>
      </c>
      <c r="J221" s="24">
        <v>0</v>
      </c>
      <c r="K221" s="24">
        <v>0</v>
      </c>
      <c r="L221" s="2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98">
        <v>0</v>
      </c>
      <c r="AM221" s="4">
        <v>0</v>
      </c>
    </row>
    <row r="222" spans="1:39" ht="12.75">
      <c r="A222" s="22">
        <v>221</v>
      </c>
      <c r="B222" s="112">
        <v>46.09597</v>
      </c>
      <c r="C222" s="112">
        <v>-91.23971</v>
      </c>
      <c r="D222" s="4">
        <v>6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4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98">
        <v>0</v>
      </c>
      <c r="AM222" s="4">
        <v>0</v>
      </c>
    </row>
    <row r="223" spans="1:39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1</v>
      </c>
      <c r="H223" s="83">
        <v>1</v>
      </c>
      <c r="I223" s="4">
        <v>1</v>
      </c>
      <c r="J223" s="24">
        <v>0</v>
      </c>
      <c r="K223" s="24">
        <v>0</v>
      </c>
      <c r="L223" s="2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98">
        <v>0</v>
      </c>
      <c r="AM223" s="4">
        <v>0</v>
      </c>
    </row>
    <row r="224" spans="1:39" ht="12.75">
      <c r="A224" s="22">
        <v>223</v>
      </c>
      <c r="B224" s="112">
        <v>46.09599</v>
      </c>
      <c r="C224" s="112">
        <v>-91.23849</v>
      </c>
      <c r="D224" s="4">
        <v>6.5</v>
      </c>
      <c r="E224" s="4" t="s">
        <v>480</v>
      </c>
      <c r="F224" s="101">
        <v>1</v>
      </c>
      <c r="G224" s="22">
        <v>0</v>
      </c>
      <c r="H224" s="83">
        <v>0</v>
      </c>
      <c r="I224" s="4">
        <v>0</v>
      </c>
      <c r="J224" s="24">
        <v>0</v>
      </c>
      <c r="K224" s="24">
        <v>0</v>
      </c>
      <c r="L224" s="2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4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98">
        <v>0</v>
      </c>
      <c r="AM224" s="4">
        <v>0</v>
      </c>
    </row>
    <row r="225" spans="1:39" ht="12.75">
      <c r="A225" s="22">
        <v>224</v>
      </c>
      <c r="B225" s="112">
        <v>46.09599</v>
      </c>
      <c r="C225" s="112">
        <v>-91.23788</v>
      </c>
      <c r="D225" s="4">
        <v>6</v>
      </c>
      <c r="E225" s="4" t="s">
        <v>480</v>
      </c>
      <c r="F225" s="101">
        <v>1</v>
      </c>
      <c r="G225" s="22">
        <v>0</v>
      </c>
      <c r="H225" s="83">
        <v>0</v>
      </c>
      <c r="I225" s="4">
        <v>0</v>
      </c>
      <c r="J225" s="24">
        <v>0</v>
      </c>
      <c r="K225" s="24">
        <v>0</v>
      </c>
      <c r="L225" s="2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98">
        <v>0</v>
      </c>
      <c r="AM225" s="4">
        <v>0</v>
      </c>
    </row>
    <row r="226" spans="1:39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0</v>
      </c>
      <c r="H226" s="83">
        <v>0</v>
      </c>
      <c r="I226" s="4">
        <v>0</v>
      </c>
      <c r="J226" s="24">
        <v>0</v>
      </c>
      <c r="K226" s="24">
        <v>0</v>
      </c>
      <c r="L226" s="2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98">
        <v>0</v>
      </c>
      <c r="AM226" s="4">
        <v>0</v>
      </c>
    </row>
    <row r="227" spans="1:39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98">
        <v>0</v>
      </c>
      <c r="AM227" s="4">
        <v>0</v>
      </c>
    </row>
    <row r="228" spans="1:39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98">
        <v>0</v>
      </c>
      <c r="AM228" s="4">
        <v>0</v>
      </c>
    </row>
    <row r="229" spans="1:39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98">
        <v>0</v>
      </c>
      <c r="AM229" s="4">
        <v>0</v>
      </c>
    </row>
    <row r="230" spans="1:39" ht="12.75">
      <c r="A230" s="22">
        <v>229</v>
      </c>
      <c r="B230" s="112">
        <v>46.09603</v>
      </c>
      <c r="C230" s="112">
        <v>-91.23484</v>
      </c>
      <c r="D230" s="4">
        <v>7.5</v>
      </c>
      <c r="E230" s="4" t="s">
        <v>481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98">
        <v>0</v>
      </c>
      <c r="AM230" s="4">
        <v>0</v>
      </c>
    </row>
    <row r="231" spans="1:39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98">
        <v>0</v>
      </c>
      <c r="AM231" s="4">
        <v>0</v>
      </c>
    </row>
    <row r="232" spans="1:39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0</v>
      </c>
      <c r="H232" s="83">
        <v>0</v>
      </c>
      <c r="I232" s="4">
        <v>0</v>
      </c>
      <c r="J232" s="24">
        <v>0</v>
      </c>
      <c r="K232" s="24">
        <v>0</v>
      </c>
      <c r="L232" s="2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98">
        <v>0</v>
      </c>
      <c r="AM232" s="4">
        <v>0</v>
      </c>
    </row>
    <row r="233" spans="1:39" ht="12.75">
      <c r="A233" s="22">
        <v>232</v>
      </c>
      <c r="B233" s="112">
        <v>46.09605</v>
      </c>
      <c r="C233" s="112">
        <v>-91.23302</v>
      </c>
      <c r="D233" s="4">
        <v>6.5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98">
        <v>0</v>
      </c>
      <c r="AM233" s="4">
        <v>0</v>
      </c>
    </row>
    <row r="234" spans="1:39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98">
        <v>0</v>
      </c>
      <c r="AM234" s="4">
        <v>0</v>
      </c>
    </row>
    <row r="235" spans="1:39" ht="12.75">
      <c r="A235" s="22">
        <v>234</v>
      </c>
      <c r="B235" s="112">
        <v>46.09606</v>
      </c>
      <c r="C235" s="112">
        <v>-91.2318</v>
      </c>
      <c r="D235" s="4">
        <v>6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98">
        <v>0</v>
      </c>
      <c r="AM235" s="4">
        <v>0</v>
      </c>
    </row>
    <row r="236" spans="1:39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1</v>
      </c>
      <c r="I236" s="4">
        <v>1</v>
      </c>
      <c r="J236" s="24">
        <v>0</v>
      </c>
      <c r="K236" s="24">
        <v>0</v>
      </c>
      <c r="L236" s="2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4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</v>
      </c>
      <c r="AH236" s="4">
        <v>0</v>
      </c>
      <c r="AI236" s="4">
        <v>0</v>
      </c>
      <c r="AJ236" s="4">
        <v>0</v>
      </c>
      <c r="AK236" s="4">
        <v>0</v>
      </c>
      <c r="AL236" s="98">
        <v>0</v>
      </c>
      <c r="AM236" s="4">
        <v>0</v>
      </c>
    </row>
    <row r="237" spans="1:39" ht="12.75">
      <c r="A237" s="22">
        <v>236</v>
      </c>
      <c r="B237" s="112">
        <v>46.09607</v>
      </c>
      <c r="C237" s="112">
        <v>-91.23059</v>
      </c>
      <c r="D237" s="4">
        <v>6</v>
      </c>
      <c r="E237" s="4" t="s">
        <v>480</v>
      </c>
      <c r="F237" s="101">
        <v>1</v>
      </c>
      <c r="G237" s="22">
        <v>1</v>
      </c>
      <c r="H237" s="83">
        <v>1</v>
      </c>
      <c r="I237" s="4">
        <v>2</v>
      </c>
      <c r="J237" s="24">
        <v>0</v>
      </c>
      <c r="K237" s="24">
        <v>0</v>
      </c>
      <c r="L237" s="2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2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98">
        <v>0</v>
      </c>
      <c r="AM237" s="4">
        <v>0</v>
      </c>
    </row>
    <row r="238" spans="1:39" ht="12.75">
      <c r="A238" s="22">
        <v>237</v>
      </c>
      <c r="B238" s="112">
        <v>46.09608</v>
      </c>
      <c r="C238" s="112">
        <v>-91.22998</v>
      </c>
      <c r="D238" s="4">
        <v>6</v>
      </c>
      <c r="E238" s="4" t="s">
        <v>480</v>
      </c>
      <c r="F238" s="101">
        <v>1</v>
      </c>
      <c r="G238" s="22">
        <v>1</v>
      </c>
      <c r="H238" s="83">
        <v>1</v>
      </c>
      <c r="I238" s="4">
        <v>2</v>
      </c>
      <c r="J238" s="24">
        <v>0</v>
      </c>
      <c r="K238" s="24">
        <v>0</v>
      </c>
      <c r="L238" s="2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2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98">
        <v>0</v>
      </c>
      <c r="AM238" s="4">
        <v>0</v>
      </c>
    </row>
    <row r="239" spans="1:39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3</v>
      </c>
      <c r="I239" s="4">
        <v>2</v>
      </c>
      <c r="J239" s="24">
        <v>0</v>
      </c>
      <c r="K239" s="24">
        <v>0</v>
      </c>
      <c r="L239" s="2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2</v>
      </c>
      <c r="U239" s="4">
        <v>0</v>
      </c>
      <c r="V239" s="4">
        <v>0</v>
      </c>
      <c r="W239" s="4">
        <v>0</v>
      </c>
      <c r="X239" s="4">
        <v>0</v>
      </c>
      <c r="Y239" s="4">
        <v>2</v>
      </c>
      <c r="Z239" s="4">
        <v>0</v>
      </c>
      <c r="AA239" s="4">
        <v>0</v>
      </c>
      <c r="AB239" s="4">
        <v>0</v>
      </c>
      <c r="AC239" s="4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98">
        <v>0</v>
      </c>
      <c r="AM239" s="4">
        <v>0</v>
      </c>
    </row>
    <row r="240" spans="1:39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0</v>
      </c>
      <c r="H240" s="83">
        <v>0</v>
      </c>
      <c r="I240" s="4">
        <v>0</v>
      </c>
      <c r="J240" s="24">
        <v>0</v>
      </c>
      <c r="K240" s="24">
        <v>0</v>
      </c>
      <c r="L240" s="2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98">
        <v>0</v>
      </c>
      <c r="AM240" s="4">
        <v>0</v>
      </c>
    </row>
    <row r="241" spans="1:39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0</v>
      </c>
      <c r="H241" s="83">
        <v>0</v>
      </c>
      <c r="I241" s="4">
        <v>0</v>
      </c>
      <c r="J241" s="24">
        <v>0</v>
      </c>
      <c r="K241" s="24">
        <v>4</v>
      </c>
      <c r="L241" s="2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98">
        <v>0</v>
      </c>
      <c r="AM241" s="4">
        <v>0</v>
      </c>
    </row>
    <row r="242" spans="1:39" ht="12.75">
      <c r="A242" s="22">
        <v>241</v>
      </c>
      <c r="B242" s="112">
        <v>46.09636</v>
      </c>
      <c r="C242" s="112">
        <v>-91.24336</v>
      </c>
      <c r="D242" s="4">
        <v>4.5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98">
        <v>0</v>
      </c>
      <c r="AM242" s="4">
        <v>0</v>
      </c>
    </row>
    <row r="243" spans="1:39" ht="12.75">
      <c r="A243" s="22">
        <v>242</v>
      </c>
      <c r="B243" s="112">
        <v>46.09636</v>
      </c>
      <c r="C243" s="112">
        <v>-91.24276</v>
      </c>
      <c r="D243" s="4">
        <v>5.5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0</v>
      </c>
      <c r="W243" s="4">
        <v>0</v>
      </c>
      <c r="X243" s="4">
        <v>0</v>
      </c>
      <c r="Y243" s="4">
        <v>4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98">
        <v>0</v>
      </c>
      <c r="AM243" s="4">
        <v>0</v>
      </c>
    </row>
    <row r="244" spans="1:39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0</v>
      </c>
      <c r="H244" s="83">
        <v>0</v>
      </c>
      <c r="I244" s="4">
        <v>0</v>
      </c>
      <c r="J244" s="24">
        <v>0</v>
      </c>
      <c r="K244" s="24">
        <v>0</v>
      </c>
      <c r="L244" s="2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98">
        <v>0</v>
      </c>
      <c r="AM244" s="4">
        <v>0</v>
      </c>
    </row>
    <row r="245" spans="1:39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98">
        <v>0</v>
      </c>
      <c r="AM245" s="4">
        <v>0</v>
      </c>
    </row>
    <row r="246" spans="1:39" ht="12.75">
      <c r="A246" s="22">
        <v>245</v>
      </c>
      <c r="B246" s="112">
        <v>46.09638</v>
      </c>
      <c r="C246" s="112">
        <v>-91.24093</v>
      </c>
      <c r="D246" s="4">
        <v>6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98">
        <v>0</v>
      </c>
      <c r="AM246" s="4">
        <v>0</v>
      </c>
    </row>
    <row r="247" spans="1:39" ht="12.75">
      <c r="A247" s="22">
        <v>246</v>
      </c>
      <c r="B247" s="112">
        <v>46.09639</v>
      </c>
      <c r="C247" s="112">
        <v>-91.24033</v>
      </c>
      <c r="D247" s="4">
        <v>6</v>
      </c>
      <c r="E247" s="4" t="s">
        <v>480</v>
      </c>
      <c r="F247" s="101">
        <v>1</v>
      </c>
      <c r="G247" s="22">
        <v>0</v>
      </c>
      <c r="H247" s="83">
        <v>0</v>
      </c>
      <c r="I247" s="4">
        <v>0</v>
      </c>
      <c r="J247" s="24">
        <v>0</v>
      </c>
      <c r="K247" s="24">
        <v>0</v>
      </c>
      <c r="L247" s="2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98">
        <v>0</v>
      </c>
      <c r="AM247" s="4">
        <v>0</v>
      </c>
    </row>
    <row r="248" spans="1:39" ht="12.75">
      <c r="A248" s="22">
        <v>247</v>
      </c>
      <c r="B248" s="112">
        <v>46.0964</v>
      </c>
      <c r="C248" s="112">
        <v>-91.23972</v>
      </c>
      <c r="D248" s="4">
        <v>6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98">
        <v>0</v>
      </c>
      <c r="AM248" s="4">
        <v>0</v>
      </c>
    </row>
    <row r="249" spans="1:39" ht="12.75">
      <c r="A249" s="22">
        <v>248</v>
      </c>
      <c r="B249" s="112">
        <v>46.0964</v>
      </c>
      <c r="C249" s="112">
        <v>-91.23911</v>
      </c>
      <c r="D249" s="4">
        <v>6</v>
      </c>
      <c r="E249" s="4" t="s">
        <v>480</v>
      </c>
      <c r="F249" s="101">
        <v>1</v>
      </c>
      <c r="G249" s="22">
        <v>0</v>
      </c>
      <c r="H249" s="83">
        <v>0</v>
      </c>
      <c r="I249" s="4">
        <v>0</v>
      </c>
      <c r="J249" s="24">
        <v>0</v>
      </c>
      <c r="K249" s="24">
        <v>0</v>
      </c>
      <c r="L249" s="2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98">
        <v>0</v>
      </c>
      <c r="AM249" s="4">
        <v>0</v>
      </c>
    </row>
    <row r="250" spans="1:39" ht="12.75">
      <c r="A250" s="22">
        <v>249</v>
      </c>
      <c r="B250" s="112">
        <v>46.09641</v>
      </c>
      <c r="C250" s="112">
        <v>-91.2385</v>
      </c>
      <c r="D250" s="4">
        <v>6</v>
      </c>
      <c r="E250" s="4" t="s">
        <v>480</v>
      </c>
      <c r="F250" s="101">
        <v>1</v>
      </c>
      <c r="G250" s="22">
        <v>1</v>
      </c>
      <c r="H250" s="83">
        <v>1</v>
      </c>
      <c r="I250" s="4">
        <v>1</v>
      </c>
      <c r="J250" s="24">
        <v>0</v>
      </c>
      <c r="K250" s="24">
        <v>0</v>
      </c>
      <c r="L250" s="2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1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98">
        <v>0</v>
      </c>
      <c r="AM250" s="4">
        <v>0</v>
      </c>
    </row>
    <row r="251" spans="1:39" ht="12.75">
      <c r="A251" s="22">
        <v>250</v>
      </c>
      <c r="B251" s="112">
        <v>46.09642</v>
      </c>
      <c r="C251" s="112">
        <v>-91.23789</v>
      </c>
      <c r="D251" s="4">
        <v>6</v>
      </c>
      <c r="E251" s="4" t="s">
        <v>480</v>
      </c>
      <c r="F251" s="101">
        <v>1</v>
      </c>
      <c r="G251" s="22">
        <v>1</v>
      </c>
      <c r="H251" s="83">
        <v>2</v>
      </c>
      <c r="I251" s="4">
        <v>2</v>
      </c>
      <c r="J251" s="24">
        <v>0</v>
      </c>
      <c r="K251" s="24">
        <v>0</v>
      </c>
      <c r="L251" s="2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2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98">
        <v>0</v>
      </c>
      <c r="AM251" s="4">
        <v>0</v>
      </c>
    </row>
    <row r="252" spans="1:39" ht="12.75">
      <c r="A252" s="22">
        <v>251</v>
      </c>
      <c r="B252" s="112">
        <v>46.09642</v>
      </c>
      <c r="C252" s="112">
        <v>-91.23728</v>
      </c>
      <c r="D252" s="4">
        <v>6</v>
      </c>
      <c r="E252" s="4" t="s">
        <v>480</v>
      </c>
      <c r="F252" s="101">
        <v>1</v>
      </c>
      <c r="G252" s="22">
        <v>0</v>
      </c>
      <c r="H252" s="83">
        <v>0</v>
      </c>
      <c r="I252" s="4">
        <v>0</v>
      </c>
      <c r="J252" s="24">
        <v>0</v>
      </c>
      <c r="K252" s="24">
        <v>0</v>
      </c>
      <c r="L252" s="2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4</v>
      </c>
      <c r="Z252" s="4">
        <v>0</v>
      </c>
      <c r="AA252" s="4">
        <v>0</v>
      </c>
      <c r="AB252" s="4">
        <v>0</v>
      </c>
      <c r="AC252" s="4">
        <v>4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98">
        <v>0</v>
      </c>
      <c r="AM252" s="4">
        <v>0</v>
      </c>
    </row>
    <row r="253" spans="1:39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0</v>
      </c>
      <c r="H253" s="83">
        <v>0</v>
      </c>
      <c r="I253" s="4">
        <v>0</v>
      </c>
      <c r="J253" s="24">
        <v>0</v>
      </c>
      <c r="K253" s="24">
        <v>0</v>
      </c>
      <c r="L253" s="2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98">
        <v>0</v>
      </c>
      <c r="AM253" s="4">
        <v>0</v>
      </c>
    </row>
    <row r="254" spans="1:39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0</v>
      </c>
      <c r="H254" s="83">
        <v>0</v>
      </c>
      <c r="I254" s="4">
        <v>0</v>
      </c>
      <c r="J254" s="24">
        <v>0</v>
      </c>
      <c r="K254" s="24">
        <v>0</v>
      </c>
      <c r="L254" s="2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98">
        <v>0</v>
      </c>
      <c r="AM254" s="4">
        <v>0</v>
      </c>
    </row>
    <row r="255" spans="1:39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0</v>
      </c>
      <c r="H255" s="83">
        <v>0</v>
      </c>
      <c r="I255" s="4">
        <v>0</v>
      </c>
      <c r="J255" s="24">
        <v>0</v>
      </c>
      <c r="K255" s="24">
        <v>0</v>
      </c>
      <c r="L255" s="2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98">
        <v>0</v>
      </c>
      <c r="AM255" s="4">
        <v>0</v>
      </c>
    </row>
    <row r="256" spans="1:39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98">
        <v>0</v>
      </c>
      <c r="AM256" s="4">
        <v>0</v>
      </c>
    </row>
    <row r="257" spans="1:39" ht="12.75">
      <c r="A257" s="22">
        <v>256</v>
      </c>
      <c r="B257" s="112">
        <v>46.09646</v>
      </c>
      <c r="C257" s="112">
        <v>-91.23425</v>
      </c>
      <c r="D257" s="4">
        <v>6.5</v>
      </c>
      <c r="E257" s="4" t="s">
        <v>480</v>
      </c>
      <c r="F257" s="101">
        <v>1</v>
      </c>
      <c r="G257" s="22">
        <v>0</v>
      </c>
      <c r="H257" s="83">
        <v>0</v>
      </c>
      <c r="I257" s="4">
        <v>0</v>
      </c>
      <c r="J257" s="24">
        <v>0</v>
      </c>
      <c r="K257" s="24">
        <v>0</v>
      </c>
      <c r="L257" s="2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4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98">
        <v>0</v>
      </c>
      <c r="AM257" s="4">
        <v>0</v>
      </c>
    </row>
    <row r="258" spans="1:39" ht="12.75">
      <c r="A258" s="22">
        <v>257</v>
      </c>
      <c r="B258" s="112">
        <v>46.09646</v>
      </c>
      <c r="C258" s="112">
        <v>-91.23364</v>
      </c>
      <c r="D258" s="4">
        <v>6.5</v>
      </c>
      <c r="E258" s="4" t="s">
        <v>480</v>
      </c>
      <c r="F258" s="101">
        <v>1</v>
      </c>
      <c r="G258" s="22">
        <v>1</v>
      </c>
      <c r="H258" s="83">
        <v>1</v>
      </c>
      <c r="I258" s="4">
        <v>1</v>
      </c>
      <c r="J258" s="24">
        <v>0</v>
      </c>
      <c r="K258" s="24">
        <v>0</v>
      </c>
      <c r="L258" s="2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4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98">
        <v>0</v>
      </c>
      <c r="AM258" s="4">
        <v>0</v>
      </c>
    </row>
    <row r="259" spans="1:39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1</v>
      </c>
      <c r="I259" s="4">
        <v>1</v>
      </c>
      <c r="J259" s="24">
        <v>0</v>
      </c>
      <c r="K259" s="24">
        <v>0</v>
      </c>
      <c r="L259" s="2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1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98">
        <v>0</v>
      </c>
      <c r="AM259" s="4">
        <v>0</v>
      </c>
    </row>
    <row r="260" spans="1:39" ht="12.75">
      <c r="A260" s="22">
        <v>259</v>
      </c>
      <c r="B260" s="112">
        <v>46.09647</v>
      </c>
      <c r="C260" s="112">
        <v>-91.23242</v>
      </c>
      <c r="D260" s="4">
        <v>6</v>
      </c>
      <c r="E260" s="4" t="s">
        <v>480</v>
      </c>
      <c r="F260" s="101">
        <v>1</v>
      </c>
      <c r="G260" s="22">
        <v>1</v>
      </c>
      <c r="H260" s="83">
        <v>4</v>
      </c>
      <c r="I260" s="4">
        <v>2</v>
      </c>
      <c r="J260" s="24">
        <v>0</v>
      </c>
      <c r="K260" s="24">
        <v>0</v>
      </c>
      <c r="L260" s="2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2</v>
      </c>
      <c r="Z260" s="4">
        <v>1</v>
      </c>
      <c r="AA260" s="4">
        <v>0</v>
      </c>
      <c r="AB260" s="4">
        <v>0</v>
      </c>
      <c r="AC260" s="4">
        <v>1</v>
      </c>
      <c r="AD260" s="4">
        <v>0</v>
      </c>
      <c r="AE260" s="4">
        <v>1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98">
        <v>0</v>
      </c>
      <c r="AM260" s="4">
        <v>0</v>
      </c>
    </row>
    <row r="261" spans="1:39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2</v>
      </c>
      <c r="I261" s="4">
        <v>1</v>
      </c>
      <c r="J261" s="24">
        <v>0</v>
      </c>
      <c r="K261" s="24">
        <v>0</v>
      </c>
      <c r="L261" s="2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1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98">
        <v>0</v>
      </c>
      <c r="AM261" s="4">
        <v>0</v>
      </c>
    </row>
    <row r="262" spans="1:39" ht="12.75">
      <c r="A262" s="22">
        <v>261</v>
      </c>
      <c r="B262" s="112">
        <v>46.09649</v>
      </c>
      <c r="C262" s="112">
        <v>-91.23121</v>
      </c>
      <c r="D262" s="4">
        <v>5.5</v>
      </c>
      <c r="E262" s="4" t="s">
        <v>480</v>
      </c>
      <c r="F262" s="101">
        <v>1</v>
      </c>
      <c r="G262" s="22">
        <v>1</v>
      </c>
      <c r="H262" s="83">
        <v>2</v>
      </c>
      <c r="I262" s="4">
        <v>3</v>
      </c>
      <c r="J262" s="24">
        <v>0</v>
      </c>
      <c r="K262" s="24">
        <v>0</v>
      </c>
      <c r="L262" s="2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4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3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1</v>
      </c>
      <c r="AL262" s="98">
        <v>0</v>
      </c>
      <c r="AM262" s="4">
        <v>0</v>
      </c>
    </row>
    <row r="263" spans="1:39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0</v>
      </c>
      <c r="H263" s="83">
        <v>0</v>
      </c>
      <c r="I263" s="4">
        <v>0</v>
      </c>
      <c r="J263" s="24">
        <v>0</v>
      </c>
      <c r="K263" s="24">
        <v>0</v>
      </c>
      <c r="L263" s="2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98">
        <v>0</v>
      </c>
      <c r="AM263" s="4">
        <v>0</v>
      </c>
    </row>
    <row r="264" spans="1:39" ht="12.75">
      <c r="A264" s="22">
        <v>263</v>
      </c>
      <c r="B264" s="112">
        <v>46.0965</v>
      </c>
      <c r="C264" s="112">
        <v>-91.22999</v>
      </c>
      <c r="D264" s="4">
        <v>5.5</v>
      </c>
      <c r="E264" s="4" t="s">
        <v>480</v>
      </c>
      <c r="F264" s="101">
        <v>1</v>
      </c>
      <c r="G264" s="22">
        <v>1</v>
      </c>
      <c r="H264" s="83">
        <v>4</v>
      </c>
      <c r="I264" s="4">
        <v>2</v>
      </c>
      <c r="J264" s="24">
        <v>0</v>
      </c>
      <c r="K264" s="24">
        <v>0</v>
      </c>
      <c r="L264" s="2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2</v>
      </c>
      <c r="AF264" s="4">
        <v>0</v>
      </c>
      <c r="AG264" s="4">
        <v>1</v>
      </c>
      <c r="AH264" s="4">
        <v>0</v>
      </c>
      <c r="AI264" s="4">
        <v>0</v>
      </c>
      <c r="AJ264" s="4">
        <v>0</v>
      </c>
      <c r="AK264" s="4">
        <v>0</v>
      </c>
      <c r="AL264" s="98">
        <v>0</v>
      </c>
      <c r="AM264" s="4">
        <v>0</v>
      </c>
    </row>
    <row r="265" spans="1:39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3</v>
      </c>
      <c r="I265" s="4">
        <v>1</v>
      </c>
      <c r="J265" s="24">
        <v>0</v>
      </c>
      <c r="K265" s="24">
        <v>0</v>
      </c>
      <c r="L265" s="2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1</v>
      </c>
      <c r="AD265" s="4">
        <v>0</v>
      </c>
      <c r="AE265" s="4">
        <v>1</v>
      </c>
      <c r="AF265" s="4">
        <v>0</v>
      </c>
      <c r="AG265" s="4">
        <v>1</v>
      </c>
      <c r="AH265" s="4">
        <v>0</v>
      </c>
      <c r="AI265" s="4">
        <v>0</v>
      </c>
      <c r="AJ265" s="4">
        <v>0</v>
      </c>
      <c r="AK265" s="4">
        <v>0</v>
      </c>
      <c r="AL265" s="98">
        <v>0</v>
      </c>
      <c r="AM265" s="4">
        <v>0</v>
      </c>
    </row>
    <row r="266" spans="1:39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98">
        <v>0</v>
      </c>
      <c r="AM266" s="4">
        <v>0</v>
      </c>
    </row>
    <row r="267" spans="1:39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2</v>
      </c>
      <c r="J267" s="24">
        <v>0</v>
      </c>
      <c r="K267" s="24">
        <v>0</v>
      </c>
      <c r="L267" s="2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2</v>
      </c>
      <c r="AH267" s="4">
        <v>0</v>
      </c>
      <c r="AI267" s="4">
        <v>0</v>
      </c>
      <c r="AJ267" s="4">
        <v>0</v>
      </c>
      <c r="AK267" s="4">
        <v>0</v>
      </c>
      <c r="AL267" s="98">
        <v>0</v>
      </c>
      <c r="AM267" s="4">
        <v>0</v>
      </c>
    </row>
    <row r="268" spans="1:39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3</v>
      </c>
      <c r="I268" s="4">
        <v>1</v>
      </c>
      <c r="J268" s="24">
        <v>0</v>
      </c>
      <c r="K268" s="24">
        <v>1</v>
      </c>
      <c r="L268" s="2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0</v>
      </c>
      <c r="V268" s="4">
        <v>0</v>
      </c>
      <c r="W268" s="4">
        <v>4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1</v>
      </c>
      <c r="AH268" s="4">
        <v>0</v>
      </c>
      <c r="AI268" s="4">
        <v>0</v>
      </c>
      <c r="AJ268" s="4">
        <v>0</v>
      </c>
      <c r="AK268" s="4">
        <v>0</v>
      </c>
      <c r="AL268" s="98">
        <v>0</v>
      </c>
      <c r="AM268" s="4">
        <v>0</v>
      </c>
    </row>
    <row r="269" spans="1:39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3</v>
      </c>
      <c r="I269" s="4">
        <v>1</v>
      </c>
      <c r="J269" s="24">
        <v>0</v>
      </c>
      <c r="K269" s="24">
        <v>0</v>
      </c>
      <c r="L269" s="2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1</v>
      </c>
      <c r="AF269" s="4">
        <v>0</v>
      </c>
      <c r="AG269" s="4">
        <v>1</v>
      </c>
      <c r="AH269" s="4">
        <v>0</v>
      </c>
      <c r="AI269" s="4">
        <v>0</v>
      </c>
      <c r="AJ269" s="4">
        <v>0</v>
      </c>
      <c r="AK269" s="4">
        <v>0</v>
      </c>
      <c r="AL269" s="98">
        <v>0</v>
      </c>
      <c r="AM269" s="4">
        <v>0</v>
      </c>
    </row>
    <row r="270" spans="1:39" ht="12.75">
      <c r="A270" s="22">
        <v>269</v>
      </c>
      <c r="B270" s="112">
        <v>46.09654</v>
      </c>
      <c r="C270" s="112">
        <v>-91.22634</v>
      </c>
      <c r="D270" s="4">
        <v>4.5</v>
      </c>
      <c r="E270" s="4" t="s">
        <v>481</v>
      </c>
      <c r="F270" s="101">
        <v>1</v>
      </c>
      <c r="G270" s="22">
        <v>1</v>
      </c>
      <c r="H270" s="83">
        <v>1</v>
      </c>
      <c r="I270" s="4">
        <v>1</v>
      </c>
      <c r="J270" s="24">
        <v>0</v>
      </c>
      <c r="K270" s="24">
        <v>0</v>
      </c>
      <c r="L270" s="2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98">
        <v>0</v>
      </c>
      <c r="AM270" s="4">
        <v>0</v>
      </c>
    </row>
    <row r="271" spans="1:39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0</v>
      </c>
      <c r="H271" s="83">
        <v>0</v>
      </c>
      <c r="I271" s="4">
        <v>0</v>
      </c>
      <c r="J271" s="24">
        <v>0</v>
      </c>
      <c r="K271" s="24">
        <v>0</v>
      </c>
      <c r="L271" s="2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98">
        <v>0</v>
      </c>
      <c r="AM271" s="4">
        <v>0</v>
      </c>
    </row>
    <row r="272" spans="1:39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98">
        <v>0</v>
      </c>
      <c r="AM272" s="4">
        <v>0</v>
      </c>
    </row>
    <row r="273" spans="1:39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1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98">
        <v>0</v>
      </c>
      <c r="AM273" s="4">
        <v>0</v>
      </c>
    </row>
    <row r="274" spans="1:39" ht="12.75">
      <c r="A274" s="22">
        <v>273</v>
      </c>
      <c r="B274" s="112">
        <v>46.0968</v>
      </c>
      <c r="C274" s="112">
        <v>-91.24155</v>
      </c>
      <c r="D274" s="4">
        <v>6</v>
      </c>
      <c r="E274" s="4" t="s">
        <v>480</v>
      </c>
      <c r="F274" s="101">
        <v>1</v>
      </c>
      <c r="G274" s="22">
        <v>0</v>
      </c>
      <c r="H274" s="83">
        <v>0</v>
      </c>
      <c r="I274" s="4">
        <v>0</v>
      </c>
      <c r="J274" s="24">
        <v>0</v>
      </c>
      <c r="K274" s="24">
        <v>0</v>
      </c>
      <c r="L274" s="2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98">
        <v>0</v>
      </c>
      <c r="AM274" s="4">
        <v>0</v>
      </c>
    </row>
    <row r="275" spans="1:39" ht="12.75">
      <c r="A275" s="22">
        <v>274</v>
      </c>
      <c r="B275" s="112">
        <v>46.09681</v>
      </c>
      <c r="C275" s="112">
        <v>-91.24094</v>
      </c>
      <c r="D275" s="4">
        <v>6</v>
      </c>
      <c r="E275" s="4" t="s">
        <v>480</v>
      </c>
      <c r="F275" s="101">
        <v>1</v>
      </c>
      <c r="G275" s="22">
        <v>0</v>
      </c>
      <c r="H275" s="83">
        <v>0</v>
      </c>
      <c r="I275" s="4">
        <v>0</v>
      </c>
      <c r="J275" s="24">
        <v>0</v>
      </c>
      <c r="K275" s="24">
        <v>0</v>
      </c>
      <c r="L275" s="2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98">
        <v>0</v>
      </c>
      <c r="AM275" s="4">
        <v>0</v>
      </c>
    </row>
    <row r="276" spans="1:39" ht="12.75">
      <c r="A276" s="22">
        <v>275</v>
      </c>
      <c r="B276" s="112">
        <v>46.09681</v>
      </c>
      <c r="C276" s="112">
        <v>-91.24033</v>
      </c>
      <c r="D276" s="4">
        <v>6</v>
      </c>
      <c r="E276" s="4" t="s">
        <v>480</v>
      </c>
      <c r="F276" s="101">
        <v>1</v>
      </c>
      <c r="G276" s="22">
        <v>1</v>
      </c>
      <c r="H276" s="83">
        <v>1</v>
      </c>
      <c r="I276" s="4">
        <v>1</v>
      </c>
      <c r="J276" s="24">
        <v>0</v>
      </c>
      <c r="K276" s="24">
        <v>0</v>
      </c>
      <c r="L276" s="2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98">
        <v>0</v>
      </c>
      <c r="AM276" s="4">
        <v>0</v>
      </c>
    </row>
    <row r="277" spans="1:39" ht="12.75">
      <c r="A277" s="22">
        <v>276</v>
      </c>
      <c r="B277" s="112">
        <v>46.09682</v>
      </c>
      <c r="C277" s="112">
        <v>-91.23973</v>
      </c>
      <c r="D277" s="4">
        <v>6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98">
        <v>0</v>
      </c>
      <c r="AM277" s="4">
        <v>0</v>
      </c>
    </row>
    <row r="278" spans="1:39" ht="12.75">
      <c r="A278" s="22">
        <v>277</v>
      </c>
      <c r="B278" s="112">
        <v>46.09683</v>
      </c>
      <c r="C278" s="112">
        <v>-91.23912</v>
      </c>
      <c r="D278" s="4">
        <v>7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98">
        <v>0</v>
      </c>
      <c r="AM278" s="4">
        <v>0</v>
      </c>
    </row>
    <row r="279" spans="1:39" ht="12.75">
      <c r="A279" s="22">
        <v>278</v>
      </c>
      <c r="B279" s="112">
        <v>46.09683</v>
      </c>
      <c r="C279" s="112">
        <v>-91.23851</v>
      </c>
      <c r="D279" s="4">
        <v>5.5</v>
      </c>
      <c r="E279" s="4" t="s">
        <v>480</v>
      </c>
      <c r="F279" s="101">
        <v>1</v>
      </c>
      <c r="G279" s="22">
        <v>1</v>
      </c>
      <c r="H279" s="83">
        <v>2</v>
      </c>
      <c r="I279" s="4">
        <v>1</v>
      </c>
      <c r="J279" s="24">
        <v>0</v>
      </c>
      <c r="K279" s="24">
        <v>0</v>
      </c>
      <c r="L279" s="2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1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98">
        <v>0</v>
      </c>
      <c r="AM279" s="4">
        <v>0</v>
      </c>
    </row>
    <row r="280" spans="1:39" ht="12.75">
      <c r="A280" s="22">
        <v>279</v>
      </c>
      <c r="B280" s="112">
        <v>46.09684</v>
      </c>
      <c r="C280" s="112">
        <v>-91.2379</v>
      </c>
      <c r="D280" s="4">
        <v>6.5</v>
      </c>
      <c r="E280" s="4" t="s">
        <v>480</v>
      </c>
      <c r="F280" s="101">
        <v>1</v>
      </c>
      <c r="G280" s="22">
        <v>0</v>
      </c>
      <c r="H280" s="83">
        <v>0</v>
      </c>
      <c r="I280" s="4">
        <v>0</v>
      </c>
      <c r="J280" s="24">
        <v>0</v>
      </c>
      <c r="K280" s="24">
        <v>0</v>
      </c>
      <c r="L280" s="2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98">
        <v>0</v>
      </c>
      <c r="AM280" s="4">
        <v>0</v>
      </c>
    </row>
    <row r="281" spans="1:39" ht="12.75">
      <c r="A281" s="22">
        <v>280</v>
      </c>
      <c r="B281" s="112">
        <v>46.09685</v>
      </c>
      <c r="C281" s="112">
        <v>-91.23729</v>
      </c>
      <c r="D281" s="4">
        <v>6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98">
        <v>0</v>
      </c>
      <c r="AM281" s="4">
        <v>0</v>
      </c>
    </row>
    <row r="282" spans="1:39" ht="12.75">
      <c r="A282" s="22">
        <v>281</v>
      </c>
      <c r="B282" s="112">
        <v>46.09685</v>
      </c>
      <c r="C282" s="112">
        <v>-91.23669</v>
      </c>
      <c r="D282" s="4">
        <v>6.5</v>
      </c>
      <c r="E282" s="4" t="s">
        <v>480</v>
      </c>
      <c r="F282" s="101">
        <v>1</v>
      </c>
      <c r="G282" s="22">
        <v>0</v>
      </c>
      <c r="H282" s="83">
        <v>0</v>
      </c>
      <c r="I282" s="4">
        <v>0</v>
      </c>
      <c r="J282" s="24">
        <v>0</v>
      </c>
      <c r="K282" s="24">
        <v>0</v>
      </c>
      <c r="L282" s="2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98">
        <v>0</v>
      </c>
      <c r="AM282" s="4">
        <v>0</v>
      </c>
    </row>
    <row r="283" spans="1:39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98">
        <v>0</v>
      </c>
      <c r="AM283" s="4">
        <v>0</v>
      </c>
    </row>
    <row r="284" spans="1:39" ht="12.75">
      <c r="A284" s="22">
        <v>283</v>
      </c>
      <c r="B284" s="112">
        <v>46.09686</v>
      </c>
      <c r="C284" s="112">
        <v>-91.23547</v>
      </c>
      <c r="D284" s="4">
        <v>7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98">
        <v>0</v>
      </c>
      <c r="AM284" s="4">
        <v>0</v>
      </c>
    </row>
    <row r="285" spans="1:39" ht="12.75">
      <c r="A285" s="22">
        <v>284</v>
      </c>
      <c r="B285" s="112">
        <v>46.09687</v>
      </c>
      <c r="C285" s="112">
        <v>-91.23486</v>
      </c>
      <c r="D285" s="4">
        <v>7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98">
        <v>0</v>
      </c>
      <c r="AM285" s="4">
        <v>0</v>
      </c>
    </row>
    <row r="286" spans="1:39" ht="12.75">
      <c r="A286" s="22">
        <v>285</v>
      </c>
      <c r="B286" s="112">
        <v>46.09688</v>
      </c>
      <c r="C286" s="112">
        <v>-91.23426</v>
      </c>
      <c r="D286" s="4">
        <v>6</v>
      </c>
      <c r="E286" s="4" t="s">
        <v>480</v>
      </c>
      <c r="F286" s="101">
        <v>1</v>
      </c>
      <c r="G286" s="22">
        <v>1</v>
      </c>
      <c r="H286" s="83">
        <v>3</v>
      </c>
      <c r="I286" s="4">
        <v>2</v>
      </c>
      <c r="J286" s="24">
        <v>0</v>
      </c>
      <c r="K286" s="24">
        <v>0</v>
      </c>
      <c r="L286" s="2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2</v>
      </c>
      <c r="AF286" s="4">
        <v>0</v>
      </c>
      <c r="AG286" s="4">
        <v>1</v>
      </c>
      <c r="AH286" s="4">
        <v>0</v>
      </c>
      <c r="AI286" s="4">
        <v>0</v>
      </c>
      <c r="AJ286" s="4">
        <v>0</v>
      </c>
      <c r="AK286" s="4">
        <v>0</v>
      </c>
      <c r="AL286" s="98">
        <v>0</v>
      </c>
      <c r="AM286" s="4">
        <v>0</v>
      </c>
    </row>
    <row r="287" spans="1:39" ht="12.75">
      <c r="A287" s="22">
        <v>286</v>
      </c>
      <c r="B287" s="112">
        <v>46.09689</v>
      </c>
      <c r="C287" s="112">
        <v>-91.23365</v>
      </c>
      <c r="D287" s="4">
        <v>6.5</v>
      </c>
      <c r="E287" s="4" t="s">
        <v>480</v>
      </c>
      <c r="F287" s="101">
        <v>1</v>
      </c>
      <c r="G287" s="22">
        <v>1</v>
      </c>
      <c r="H287" s="83">
        <v>1</v>
      </c>
      <c r="I287" s="4">
        <v>3</v>
      </c>
      <c r="J287" s="24">
        <v>0</v>
      </c>
      <c r="K287" s="24">
        <v>0</v>
      </c>
      <c r="L287" s="2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4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3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98">
        <v>0</v>
      </c>
      <c r="AM287" s="4">
        <v>0</v>
      </c>
    </row>
    <row r="288" spans="1:39" ht="12.75">
      <c r="A288" s="22">
        <v>287</v>
      </c>
      <c r="B288" s="112">
        <v>46.09689</v>
      </c>
      <c r="C288" s="112">
        <v>-91.23304</v>
      </c>
      <c r="D288" s="4">
        <v>6.5</v>
      </c>
      <c r="E288" s="4" t="s">
        <v>480</v>
      </c>
      <c r="F288" s="101">
        <v>1</v>
      </c>
      <c r="G288" s="22">
        <v>1</v>
      </c>
      <c r="H288" s="83">
        <v>1</v>
      </c>
      <c r="I288" s="4">
        <v>1</v>
      </c>
      <c r="J288" s="24">
        <v>0</v>
      </c>
      <c r="K288" s="24">
        <v>0</v>
      </c>
      <c r="L288" s="2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1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98">
        <v>0</v>
      </c>
      <c r="AM288" s="4">
        <v>0</v>
      </c>
    </row>
    <row r="289" spans="1:39" ht="12.75">
      <c r="A289" s="22">
        <v>288</v>
      </c>
      <c r="B289" s="112">
        <v>46.0969</v>
      </c>
      <c r="C289" s="112">
        <v>-91.23243</v>
      </c>
      <c r="D289" s="4">
        <v>5.5</v>
      </c>
      <c r="E289" s="4" t="s">
        <v>480</v>
      </c>
      <c r="F289" s="101">
        <v>1</v>
      </c>
      <c r="G289" s="22">
        <v>1</v>
      </c>
      <c r="H289" s="83">
        <v>2</v>
      </c>
      <c r="I289" s="4">
        <v>2</v>
      </c>
      <c r="J289" s="24">
        <v>0</v>
      </c>
      <c r="K289" s="24">
        <v>0</v>
      </c>
      <c r="L289" s="2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4</v>
      </c>
      <c r="Z289" s="4">
        <v>0</v>
      </c>
      <c r="AA289" s="4">
        <v>0</v>
      </c>
      <c r="AB289" s="4">
        <v>0</v>
      </c>
      <c r="AC289" s="4">
        <v>1</v>
      </c>
      <c r="AD289" s="4">
        <v>0</v>
      </c>
      <c r="AE289" s="4">
        <v>2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98">
        <v>0</v>
      </c>
      <c r="AM289" s="4">
        <v>0</v>
      </c>
    </row>
    <row r="290" spans="1:39" ht="12.75">
      <c r="A290" s="22">
        <v>289</v>
      </c>
      <c r="B290" s="112">
        <v>46.0969</v>
      </c>
      <c r="C290" s="112">
        <v>-91.23182</v>
      </c>
      <c r="D290" s="4">
        <v>6</v>
      </c>
      <c r="E290" s="4" t="s">
        <v>480</v>
      </c>
      <c r="F290" s="101">
        <v>1</v>
      </c>
      <c r="G290" s="22">
        <v>1</v>
      </c>
      <c r="H290" s="83">
        <v>1</v>
      </c>
      <c r="I290" s="4">
        <v>1</v>
      </c>
      <c r="J290" s="24">
        <v>0</v>
      </c>
      <c r="K290" s="24">
        <v>0</v>
      </c>
      <c r="L290" s="2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98">
        <v>0</v>
      </c>
      <c r="AM290" s="4">
        <v>0</v>
      </c>
    </row>
    <row r="291" spans="1:39" ht="12.75">
      <c r="A291" s="22">
        <v>290</v>
      </c>
      <c r="B291" s="112">
        <v>46.09691</v>
      </c>
      <c r="C291" s="112">
        <v>-91.23122</v>
      </c>
      <c r="D291" s="4">
        <v>6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98">
        <v>0</v>
      </c>
      <c r="AM291" s="4">
        <v>0</v>
      </c>
    </row>
    <row r="292" spans="1:39" ht="12.75">
      <c r="A292" s="22">
        <v>291</v>
      </c>
      <c r="B292" s="112">
        <v>46.09692</v>
      </c>
      <c r="C292" s="112">
        <v>-91.23061</v>
      </c>
      <c r="D292" s="4">
        <v>6</v>
      </c>
      <c r="E292" s="4" t="s">
        <v>480</v>
      </c>
      <c r="F292" s="101">
        <v>1</v>
      </c>
      <c r="G292" s="22">
        <v>1</v>
      </c>
      <c r="H292" s="83">
        <v>1</v>
      </c>
      <c r="I292" s="4">
        <v>2</v>
      </c>
      <c r="J292" s="24">
        <v>0</v>
      </c>
      <c r="K292" s="24">
        <v>0</v>
      </c>
      <c r="L292" s="2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98">
        <v>0</v>
      </c>
      <c r="AM292" s="4">
        <v>0</v>
      </c>
    </row>
    <row r="293" spans="1:39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4</v>
      </c>
      <c r="I293" s="4">
        <v>1</v>
      </c>
      <c r="J293" s="24">
        <v>0</v>
      </c>
      <c r="K293" s="24">
        <v>0</v>
      </c>
      <c r="L293" s="2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1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1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98">
        <v>0</v>
      </c>
      <c r="AM293" s="4">
        <v>0</v>
      </c>
    </row>
    <row r="294" spans="1:39" ht="12.75">
      <c r="A294" s="22">
        <v>293</v>
      </c>
      <c r="B294" s="112">
        <v>46.09693</v>
      </c>
      <c r="C294" s="112">
        <v>-91.22939</v>
      </c>
      <c r="D294" s="4">
        <v>19</v>
      </c>
      <c r="E294" s="4" t="s">
        <v>480</v>
      </c>
      <c r="F294" s="101">
        <v>1</v>
      </c>
      <c r="G294" s="22">
        <v>1</v>
      </c>
      <c r="H294" s="83">
        <v>1</v>
      </c>
      <c r="I294" s="4">
        <v>1</v>
      </c>
      <c r="J294" s="24">
        <v>0</v>
      </c>
      <c r="K294" s="24">
        <v>0</v>
      </c>
      <c r="L294" s="2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1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98">
        <v>0</v>
      </c>
      <c r="AM294" s="4">
        <v>0</v>
      </c>
    </row>
    <row r="295" spans="1:39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1</v>
      </c>
      <c r="H295" s="83">
        <v>3</v>
      </c>
      <c r="I295" s="4">
        <v>2</v>
      </c>
      <c r="J295" s="24">
        <v>0</v>
      </c>
      <c r="K295" s="24">
        <v>0</v>
      </c>
      <c r="L295" s="2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</v>
      </c>
      <c r="V295" s="4">
        <v>0</v>
      </c>
      <c r="W295" s="4">
        <v>0</v>
      </c>
      <c r="X295" s="4">
        <v>0</v>
      </c>
      <c r="Y295" s="4">
        <v>1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2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98">
        <v>0</v>
      </c>
      <c r="AM295" s="4">
        <v>0</v>
      </c>
    </row>
    <row r="296" spans="1:39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98">
        <v>0</v>
      </c>
      <c r="AM296" s="4">
        <v>0</v>
      </c>
    </row>
    <row r="297" spans="1:39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3</v>
      </c>
      <c r="I297" s="4">
        <v>2</v>
      </c>
      <c r="J297" s="24">
        <v>0</v>
      </c>
      <c r="K297" s="24">
        <v>0</v>
      </c>
      <c r="L297" s="2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2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1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1</v>
      </c>
      <c r="AH297" s="4">
        <v>0</v>
      </c>
      <c r="AI297" s="4">
        <v>0</v>
      </c>
      <c r="AJ297" s="4">
        <v>0</v>
      </c>
      <c r="AK297" s="4">
        <v>0</v>
      </c>
      <c r="AL297" s="98">
        <v>0</v>
      </c>
      <c r="AM297" s="4">
        <v>0</v>
      </c>
    </row>
    <row r="298" spans="1:39" ht="12.75">
      <c r="A298" s="22">
        <v>297</v>
      </c>
      <c r="B298" s="112">
        <v>46.09696</v>
      </c>
      <c r="C298" s="112">
        <v>-91.22696</v>
      </c>
      <c r="D298" s="4">
        <v>5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98">
        <v>0</v>
      </c>
      <c r="AM298" s="4">
        <v>0</v>
      </c>
    </row>
    <row r="299" spans="1:39" ht="12.75">
      <c r="A299" s="22">
        <v>298</v>
      </c>
      <c r="B299" s="112">
        <v>46.09696</v>
      </c>
      <c r="C299" s="112">
        <v>-91.22635</v>
      </c>
      <c r="D299" s="4">
        <v>2.5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4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98">
        <v>0</v>
      </c>
      <c r="AM299" s="4">
        <v>0</v>
      </c>
    </row>
    <row r="300" spans="1:39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2</v>
      </c>
      <c r="I300" s="4">
        <v>2</v>
      </c>
      <c r="J300" s="24">
        <v>0</v>
      </c>
      <c r="K300" s="24">
        <v>0</v>
      </c>
      <c r="L300" s="24">
        <v>1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98">
        <v>0</v>
      </c>
      <c r="AM300" s="4">
        <v>0</v>
      </c>
    </row>
    <row r="301" spans="1:39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482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98">
        <v>0</v>
      </c>
      <c r="AM301" s="4">
        <v>0</v>
      </c>
    </row>
    <row r="302" spans="1:39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2</v>
      </c>
      <c r="I302" s="4">
        <v>2</v>
      </c>
      <c r="J302" s="24">
        <v>0</v>
      </c>
      <c r="K302" s="24">
        <v>0</v>
      </c>
      <c r="L302" s="2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1</v>
      </c>
      <c r="AD302" s="4">
        <v>0</v>
      </c>
      <c r="AE302" s="4">
        <v>2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98">
        <v>0</v>
      </c>
      <c r="AM302" s="4">
        <v>0</v>
      </c>
    </row>
    <row r="303" spans="1:39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0</v>
      </c>
      <c r="H303" s="83">
        <v>0</v>
      </c>
      <c r="I303" s="4">
        <v>0</v>
      </c>
      <c r="J303" s="24">
        <v>0</v>
      </c>
      <c r="K303" s="24">
        <v>0</v>
      </c>
      <c r="L303" s="2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98">
        <v>0</v>
      </c>
      <c r="AM303" s="4">
        <v>0</v>
      </c>
    </row>
    <row r="304" spans="1:39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0</v>
      </c>
      <c r="H304" s="83">
        <v>0</v>
      </c>
      <c r="I304" s="4">
        <v>0</v>
      </c>
      <c r="J304" s="24">
        <v>0</v>
      </c>
      <c r="K304" s="24">
        <v>0</v>
      </c>
      <c r="L304" s="2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98">
        <v>0</v>
      </c>
      <c r="AM304" s="4">
        <v>0</v>
      </c>
    </row>
    <row r="305" spans="1:39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98">
        <v>0</v>
      </c>
      <c r="AM305" s="4">
        <v>0</v>
      </c>
    </row>
    <row r="306" spans="1:39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98">
        <v>0</v>
      </c>
      <c r="AM306" s="4">
        <v>0</v>
      </c>
    </row>
    <row r="307" spans="1:39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98">
        <v>0</v>
      </c>
      <c r="AM307" s="4">
        <v>0</v>
      </c>
    </row>
    <row r="308" spans="1:39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1</v>
      </c>
      <c r="H308" s="83">
        <v>1</v>
      </c>
      <c r="I308" s="4">
        <v>1</v>
      </c>
      <c r="J308" s="24">
        <v>0</v>
      </c>
      <c r="K308" s="24">
        <v>0</v>
      </c>
      <c r="L308" s="2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1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98">
        <v>0</v>
      </c>
      <c r="AM308" s="4">
        <v>0</v>
      </c>
    </row>
    <row r="309" spans="1:39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1</v>
      </c>
      <c r="J309" s="24">
        <v>0</v>
      </c>
      <c r="K309" s="24">
        <v>0</v>
      </c>
      <c r="L309" s="2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98">
        <v>0</v>
      </c>
      <c r="AM309" s="4">
        <v>0</v>
      </c>
    </row>
    <row r="310" spans="1:39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0</v>
      </c>
      <c r="H310" s="83">
        <v>0</v>
      </c>
      <c r="I310" s="4">
        <v>0</v>
      </c>
      <c r="J310" s="24">
        <v>0</v>
      </c>
      <c r="K310" s="24">
        <v>0</v>
      </c>
      <c r="L310" s="2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98">
        <v>0</v>
      </c>
      <c r="AM310" s="4">
        <v>0</v>
      </c>
    </row>
    <row r="311" spans="1:39" ht="12.75">
      <c r="A311" s="22">
        <v>310</v>
      </c>
      <c r="B311" s="112">
        <v>46.09728</v>
      </c>
      <c r="C311" s="112">
        <v>-91.2367</v>
      </c>
      <c r="D311" s="4">
        <v>6.5</v>
      </c>
      <c r="E311" s="4" t="s">
        <v>480</v>
      </c>
      <c r="F311" s="101">
        <v>1</v>
      </c>
      <c r="G311" s="22">
        <v>0</v>
      </c>
      <c r="H311" s="83">
        <v>0</v>
      </c>
      <c r="I311" s="4">
        <v>0</v>
      </c>
      <c r="J311" s="24">
        <v>0</v>
      </c>
      <c r="K311" s="24">
        <v>0</v>
      </c>
      <c r="L311" s="2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98">
        <v>0</v>
      </c>
      <c r="AM311" s="4">
        <v>0</v>
      </c>
    </row>
    <row r="312" spans="1:39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98">
        <v>0</v>
      </c>
      <c r="AM312" s="4">
        <v>0</v>
      </c>
    </row>
    <row r="313" spans="1:39" ht="12.75">
      <c r="A313" s="22">
        <v>312</v>
      </c>
      <c r="B313" s="112">
        <v>46.09729</v>
      </c>
      <c r="C313" s="112">
        <v>-91.23548</v>
      </c>
      <c r="D313" s="4">
        <v>7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98">
        <v>0</v>
      </c>
      <c r="AM313" s="4">
        <v>0</v>
      </c>
    </row>
    <row r="314" spans="1:39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98">
        <v>0</v>
      </c>
      <c r="AM314" s="4">
        <v>0</v>
      </c>
    </row>
    <row r="315" spans="1:39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4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98">
        <v>0</v>
      </c>
      <c r="AM315" s="4">
        <v>0</v>
      </c>
    </row>
    <row r="316" spans="1:39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4</v>
      </c>
      <c r="I316" s="4">
        <v>2</v>
      </c>
      <c r="J316" s="24">
        <v>0</v>
      </c>
      <c r="K316" s="24">
        <v>0</v>
      </c>
      <c r="L316" s="2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</v>
      </c>
      <c r="V316" s="4">
        <v>0</v>
      </c>
      <c r="W316" s="4">
        <v>0</v>
      </c>
      <c r="X316" s="4">
        <v>0</v>
      </c>
      <c r="Y316" s="4">
        <v>2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1</v>
      </c>
      <c r="AF316" s="4">
        <v>0</v>
      </c>
      <c r="AG316" s="4">
        <v>1</v>
      </c>
      <c r="AH316" s="4">
        <v>0</v>
      </c>
      <c r="AI316" s="4">
        <v>0</v>
      </c>
      <c r="AJ316" s="4">
        <v>0</v>
      </c>
      <c r="AK316" s="4">
        <v>0</v>
      </c>
      <c r="AL316" s="98">
        <v>0</v>
      </c>
      <c r="AM316" s="4">
        <v>0</v>
      </c>
    </row>
    <row r="317" spans="1:39" ht="12.75">
      <c r="A317" s="22">
        <v>316</v>
      </c>
      <c r="B317" s="112">
        <v>46.09731</v>
      </c>
      <c r="C317" s="112">
        <v>-91.23305</v>
      </c>
      <c r="D317" s="4">
        <v>6.5</v>
      </c>
      <c r="E317" s="4" t="s">
        <v>480</v>
      </c>
      <c r="F317" s="101">
        <v>1</v>
      </c>
      <c r="G317" s="22">
        <v>1</v>
      </c>
      <c r="H317" s="83">
        <v>1</v>
      </c>
      <c r="I317" s="4">
        <v>1</v>
      </c>
      <c r="J317" s="24">
        <v>0</v>
      </c>
      <c r="K317" s="24">
        <v>0</v>
      </c>
      <c r="L317" s="2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1</v>
      </c>
      <c r="Z317" s="4">
        <v>0</v>
      </c>
      <c r="AA317" s="4">
        <v>0</v>
      </c>
      <c r="AB317" s="4">
        <v>0</v>
      </c>
      <c r="AC317" s="4">
        <v>4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98">
        <v>0</v>
      </c>
      <c r="AM317" s="4">
        <v>0</v>
      </c>
    </row>
    <row r="318" spans="1:39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2</v>
      </c>
      <c r="J318" s="24">
        <v>0</v>
      </c>
      <c r="K318" s="24">
        <v>0</v>
      </c>
      <c r="L318" s="24">
        <v>2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1</v>
      </c>
      <c r="U318" s="4">
        <v>0</v>
      </c>
      <c r="V318" s="4">
        <v>0</v>
      </c>
      <c r="W318" s="4">
        <v>0</v>
      </c>
      <c r="X318" s="4">
        <v>0</v>
      </c>
      <c r="Y318" s="4">
        <v>1</v>
      </c>
      <c r="Z318" s="4">
        <v>0</v>
      </c>
      <c r="AA318" s="4">
        <v>0</v>
      </c>
      <c r="AB318" s="4">
        <v>0</v>
      </c>
      <c r="AC318" s="4">
        <v>4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98">
        <v>0</v>
      </c>
      <c r="AM318" s="4">
        <v>0</v>
      </c>
    </row>
    <row r="319" spans="1:39" ht="12.75">
      <c r="A319" s="22">
        <v>318</v>
      </c>
      <c r="B319" s="112">
        <v>46.09733</v>
      </c>
      <c r="C319" s="112">
        <v>-91.23183</v>
      </c>
      <c r="D319" s="4">
        <v>7</v>
      </c>
      <c r="E319" s="4" t="s">
        <v>480</v>
      </c>
      <c r="F319" s="101">
        <v>1</v>
      </c>
      <c r="G319" s="22">
        <v>1</v>
      </c>
      <c r="H319" s="83">
        <v>2</v>
      </c>
      <c r="I319" s="4">
        <v>2</v>
      </c>
      <c r="J319" s="24">
        <v>0</v>
      </c>
      <c r="K319" s="24">
        <v>0</v>
      </c>
      <c r="L319" s="2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2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1</v>
      </c>
      <c r="AL319" s="98">
        <v>0</v>
      </c>
      <c r="AM319" s="4">
        <v>0</v>
      </c>
    </row>
    <row r="320" spans="1:39" ht="12.75">
      <c r="A320" s="22">
        <v>319</v>
      </c>
      <c r="B320" s="112">
        <v>46.09733</v>
      </c>
      <c r="C320" s="112">
        <v>-91.23122</v>
      </c>
      <c r="D320" s="4">
        <v>6.5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1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98">
        <v>0</v>
      </c>
      <c r="AM320" s="4">
        <v>0</v>
      </c>
    </row>
    <row r="321" spans="1:39" ht="12.75">
      <c r="A321" s="22">
        <v>320</v>
      </c>
      <c r="B321" s="112">
        <v>46.09734</v>
      </c>
      <c r="C321" s="112">
        <v>-91.23062</v>
      </c>
      <c r="D321" s="4">
        <v>7</v>
      </c>
      <c r="E321" s="4" t="s">
        <v>480</v>
      </c>
      <c r="F321" s="101">
        <v>1</v>
      </c>
      <c r="G321" s="22">
        <v>1</v>
      </c>
      <c r="H321" s="83">
        <v>2</v>
      </c>
      <c r="I321" s="4">
        <v>2</v>
      </c>
      <c r="J321" s="24">
        <v>0</v>
      </c>
      <c r="K321" s="24">
        <v>0</v>
      </c>
      <c r="L321" s="2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1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2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98">
        <v>0</v>
      </c>
      <c r="AM321" s="4">
        <v>0</v>
      </c>
    </row>
    <row r="322" spans="1:39" ht="12.75">
      <c r="A322" s="22">
        <v>321</v>
      </c>
      <c r="B322" s="112">
        <v>46.09735</v>
      </c>
      <c r="C322" s="112">
        <v>-91.23001</v>
      </c>
      <c r="D322" s="4">
        <v>26</v>
      </c>
      <c r="E322" s="4" t="s">
        <v>480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98">
        <v>0</v>
      </c>
      <c r="AM322" s="4">
        <v>0</v>
      </c>
    </row>
    <row r="323" spans="1:39" ht="12.75">
      <c r="A323" s="22">
        <v>322</v>
      </c>
      <c r="B323" s="112">
        <v>46.09735</v>
      </c>
      <c r="C323" s="112">
        <v>-91.2294</v>
      </c>
      <c r="D323" s="4">
        <v>12.5</v>
      </c>
      <c r="E323" s="4" t="s">
        <v>480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98">
        <v>0</v>
      </c>
      <c r="AM323" s="4">
        <v>0</v>
      </c>
    </row>
    <row r="324" spans="1:39" ht="12.75">
      <c r="A324" s="22">
        <v>323</v>
      </c>
      <c r="B324" s="112">
        <v>46.09736</v>
      </c>
      <c r="C324" s="112">
        <v>-91.22879</v>
      </c>
      <c r="D324" s="4">
        <v>2</v>
      </c>
      <c r="E324" s="4" t="s">
        <v>482</v>
      </c>
      <c r="F324" s="101">
        <v>1</v>
      </c>
      <c r="G324" s="22">
        <v>1</v>
      </c>
      <c r="H324" s="83">
        <v>1</v>
      </c>
      <c r="I324" s="4">
        <v>1</v>
      </c>
      <c r="J324" s="24">
        <v>0</v>
      </c>
      <c r="K324" s="24">
        <v>0</v>
      </c>
      <c r="L324" s="24">
        <v>1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98">
        <v>0</v>
      </c>
      <c r="AM324" s="4">
        <v>0</v>
      </c>
    </row>
    <row r="325" spans="1:39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1</v>
      </c>
      <c r="H325" s="83">
        <v>2</v>
      </c>
      <c r="I325" s="4">
        <v>1</v>
      </c>
      <c r="J325" s="24">
        <v>0</v>
      </c>
      <c r="K325" s="24">
        <v>0</v>
      </c>
      <c r="L325" s="2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4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</v>
      </c>
      <c r="AD325" s="4">
        <v>0</v>
      </c>
      <c r="AE325" s="4">
        <v>0</v>
      </c>
      <c r="AF325" s="4">
        <v>0</v>
      </c>
      <c r="AG325" s="4">
        <v>1</v>
      </c>
      <c r="AH325" s="4">
        <v>0</v>
      </c>
      <c r="AI325" s="4">
        <v>0</v>
      </c>
      <c r="AJ325" s="4">
        <v>0</v>
      </c>
      <c r="AK325" s="4">
        <v>0</v>
      </c>
      <c r="AL325" s="98">
        <v>0</v>
      </c>
      <c r="AM325" s="4">
        <v>0</v>
      </c>
    </row>
    <row r="326" spans="1:39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481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98">
        <v>0</v>
      </c>
      <c r="AM326" s="4">
        <v>0</v>
      </c>
    </row>
    <row r="327" spans="1:39" ht="12.75">
      <c r="A327" s="22">
        <v>326</v>
      </c>
      <c r="B327" s="112">
        <v>46.09763</v>
      </c>
      <c r="C327" s="112">
        <v>-91.24279</v>
      </c>
      <c r="D327" s="4">
        <v>4.5</v>
      </c>
      <c r="E327" s="4" t="s">
        <v>480</v>
      </c>
      <c r="F327" s="101">
        <v>1</v>
      </c>
      <c r="G327" s="22">
        <v>1</v>
      </c>
      <c r="H327" s="83">
        <v>2</v>
      </c>
      <c r="I327" s="4">
        <v>1</v>
      </c>
      <c r="J327" s="24">
        <v>0</v>
      </c>
      <c r="K327" s="24">
        <v>0</v>
      </c>
      <c r="L327" s="24">
        <v>1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4</v>
      </c>
      <c r="X327" s="4">
        <v>0</v>
      </c>
      <c r="Y327" s="4">
        <v>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98">
        <v>0</v>
      </c>
      <c r="AM327" s="4">
        <v>0</v>
      </c>
    </row>
    <row r="328" spans="1:39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98">
        <v>0</v>
      </c>
      <c r="AM328" s="4">
        <v>0</v>
      </c>
    </row>
    <row r="329" spans="1:39" ht="12.75">
      <c r="A329" s="22">
        <v>328</v>
      </c>
      <c r="B329" s="112">
        <v>46.09765</v>
      </c>
      <c r="C329" s="112">
        <v>-91.24157</v>
      </c>
      <c r="D329" s="4">
        <v>5.5</v>
      </c>
      <c r="E329" s="4" t="s">
        <v>480</v>
      </c>
      <c r="F329" s="101">
        <v>1</v>
      </c>
      <c r="G329" s="22">
        <v>1</v>
      </c>
      <c r="H329" s="83">
        <v>1</v>
      </c>
      <c r="I329" s="4">
        <v>1</v>
      </c>
      <c r="J329" s="24">
        <v>0</v>
      </c>
      <c r="K329" s="24">
        <v>0</v>
      </c>
      <c r="L329" s="2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98">
        <v>0</v>
      </c>
      <c r="AM329" s="4">
        <v>0</v>
      </c>
    </row>
    <row r="330" spans="1:39" ht="12.75">
      <c r="A330" s="22">
        <v>329</v>
      </c>
      <c r="B330" s="112">
        <v>46.09765</v>
      </c>
      <c r="C330" s="112">
        <v>-91.24096</v>
      </c>
      <c r="D330" s="4">
        <v>5.5</v>
      </c>
      <c r="E330" s="4" t="s">
        <v>480</v>
      </c>
      <c r="F330" s="101">
        <v>1</v>
      </c>
      <c r="G330" s="22">
        <v>0</v>
      </c>
      <c r="H330" s="83">
        <v>0</v>
      </c>
      <c r="I330" s="4">
        <v>0</v>
      </c>
      <c r="J330" s="24">
        <v>0</v>
      </c>
      <c r="K330" s="24">
        <v>0</v>
      </c>
      <c r="L330" s="2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4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98">
        <v>0</v>
      </c>
      <c r="AM330" s="4">
        <v>0</v>
      </c>
    </row>
    <row r="331" spans="1:39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0</v>
      </c>
      <c r="H331" s="83">
        <v>0</v>
      </c>
      <c r="I331" s="4">
        <v>0</v>
      </c>
      <c r="J331" s="24">
        <v>0</v>
      </c>
      <c r="K331" s="24">
        <v>0</v>
      </c>
      <c r="L331" s="2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98">
        <v>0</v>
      </c>
      <c r="AM331" s="4">
        <v>0</v>
      </c>
    </row>
    <row r="332" spans="1:39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0</v>
      </c>
      <c r="H332" s="83">
        <v>0</v>
      </c>
      <c r="I332" s="4">
        <v>0</v>
      </c>
      <c r="J332" s="24">
        <v>0</v>
      </c>
      <c r="K332" s="24">
        <v>0</v>
      </c>
      <c r="L332" s="2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98">
        <v>0</v>
      </c>
      <c r="AM332" s="4">
        <v>0</v>
      </c>
    </row>
    <row r="333" spans="1:39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0</v>
      </c>
      <c r="H333" s="83">
        <v>0</v>
      </c>
      <c r="I333" s="4">
        <v>0</v>
      </c>
      <c r="J333" s="24">
        <v>0</v>
      </c>
      <c r="K333" s="24">
        <v>0</v>
      </c>
      <c r="L333" s="2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98">
        <v>0</v>
      </c>
      <c r="AM333" s="4">
        <v>0</v>
      </c>
    </row>
    <row r="334" spans="1:39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98">
        <v>0</v>
      </c>
      <c r="AM334" s="4">
        <v>0</v>
      </c>
    </row>
    <row r="335" spans="1:39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1</v>
      </c>
      <c r="I335" s="4">
        <v>1</v>
      </c>
      <c r="J335" s="24">
        <v>0</v>
      </c>
      <c r="K335" s="24">
        <v>0</v>
      </c>
      <c r="L335" s="2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1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98">
        <v>0</v>
      </c>
      <c r="AM335" s="4">
        <v>0</v>
      </c>
    </row>
    <row r="336" spans="1:39" ht="12.75">
      <c r="A336" s="22">
        <v>335</v>
      </c>
      <c r="B336" s="112">
        <v>46.09769</v>
      </c>
      <c r="C336" s="112">
        <v>-91.23731</v>
      </c>
      <c r="D336" s="4">
        <v>5.5</v>
      </c>
      <c r="E336" s="4" t="s">
        <v>480</v>
      </c>
      <c r="F336" s="101">
        <v>1</v>
      </c>
      <c r="G336" s="22">
        <v>1</v>
      </c>
      <c r="H336" s="83">
        <v>3</v>
      </c>
      <c r="I336" s="4">
        <v>1</v>
      </c>
      <c r="J336" s="24">
        <v>0</v>
      </c>
      <c r="K336" s="24">
        <v>0</v>
      </c>
      <c r="L336" s="24">
        <v>1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1</v>
      </c>
      <c r="U336" s="4">
        <v>0</v>
      </c>
      <c r="V336" s="4">
        <v>0</v>
      </c>
      <c r="W336" s="4">
        <v>0</v>
      </c>
      <c r="X336" s="4">
        <v>0</v>
      </c>
      <c r="Y336" s="4">
        <v>4</v>
      </c>
      <c r="Z336" s="4">
        <v>1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98">
        <v>0</v>
      </c>
      <c r="AM336" s="4">
        <v>0</v>
      </c>
    </row>
    <row r="337" spans="1:39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0</v>
      </c>
      <c r="H337" s="83">
        <v>0</v>
      </c>
      <c r="I337" s="4">
        <v>0</v>
      </c>
      <c r="J337" s="24">
        <v>0</v>
      </c>
      <c r="K337" s="24">
        <v>0</v>
      </c>
      <c r="L337" s="2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4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98">
        <v>0</v>
      </c>
      <c r="AM337" s="4">
        <v>0</v>
      </c>
    </row>
    <row r="338" spans="1:39" ht="12.75">
      <c r="A338" s="22">
        <v>337</v>
      </c>
      <c r="B338" s="112">
        <v>46.09771</v>
      </c>
      <c r="C338" s="112">
        <v>-91.2361</v>
      </c>
      <c r="D338" s="4">
        <v>6</v>
      </c>
      <c r="E338" s="4" t="s">
        <v>480</v>
      </c>
      <c r="F338" s="101">
        <v>1</v>
      </c>
      <c r="G338" s="22">
        <v>1</v>
      </c>
      <c r="H338" s="83">
        <v>5</v>
      </c>
      <c r="I338" s="4">
        <v>2</v>
      </c>
      <c r="J338" s="24">
        <v>0</v>
      </c>
      <c r="K338" s="24">
        <v>0</v>
      </c>
      <c r="L338" s="2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1</v>
      </c>
      <c r="U338" s="4">
        <v>2</v>
      </c>
      <c r="V338" s="4">
        <v>0</v>
      </c>
      <c r="W338" s="4">
        <v>0</v>
      </c>
      <c r="X338" s="4">
        <v>0</v>
      </c>
      <c r="Y338" s="4">
        <v>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1</v>
      </c>
      <c r="AF338" s="4">
        <v>0</v>
      </c>
      <c r="AG338" s="4">
        <v>1</v>
      </c>
      <c r="AH338" s="4">
        <v>0</v>
      </c>
      <c r="AI338" s="4">
        <v>0</v>
      </c>
      <c r="AJ338" s="4">
        <v>0</v>
      </c>
      <c r="AK338" s="4">
        <v>0</v>
      </c>
      <c r="AL338" s="98">
        <v>0</v>
      </c>
      <c r="AM338" s="4">
        <v>0</v>
      </c>
    </row>
    <row r="339" spans="1:39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98">
        <v>0</v>
      </c>
      <c r="AM339" s="4">
        <v>0</v>
      </c>
    </row>
    <row r="340" spans="1:39" ht="12.75">
      <c r="A340" s="22">
        <v>339</v>
      </c>
      <c r="B340" s="112">
        <v>46.09772</v>
      </c>
      <c r="C340" s="112">
        <v>-91.23488</v>
      </c>
      <c r="D340" s="4">
        <v>6.5</v>
      </c>
      <c r="E340" s="4" t="s">
        <v>480</v>
      </c>
      <c r="F340" s="101">
        <v>1</v>
      </c>
      <c r="G340" s="22">
        <v>1</v>
      </c>
      <c r="H340" s="83">
        <v>5</v>
      </c>
      <c r="I340" s="4">
        <v>2</v>
      </c>
      <c r="J340" s="24">
        <v>0</v>
      </c>
      <c r="K340" s="24">
        <v>0</v>
      </c>
      <c r="L340" s="2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4</v>
      </c>
      <c r="Z340" s="4">
        <v>0</v>
      </c>
      <c r="AA340" s="4">
        <v>0</v>
      </c>
      <c r="AB340" s="4">
        <v>0</v>
      </c>
      <c r="AC340" s="4">
        <v>1</v>
      </c>
      <c r="AD340" s="4">
        <v>0</v>
      </c>
      <c r="AE340" s="4">
        <v>2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1</v>
      </c>
      <c r="AL340" s="98">
        <v>0</v>
      </c>
      <c r="AM340" s="4">
        <v>0</v>
      </c>
    </row>
    <row r="341" spans="1:39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4</v>
      </c>
      <c r="Z341" s="4">
        <v>0</v>
      </c>
      <c r="AA341" s="4">
        <v>0</v>
      </c>
      <c r="AB341" s="4">
        <v>0</v>
      </c>
      <c r="AC341" s="4">
        <v>4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98">
        <v>0</v>
      </c>
      <c r="AM341" s="4">
        <v>0</v>
      </c>
    </row>
    <row r="342" spans="1:39" ht="12.75">
      <c r="A342" s="22">
        <v>341</v>
      </c>
      <c r="B342" s="112">
        <v>46.09773</v>
      </c>
      <c r="C342" s="112">
        <v>-91.23367</v>
      </c>
      <c r="D342" s="4">
        <v>6.5</v>
      </c>
      <c r="E342" s="4" t="s">
        <v>480</v>
      </c>
      <c r="F342" s="101">
        <v>1</v>
      </c>
      <c r="G342" s="22">
        <v>1</v>
      </c>
      <c r="H342" s="83">
        <v>1</v>
      </c>
      <c r="I342" s="4">
        <v>1</v>
      </c>
      <c r="J342" s="24">
        <v>0</v>
      </c>
      <c r="K342" s="24">
        <v>0</v>
      </c>
      <c r="L342" s="2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98">
        <v>0</v>
      </c>
      <c r="AM342" s="4">
        <v>0</v>
      </c>
    </row>
    <row r="343" spans="1:39" ht="12.75">
      <c r="A343" s="22">
        <v>342</v>
      </c>
      <c r="B343" s="112">
        <v>46.09774</v>
      </c>
      <c r="C343" s="112">
        <v>-91.23306</v>
      </c>
      <c r="D343" s="4">
        <v>6.5</v>
      </c>
      <c r="E343" s="4" t="s">
        <v>480</v>
      </c>
      <c r="F343" s="101">
        <v>1</v>
      </c>
      <c r="G343" s="22">
        <v>1</v>
      </c>
      <c r="H343" s="83">
        <v>1</v>
      </c>
      <c r="I343" s="4">
        <v>1</v>
      </c>
      <c r="J343" s="24">
        <v>0</v>
      </c>
      <c r="K343" s="24">
        <v>0</v>
      </c>
      <c r="L343" s="2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1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98">
        <v>0</v>
      </c>
      <c r="AM343" s="4">
        <v>0</v>
      </c>
    </row>
    <row r="344" spans="1:39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1</v>
      </c>
      <c r="I344" s="4">
        <v>2</v>
      </c>
      <c r="J344" s="24">
        <v>0</v>
      </c>
      <c r="K344" s="24">
        <v>0</v>
      </c>
      <c r="L344" s="2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2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98">
        <v>0</v>
      </c>
      <c r="AM344" s="4">
        <v>0</v>
      </c>
    </row>
    <row r="345" spans="1:39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4</v>
      </c>
      <c r="I345" s="4">
        <v>2</v>
      </c>
      <c r="J345" s="24">
        <v>1</v>
      </c>
      <c r="K345" s="24">
        <v>0</v>
      </c>
      <c r="L345" s="2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4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1</v>
      </c>
      <c r="AL345" s="98">
        <v>0</v>
      </c>
      <c r="AM345" s="4">
        <v>0</v>
      </c>
    </row>
    <row r="346" spans="1:39" ht="12.75">
      <c r="A346" s="22">
        <v>345</v>
      </c>
      <c r="B346" s="112">
        <v>46.09776</v>
      </c>
      <c r="C346" s="112">
        <v>-91.23124</v>
      </c>
      <c r="D346" s="4">
        <v>11</v>
      </c>
      <c r="E346" s="4" t="s">
        <v>480</v>
      </c>
      <c r="F346" s="101">
        <v>1</v>
      </c>
      <c r="G346" s="22">
        <v>1</v>
      </c>
      <c r="H346" s="83">
        <v>3</v>
      </c>
      <c r="I346" s="4">
        <v>2</v>
      </c>
      <c r="J346" s="24">
        <v>0</v>
      </c>
      <c r="K346" s="24">
        <v>0</v>
      </c>
      <c r="L346" s="2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1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2</v>
      </c>
      <c r="AD346" s="4">
        <v>0</v>
      </c>
      <c r="AE346" s="4">
        <v>2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98">
        <v>0</v>
      </c>
      <c r="AM346" s="4">
        <v>0</v>
      </c>
    </row>
    <row r="347" spans="1:39" ht="12.75">
      <c r="A347" s="22">
        <v>346</v>
      </c>
      <c r="B347" s="112">
        <v>46.09776</v>
      </c>
      <c r="C347" s="112">
        <v>-91.23063</v>
      </c>
      <c r="D347" s="4">
        <v>26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98">
        <v>0</v>
      </c>
      <c r="AM347" s="4">
        <v>0</v>
      </c>
    </row>
    <row r="348" spans="1:39" ht="12.75">
      <c r="A348" s="22">
        <v>347</v>
      </c>
      <c r="B348" s="112">
        <v>46.09777</v>
      </c>
      <c r="C348" s="112">
        <v>-91.23002</v>
      </c>
      <c r="D348" s="4">
        <v>25.5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98">
        <v>0</v>
      </c>
      <c r="AM348" s="4">
        <v>0</v>
      </c>
    </row>
    <row r="349" spans="1:39" ht="12.75">
      <c r="A349" s="22">
        <v>348</v>
      </c>
      <c r="B349" s="112">
        <v>46.09779</v>
      </c>
      <c r="C349" s="112">
        <v>-91.22819</v>
      </c>
      <c r="D349" s="101">
        <v>-99</v>
      </c>
      <c r="E349" s="101">
        <v>-99</v>
      </c>
      <c r="F349" s="101">
        <v>-99</v>
      </c>
      <c r="G349" s="101">
        <v>-99</v>
      </c>
      <c r="H349" s="101">
        <v>-99</v>
      </c>
      <c r="I349" s="101">
        <v>-99</v>
      </c>
      <c r="J349" s="101">
        <v>-99</v>
      </c>
      <c r="K349" s="101">
        <v>-99</v>
      </c>
      <c r="L349" s="101">
        <v>-99</v>
      </c>
      <c r="M349" s="101">
        <v>-99</v>
      </c>
      <c r="N349" s="101">
        <v>-99</v>
      </c>
      <c r="O349" s="101">
        <v>-99</v>
      </c>
      <c r="P349" s="101">
        <v>-99</v>
      </c>
      <c r="Q349" s="101">
        <v>-99</v>
      </c>
      <c r="R349" s="101">
        <v>-99</v>
      </c>
      <c r="S349" s="101">
        <v>-99</v>
      </c>
      <c r="T349" s="101">
        <v>-99</v>
      </c>
      <c r="U349" s="101">
        <v>-99</v>
      </c>
      <c r="V349" s="101">
        <v>-99</v>
      </c>
      <c r="W349" s="101">
        <v>-99</v>
      </c>
      <c r="X349" s="101">
        <v>-99</v>
      </c>
      <c r="Y349" s="101">
        <v>-99</v>
      </c>
      <c r="Z349" s="101">
        <v>-99</v>
      </c>
      <c r="AA349" s="101">
        <v>-99</v>
      </c>
      <c r="AB349" s="101">
        <v>-99</v>
      </c>
      <c r="AC349" s="101">
        <v>-99</v>
      </c>
      <c r="AD349" s="101">
        <v>-99</v>
      </c>
      <c r="AE349" s="101">
        <v>-99</v>
      </c>
      <c r="AF349" s="101">
        <v>-99</v>
      </c>
      <c r="AG349" s="101">
        <v>-99</v>
      </c>
      <c r="AH349" s="101">
        <v>-99</v>
      </c>
      <c r="AI349" s="101">
        <v>-99</v>
      </c>
      <c r="AJ349" s="101">
        <v>-99</v>
      </c>
      <c r="AK349" s="101">
        <v>-99</v>
      </c>
      <c r="AL349" s="101">
        <v>-99</v>
      </c>
      <c r="AM349" s="101">
        <v>-99</v>
      </c>
    </row>
    <row r="350" spans="1:39" ht="12.75">
      <c r="A350" s="22">
        <v>349</v>
      </c>
      <c r="B350" s="112">
        <v>46.09805</v>
      </c>
      <c r="C350" s="112">
        <v>-91.24279</v>
      </c>
      <c r="D350" s="4">
        <v>3.5</v>
      </c>
      <c r="E350" s="4" t="s">
        <v>480</v>
      </c>
      <c r="F350" s="101">
        <v>1</v>
      </c>
      <c r="G350" s="22">
        <v>1</v>
      </c>
      <c r="H350" s="83">
        <v>4</v>
      </c>
      <c r="I350" s="4">
        <v>1</v>
      </c>
      <c r="J350" s="24">
        <v>0</v>
      </c>
      <c r="K350" s="24">
        <v>0</v>
      </c>
      <c r="L350" s="2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1</v>
      </c>
      <c r="U350" s="4">
        <v>0</v>
      </c>
      <c r="V350" s="4">
        <v>0</v>
      </c>
      <c r="W350" s="4">
        <v>1</v>
      </c>
      <c r="X350" s="4">
        <v>0</v>
      </c>
      <c r="Y350" s="4">
        <v>0</v>
      </c>
      <c r="Z350" s="4">
        <v>0</v>
      </c>
      <c r="AA350" s="4">
        <v>0</v>
      </c>
      <c r="AB350" s="4">
        <v>1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4</v>
      </c>
      <c r="AJ350" s="4">
        <v>0</v>
      </c>
      <c r="AK350" s="4">
        <v>1</v>
      </c>
      <c r="AL350" s="98">
        <v>0</v>
      </c>
      <c r="AM350" s="4">
        <v>0</v>
      </c>
    </row>
    <row r="351" spans="1:39" ht="12.75">
      <c r="A351" s="22">
        <v>350</v>
      </c>
      <c r="B351" s="112">
        <v>46.09806</v>
      </c>
      <c r="C351" s="112">
        <v>-91.24219</v>
      </c>
      <c r="D351" s="4">
        <v>4.5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98">
        <v>0</v>
      </c>
      <c r="AM351" s="4">
        <v>0</v>
      </c>
    </row>
    <row r="352" spans="1:39" ht="12.75">
      <c r="A352" s="22">
        <v>351</v>
      </c>
      <c r="B352" s="112">
        <v>46.09807</v>
      </c>
      <c r="C352" s="112">
        <v>-91.24158</v>
      </c>
      <c r="D352" s="4">
        <v>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98">
        <v>0</v>
      </c>
      <c r="AM352" s="4">
        <v>0</v>
      </c>
    </row>
    <row r="353" spans="1:39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0</v>
      </c>
      <c r="H353" s="83">
        <v>0</v>
      </c>
      <c r="I353" s="4">
        <v>0</v>
      </c>
      <c r="J353" s="24">
        <v>0</v>
      </c>
      <c r="K353" s="24">
        <v>0</v>
      </c>
      <c r="L353" s="2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98">
        <v>0</v>
      </c>
      <c r="AM353" s="4">
        <v>0</v>
      </c>
    </row>
    <row r="354" spans="1:39" ht="12.75">
      <c r="A354" s="22">
        <v>353</v>
      </c>
      <c r="B354" s="112">
        <v>46.09808</v>
      </c>
      <c r="C354" s="112">
        <v>-91.24036</v>
      </c>
      <c r="D354" s="4">
        <v>5.5</v>
      </c>
      <c r="E354" s="4" t="s">
        <v>480</v>
      </c>
      <c r="F354" s="101">
        <v>1</v>
      </c>
      <c r="G354" s="22">
        <v>0</v>
      </c>
      <c r="H354" s="83">
        <v>0</v>
      </c>
      <c r="I354" s="4">
        <v>0</v>
      </c>
      <c r="J354" s="24">
        <v>0</v>
      </c>
      <c r="K354" s="24">
        <v>0</v>
      </c>
      <c r="L354" s="2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4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98">
        <v>0</v>
      </c>
      <c r="AM354" s="4">
        <v>0</v>
      </c>
    </row>
    <row r="355" spans="1:39" ht="12.75">
      <c r="A355" s="22">
        <v>354</v>
      </c>
      <c r="B355" s="112">
        <v>46.09809</v>
      </c>
      <c r="C355" s="112">
        <v>-91.23975</v>
      </c>
      <c r="D355" s="4">
        <v>5</v>
      </c>
      <c r="E355" s="4" t="s">
        <v>480</v>
      </c>
      <c r="F355" s="101">
        <v>1</v>
      </c>
      <c r="G355" s="22">
        <v>1</v>
      </c>
      <c r="H355" s="83">
        <v>2</v>
      </c>
      <c r="I355" s="4">
        <v>1</v>
      </c>
      <c r="J355" s="24">
        <v>0</v>
      </c>
      <c r="K355" s="24">
        <v>0</v>
      </c>
      <c r="L355" s="2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1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98">
        <v>0</v>
      </c>
      <c r="AM355" s="4">
        <v>0</v>
      </c>
    </row>
    <row r="356" spans="1:39" ht="12.75">
      <c r="A356" s="22">
        <v>355</v>
      </c>
      <c r="B356" s="112">
        <v>46.0981</v>
      </c>
      <c r="C356" s="112">
        <v>-91.23915</v>
      </c>
      <c r="D356" s="4">
        <v>6</v>
      </c>
      <c r="E356" s="4" t="s">
        <v>480</v>
      </c>
      <c r="F356" s="101">
        <v>1</v>
      </c>
      <c r="G356" s="22">
        <v>0</v>
      </c>
      <c r="H356" s="83">
        <v>0</v>
      </c>
      <c r="I356" s="4">
        <v>0</v>
      </c>
      <c r="J356" s="24">
        <v>0</v>
      </c>
      <c r="K356" s="24">
        <v>0</v>
      </c>
      <c r="L356" s="2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4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98">
        <v>0</v>
      </c>
      <c r="AM356" s="4">
        <v>0</v>
      </c>
    </row>
    <row r="357" spans="1:39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0</v>
      </c>
      <c r="H357" s="83">
        <v>0</v>
      </c>
      <c r="I357" s="4">
        <v>0</v>
      </c>
      <c r="J357" s="24">
        <v>0</v>
      </c>
      <c r="K357" s="24">
        <v>0</v>
      </c>
      <c r="L357" s="2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98">
        <v>0</v>
      </c>
      <c r="AM357" s="4">
        <v>0</v>
      </c>
    </row>
    <row r="358" spans="1:39" ht="12.75">
      <c r="A358" s="22">
        <v>357</v>
      </c>
      <c r="B358" s="112">
        <v>46.09811</v>
      </c>
      <c r="C358" s="112">
        <v>-91.23793</v>
      </c>
      <c r="D358" s="4">
        <v>5.5</v>
      </c>
      <c r="E358" s="4" t="s">
        <v>480</v>
      </c>
      <c r="F358" s="101">
        <v>1</v>
      </c>
      <c r="G358" s="22">
        <v>1</v>
      </c>
      <c r="H358" s="83">
        <v>2</v>
      </c>
      <c r="I358" s="4">
        <v>2</v>
      </c>
      <c r="J358" s="24">
        <v>0</v>
      </c>
      <c r="K358" s="24">
        <v>0</v>
      </c>
      <c r="L358" s="2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1</v>
      </c>
      <c r="U358" s="4">
        <v>0</v>
      </c>
      <c r="V358" s="4">
        <v>0</v>
      </c>
      <c r="W358" s="4">
        <v>0</v>
      </c>
      <c r="X358" s="4">
        <v>0</v>
      </c>
      <c r="Y358" s="4">
        <v>2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98">
        <v>0</v>
      </c>
      <c r="AM358" s="4">
        <v>0</v>
      </c>
    </row>
    <row r="359" spans="1:39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3</v>
      </c>
      <c r="I359" s="4">
        <v>1</v>
      </c>
      <c r="J359" s="24">
        <v>0</v>
      </c>
      <c r="K359" s="24">
        <v>0</v>
      </c>
      <c r="L359" s="2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98">
        <v>0</v>
      </c>
      <c r="AM359" s="4">
        <v>0</v>
      </c>
    </row>
    <row r="360" spans="1:39" ht="12.75">
      <c r="A360" s="22">
        <v>359</v>
      </c>
      <c r="B360" s="112">
        <v>46.09812</v>
      </c>
      <c r="C360" s="112">
        <v>-91.23672</v>
      </c>
      <c r="D360" s="4">
        <v>5.5</v>
      </c>
      <c r="E360" s="4" t="s">
        <v>480</v>
      </c>
      <c r="F360" s="101">
        <v>1</v>
      </c>
      <c r="G360" s="22">
        <v>1</v>
      </c>
      <c r="H360" s="83">
        <v>3</v>
      </c>
      <c r="I360" s="4">
        <v>1</v>
      </c>
      <c r="J360" s="24">
        <v>0</v>
      </c>
      <c r="K360" s="24">
        <v>0</v>
      </c>
      <c r="L360" s="2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0</v>
      </c>
      <c r="AI360" s="4">
        <v>0</v>
      </c>
      <c r="AJ360" s="4">
        <v>0</v>
      </c>
      <c r="AK360" s="4">
        <v>0</v>
      </c>
      <c r="AL360" s="98">
        <v>0</v>
      </c>
      <c r="AM360" s="4">
        <v>0</v>
      </c>
    </row>
    <row r="361" spans="1:39" ht="12.75">
      <c r="A361" s="22">
        <v>360</v>
      </c>
      <c r="B361" s="112">
        <v>46.09813</v>
      </c>
      <c r="C361" s="112">
        <v>-91.23611</v>
      </c>
      <c r="D361" s="4">
        <v>6.5</v>
      </c>
      <c r="E361" s="4" t="s">
        <v>480</v>
      </c>
      <c r="F361" s="101">
        <v>1</v>
      </c>
      <c r="G361" s="22">
        <v>1</v>
      </c>
      <c r="H361" s="83">
        <v>4</v>
      </c>
      <c r="I361" s="4">
        <v>1</v>
      </c>
      <c r="J361" s="24">
        <v>0</v>
      </c>
      <c r="K361" s="24">
        <v>0</v>
      </c>
      <c r="L361" s="2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  <c r="AA361" s="4">
        <v>0</v>
      </c>
      <c r="AB361" s="4">
        <v>0</v>
      </c>
      <c r="AC361" s="4">
        <v>0</v>
      </c>
      <c r="AD361" s="4">
        <v>0</v>
      </c>
      <c r="AE361" s="4">
        <v>1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98">
        <v>0</v>
      </c>
      <c r="AM361" s="4">
        <v>0</v>
      </c>
    </row>
    <row r="362" spans="1:39" ht="12.75">
      <c r="A362" s="22">
        <v>361</v>
      </c>
      <c r="B362" s="112">
        <v>46.09813</v>
      </c>
      <c r="C362" s="112">
        <v>-91.2355</v>
      </c>
      <c r="D362" s="4">
        <v>6.5</v>
      </c>
      <c r="E362" s="4" t="s">
        <v>480</v>
      </c>
      <c r="F362" s="101">
        <v>1</v>
      </c>
      <c r="G362" s="22">
        <v>1</v>
      </c>
      <c r="H362" s="83">
        <v>6</v>
      </c>
      <c r="I362" s="4">
        <v>1</v>
      </c>
      <c r="J362" s="24">
        <v>0</v>
      </c>
      <c r="K362" s="24">
        <v>0</v>
      </c>
      <c r="L362" s="2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1</v>
      </c>
      <c r="U362" s="4">
        <v>1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1</v>
      </c>
      <c r="AD362" s="4">
        <v>0</v>
      </c>
      <c r="AE362" s="4">
        <v>1</v>
      </c>
      <c r="AF362" s="4">
        <v>0</v>
      </c>
      <c r="AG362" s="4">
        <v>1</v>
      </c>
      <c r="AH362" s="4">
        <v>0</v>
      </c>
      <c r="AI362" s="4">
        <v>0</v>
      </c>
      <c r="AJ362" s="4">
        <v>0</v>
      </c>
      <c r="AK362" s="4">
        <v>0</v>
      </c>
      <c r="AL362" s="98">
        <v>0</v>
      </c>
      <c r="AM362" s="4">
        <v>0</v>
      </c>
    </row>
    <row r="363" spans="1:39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1</v>
      </c>
      <c r="H363" s="83">
        <v>3</v>
      </c>
      <c r="I363" s="4">
        <v>3</v>
      </c>
      <c r="J363" s="24">
        <v>0</v>
      </c>
      <c r="K363" s="24">
        <v>0</v>
      </c>
      <c r="L363" s="2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</v>
      </c>
      <c r="AD363" s="4">
        <v>0</v>
      </c>
      <c r="AE363" s="4">
        <v>3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98">
        <v>0</v>
      </c>
      <c r="AM363" s="4">
        <v>0</v>
      </c>
    </row>
    <row r="364" spans="1:39" ht="12.75">
      <c r="A364" s="22">
        <v>363</v>
      </c>
      <c r="B364" s="112">
        <v>46.09815</v>
      </c>
      <c r="C364" s="112">
        <v>-91.23428</v>
      </c>
      <c r="D364" s="4">
        <v>7</v>
      </c>
      <c r="E364" s="4" t="s">
        <v>480</v>
      </c>
      <c r="F364" s="101">
        <v>1</v>
      </c>
      <c r="G364" s="22">
        <v>1</v>
      </c>
      <c r="H364" s="83">
        <v>3</v>
      </c>
      <c r="I364" s="4">
        <v>2</v>
      </c>
      <c r="J364" s="24">
        <v>0</v>
      </c>
      <c r="K364" s="24">
        <v>0</v>
      </c>
      <c r="L364" s="2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</v>
      </c>
      <c r="V364" s="4">
        <v>0</v>
      </c>
      <c r="W364" s="4">
        <v>0</v>
      </c>
      <c r="X364" s="4">
        <v>0</v>
      </c>
      <c r="Y364" s="4">
        <v>0</v>
      </c>
      <c r="Z364" s="4">
        <v>4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1</v>
      </c>
      <c r="AH364" s="4">
        <v>0</v>
      </c>
      <c r="AI364" s="4">
        <v>0</v>
      </c>
      <c r="AJ364" s="4">
        <v>0</v>
      </c>
      <c r="AK364" s="4">
        <v>0</v>
      </c>
      <c r="AL364" s="98">
        <v>0</v>
      </c>
      <c r="AM364" s="4">
        <v>0</v>
      </c>
    </row>
    <row r="365" spans="1:39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2</v>
      </c>
      <c r="I365" s="4">
        <v>2</v>
      </c>
      <c r="J365" s="24">
        <v>0</v>
      </c>
      <c r="K365" s="24">
        <v>0</v>
      </c>
      <c r="L365" s="2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2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2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98">
        <v>0</v>
      </c>
      <c r="AM365" s="4">
        <v>0</v>
      </c>
    </row>
    <row r="366" spans="1:39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1</v>
      </c>
      <c r="I366" s="4">
        <v>2</v>
      </c>
      <c r="J366" s="24">
        <v>0</v>
      </c>
      <c r="K366" s="24">
        <v>0</v>
      </c>
      <c r="L366" s="2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2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98">
        <v>0</v>
      </c>
      <c r="AM366" s="4">
        <v>0</v>
      </c>
    </row>
    <row r="367" spans="1:39" ht="12.75">
      <c r="A367" s="22">
        <v>366</v>
      </c>
      <c r="B367" s="112">
        <v>46.09817</v>
      </c>
      <c r="C367" s="112">
        <v>-91.23246</v>
      </c>
      <c r="D367" s="4">
        <v>13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2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98">
        <v>0</v>
      </c>
      <c r="AM367" s="4">
        <v>0</v>
      </c>
    </row>
    <row r="368" spans="1:39" ht="12.75">
      <c r="A368" s="22">
        <v>367</v>
      </c>
      <c r="B368" s="112">
        <v>46.09817</v>
      </c>
      <c r="C368" s="112">
        <v>-91.23185</v>
      </c>
      <c r="D368" s="4">
        <v>19</v>
      </c>
      <c r="E368" s="4" t="s">
        <v>480</v>
      </c>
      <c r="F368" s="101">
        <v>1</v>
      </c>
      <c r="G368" s="22">
        <v>1</v>
      </c>
      <c r="H368" s="83">
        <v>2</v>
      </c>
      <c r="I368" s="4">
        <v>1</v>
      </c>
      <c r="J368" s="24">
        <v>0</v>
      </c>
      <c r="K368" s="24">
        <v>0</v>
      </c>
      <c r="L368" s="2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1</v>
      </c>
      <c r="AF368" s="4">
        <v>1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98">
        <v>0</v>
      </c>
      <c r="AM368" s="4">
        <v>0</v>
      </c>
    </row>
    <row r="369" spans="1:39" ht="12.75">
      <c r="A369" s="22">
        <v>368</v>
      </c>
      <c r="B369" s="112">
        <v>46.09818</v>
      </c>
      <c r="C369" s="112">
        <v>-91.23124</v>
      </c>
      <c r="D369" s="4">
        <v>25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98">
        <v>0</v>
      </c>
      <c r="AM369" s="4">
        <v>0</v>
      </c>
    </row>
    <row r="370" spans="1:39" ht="12.75">
      <c r="A370" s="22">
        <v>369</v>
      </c>
      <c r="B370" s="112">
        <v>46.09819</v>
      </c>
      <c r="C370" s="112">
        <v>-91.23064</v>
      </c>
      <c r="D370" s="4">
        <v>27.5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98">
        <v>0</v>
      </c>
      <c r="AM370" s="4">
        <v>0</v>
      </c>
    </row>
    <row r="371" spans="1:39" ht="12.75">
      <c r="A371" s="22">
        <v>370</v>
      </c>
      <c r="B371" s="112">
        <v>46.09819</v>
      </c>
      <c r="C371" s="112">
        <v>-91.23003</v>
      </c>
      <c r="D371" s="4">
        <v>7</v>
      </c>
      <c r="E371" s="4" t="s">
        <v>480</v>
      </c>
      <c r="F371" s="101">
        <v>1</v>
      </c>
      <c r="G371" s="22">
        <v>1</v>
      </c>
      <c r="H371" s="83">
        <v>3</v>
      </c>
      <c r="I371" s="4">
        <v>2</v>
      </c>
      <c r="J371" s="24">
        <v>0</v>
      </c>
      <c r="K371" s="24">
        <v>0</v>
      </c>
      <c r="L371" s="2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2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1</v>
      </c>
      <c r="AH371" s="4">
        <v>0</v>
      </c>
      <c r="AI371" s="4">
        <v>0</v>
      </c>
      <c r="AJ371" s="4">
        <v>0</v>
      </c>
      <c r="AK371" s="4">
        <v>0</v>
      </c>
      <c r="AL371" s="98">
        <v>0</v>
      </c>
      <c r="AM371" s="4">
        <v>0</v>
      </c>
    </row>
    <row r="372" spans="1:39" ht="12.75">
      <c r="A372" s="22">
        <v>371</v>
      </c>
      <c r="B372" s="112">
        <v>46.09848</v>
      </c>
      <c r="C372" s="112">
        <v>-91.2422</v>
      </c>
      <c r="D372" s="4">
        <v>1.5</v>
      </c>
      <c r="E372" s="4" t="s">
        <v>481</v>
      </c>
      <c r="F372" s="101">
        <v>1</v>
      </c>
      <c r="G372" s="22">
        <v>1</v>
      </c>
      <c r="H372" s="83">
        <v>5</v>
      </c>
      <c r="I372" s="4">
        <v>3</v>
      </c>
      <c r="J372" s="24">
        <v>0</v>
      </c>
      <c r="K372" s="24">
        <v>0</v>
      </c>
      <c r="L372" s="24">
        <v>0</v>
      </c>
      <c r="M372" s="4">
        <v>0</v>
      </c>
      <c r="N372" s="4">
        <v>1</v>
      </c>
      <c r="O372" s="4">
        <v>0</v>
      </c>
      <c r="P372" s="4">
        <v>1</v>
      </c>
      <c r="Q372" s="4">
        <v>3</v>
      </c>
      <c r="R372" s="4">
        <v>0</v>
      </c>
      <c r="S372" s="4">
        <v>1</v>
      </c>
      <c r="T372" s="4">
        <v>0</v>
      </c>
      <c r="U372" s="4">
        <v>0</v>
      </c>
      <c r="V372" s="4">
        <v>0</v>
      </c>
      <c r="W372" s="4">
        <v>0</v>
      </c>
      <c r="X372" s="4">
        <v>4</v>
      </c>
      <c r="Y372" s="4">
        <v>0</v>
      </c>
      <c r="Z372" s="4">
        <v>1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98">
        <v>0</v>
      </c>
      <c r="AM372" s="4">
        <v>0</v>
      </c>
    </row>
    <row r="373" spans="1:39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481</v>
      </c>
      <c r="F373" s="101">
        <v>1</v>
      </c>
      <c r="G373" s="22">
        <v>0</v>
      </c>
      <c r="H373" s="83">
        <v>0</v>
      </c>
      <c r="I373" s="4">
        <v>0</v>
      </c>
      <c r="J373" s="24">
        <v>0</v>
      </c>
      <c r="K373" s="24">
        <v>0</v>
      </c>
      <c r="L373" s="2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98">
        <v>0</v>
      </c>
      <c r="AM373" s="4">
        <v>0</v>
      </c>
    </row>
    <row r="374" spans="1:39" ht="12.75">
      <c r="A374" s="22">
        <v>373</v>
      </c>
      <c r="B374" s="112">
        <v>46.0985</v>
      </c>
      <c r="C374" s="112">
        <v>-91.24098</v>
      </c>
      <c r="D374" s="4">
        <v>5.5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98">
        <v>0</v>
      </c>
      <c r="AM374" s="4">
        <v>0</v>
      </c>
    </row>
    <row r="375" spans="1:39" ht="12.75">
      <c r="A375" s="22">
        <v>374</v>
      </c>
      <c r="B375" s="112">
        <v>46.0985</v>
      </c>
      <c r="C375" s="112">
        <v>-91.24037</v>
      </c>
      <c r="D375" s="4">
        <v>5.5</v>
      </c>
      <c r="E375" s="4" t="s">
        <v>480</v>
      </c>
      <c r="F375" s="101">
        <v>1</v>
      </c>
      <c r="G375" s="22">
        <v>0</v>
      </c>
      <c r="H375" s="83">
        <v>0</v>
      </c>
      <c r="I375" s="4">
        <v>0</v>
      </c>
      <c r="J375" s="24">
        <v>0</v>
      </c>
      <c r="K375" s="24">
        <v>0</v>
      </c>
      <c r="L375" s="2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98">
        <v>0</v>
      </c>
      <c r="AM375" s="4">
        <v>0</v>
      </c>
    </row>
    <row r="376" spans="1:39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98">
        <v>0</v>
      </c>
      <c r="AM376" s="4">
        <v>0</v>
      </c>
    </row>
    <row r="377" spans="1:39" ht="12.75">
      <c r="A377" s="22">
        <v>376</v>
      </c>
      <c r="B377" s="112">
        <v>46.09852</v>
      </c>
      <c r="C377" s="112">
        <v>-91.23916</v>
      </c>
      <c r="D377" s="4">
        <v>5.5</v>
      </c>
      <c r="E377" s="4" t="s">
        <v>480</v>
      </c>
      <c r="F377" s="101">
        <v>1</v>
      </c>
      <c r="G377" s="22">
        <v>0</v>
      </c>
      <c r="H377" s="83">
        <v>0</v>
      </c>
      <c r="I377" s="4">
        <v>0</v>
      </c>
      <c r="J377" s="24">
        <v>0</v>
      </c>
      <c r="K377" s="24">
        <v>0</v>
      </c>
      <c r="L377" s="2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98">
        <v>0</v>
      </c>
      <c r="AM377" s="4">
        <v>0</v>
      </c>
    </row>
    <row r="378" spans="1:39" ht="12.75">
      <c r="A378" s="22">
        <v>377</v>
      </c>
      <c r="B378" s="112">
        <v>46.09852</v>
      </c>
      <c r="C378" s="112">
        <v>-91.23855</v>
      </c>
      <c r="D378" s="4">
        <v>5.5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98">
        <v>0</v>
      </c>
      <c r="AM378" s="4">
        <v>0</v>
      </c>
    </row>
    <row r="379" spans="1:39" ht="12.75">
      <c r="A379" s="22">
        <v>378</v>
      </c>
      <c r="B379" s="112">
        <v>46.09853</v>
      </c>
      <c r="C379" s="112">
        <v>-91.23794</v>
      </c>
      <c r="D379" s="4">
        <v>5.5</v>
      </c>
      <c r="E379" s="4" t="s">
        <v>480</v>
      </c>
      <c r="F379" s="101">
        <v>1</v>
      </c>
      <c r="G379" s="22">
        <v>0</v>
      </c>
      <c r="H379" s="83">
        <v>0</v>
      </c>
      <c r="I379" s="4">
        <v>0</v>
      </c>
      <c r="J379" s="24">
        <v>0</v>
      </c>
      <c r="K379" s="24">
        <v>0</v>
      </c>
      <c r="L379" s="2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98">
        <v>0</v>
      </c>
      <c r="AM379" s="4">
        <v>0</v>
      </c>
    </row>
    <row r="380" spans="1:39" ht="12.75">
      <c r="A380" s="22">
        <v>379</v>
      </c>
      <c r="B380" s="112">
        <v>46.09854</v>
      </c>
      <c r="C380" s="112">
        <v>-91.23733</v>
      </c>
      <c r="D380" s="4">
        <v>5.5</v>
      </c>
      <c r="E380" s="4" t="s">
        <v>480</v>
      </c>
      <c r="F380" s="101">
        <v>1</v>
      </c>
      <c r="G380" s="22">
        <v>1</v>
      </c>
      <c r="H380" s="83">
        <v>3</v>
      </c>
      <c r="I380" s="4">
        <v>1</v>
      </c>
      <c r="J380" s="24">
        <v>0</v>
      </c>
      <c r="K380" s="24">
        <v>0</v>
      </c>
      <c r="L380" s="24">
        <v>1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1</v>
      </c>
      <c r="U380" s="4">
        <v>0</v>
      </c>
      <c r="V380" s="4">
        <v>0</v>
      </c>
      <c r="W380" s="4">
        <v>0</v>
      </c>
      <c r="X380" s="4">
        <v>0</v>
      </c>
      <c r="Y380" s="4">
        <v>1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98">
        <v>0</v>
      </c>
      <c r="AM380" s="4">
        <v>0</v>
      </c>
    </row>
    <row r="381" spans="1:39" ht="12.75">
      <c r="A381" s="22">
        <v>380</v>
      </c>
      <c r="B381" s="112">
        <v>46.09854</v>
      </c>
      <c r="C381" s="112">
        <v>-91.23673</v>
      </c>
      <c r="D381" s="4">
        <v>5.5</v>
      </c>
      <c r="E381" s="4" t="s">
        <v>480</v>
      </c>
      <c r="F381" s="101">
        <v>1</v>
      </c>
      <c r="G381" s="22">
        <v>1</v>
      </c>
      <c r="H381" s="83">
        <v>3</v>
      </c>
      <c r="I381" s="4">
        <v>2</v>
      </c>
      <c r="J381" s="24">
        <v>0</v>
      </c>
      <c r="K381" s="24">
        <v>0</v>
      </c>
      <c r="L381" s="24">
        <v>1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2</v>
      </c>
      <c r="Z381" s="4">
        <v>0</v>
      </c>
      <c r="AA381" s="4">
        <v>0</v>
      </c>
      <c r="AB381" s="4">
        <v>0</v>
      </c>
      <c r="AC381" s="4">
        <v>1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98">
        <v>0</v>
      </c>
      <c r="AM381" s="4">
        <v>0</v>
      </c>
    </row>
    <row r="382" spans="1:39" ht="12.75">
      <c r="A382" s="22">
        <v>381</v>
      </c>
      <c r="B382" s="112">
        <v>46.09855</v>
      </c>
      <c r="C382" s="112">
        <v>-91.23612</v>
      </c>
      <c r="D382" s="4">
        <v>6</v>
      </c>
      <c r="E382" s="4" t="s">
        <v>480</v>
      </c>
      <c r="F382" s="101">
        <v>1</v>
      </c>
      <c r="G382" s="22">
        <v>1</v>
      </c>
      <c r="H382" s="83">
        <v>3</v>
      </c>
      <c r="I382" s="4">
        <v>2</v>
      </c>
      <c r="J382" s="24">
        <v>0</v>
      </c>
      <c r="K382" s="24">
        <v>0</v>
      </c>
      <c r="L382" s="2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1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2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1</v>
      </c>
      <c r="AL382" s="98">
        <v>0</v>
      </c>
      <c r="AM382" s="4">
        <v>0</v>
      </c>
    </row>
    <row r="383" spans="1:39" ht="12.75">
      <c r="A383" s="22">
        <v>382</v>
      </c>
      <c r="B383" s="112">
        <v>46.09856</v>
      </c>
      <c r="C383" s="112">
        <v>-91.23551</v>
      </c>
      <c r="D383" s="4">
        <v>8</v>
      </c>
      <c r="E383" s="4" t="s">
        <v>480</v>
      </c>
      <c r="F383" s="101">
        <v>1</v>
      </c>
      <c r="G383" s="22">
        <v>1</v>
      </c>
      <c r="H383" s="83">
        <v>1</v>
      </c>
      <c r="I383" s="4">
        <v>2</v>
      </c>
      <c r="J383" s="24">
        <v>0</v>
      </c>
      <c r="K383" s="24">
        <v>0</v>
      </c>
      <c r="L383" s="2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2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98">
        <v>0</v>
      </c>
      <c r="AM383" s="4">
        <v>0</v>
      </c>
    </row>
    <row r="384" spans="1:39" ht="12.75">
      <c r="A384" s="22">
        <v>383</v>
      </c>
      <c r="B384" s="112">
        <v>46.09856</v>
      </c>
      <c r="C384" s="112">
        <v>-91.2349</v>
      </c>
      <c r="D384" s="4">
        <v>8.5</v>
      </c>
      <c r="E384" s="4" t="s">
        <v>480</v>
      </c>
      <c r="F384" s="101">
        <v>1</v>
      </c>
      <c r="G384" s="22">
        <v>1</v>
      </c>
      <c r="H384" s="83">
        <v>1</v>
      </c>
      <c r="I384" s="4">
        <v>2</v>
      </c>
      <c r="J384" s="24">
        <v>0</v>
      </c>
      <c r="K384" s="24">
        <v>0</v>
      </c>
      <c r="L384" s="2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4</v>
      </c>
      <c r="Z384" s="4">
        <v>0</v>
      </c>
      <c r="AA384" s="4">
        <v>0</v>
      </c>
      <c r="AB384" s="4">
        <v>0</v>
      </c>
      <c r="AC384" s="4">
        <v>4</v>
      </c>
      <c r="AD384" s="4">
        <v>0</v>
      </c>
      <c r="AE384" s="4">
        <v>2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98">
        <v>0</v>
      </c>
      <c r="AM384" s="4">
        <v>0</v>
      </c>
    </row>
    <row r="385" spans="1:39" ht="12.75">
      <c r="A385" s="22">
        <v>384</v>
      </c>
      <c r="B385" s="112">
        <v>46.09857</v>
      </c>
      <c r="C385" s="112">
        <v>-91.23429</v>
      </c>
      <c r="D385" s="4">
        <v>14.5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3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98">
        <v>0</v>
      </c>
      <c r="AM385" s="4">
        <v>0</v>
      </c>
    </row>
    <row r="386" spans="1:39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2</v>
      </c>
      <c r="J386" s="24">
        <v>0</v>
      </c>
      <c r="K386" s="24">
        <v>0</v>
      </c>
      <c r="L386" s="2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2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98">
        <v>0</v>
      </c>
      <c r="AM386" s="4">
        <v>0</v>
      </c>
    </row>
    <row r="387" spans="1:39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1</v>
      </c>
      <c r="G387" s="22">
        <v>1</v>
      </c>
      <c r="H387" s="83">
        <v>1</v>
      </c>
      <c r="I387" s="4">
        <v>2</v>
      </c>
      <c r="J387" s="24">
        <v>0</v>
      </c>
      <c r="K387" s="24">
        <v>0</v>
      </c>
      <c r="L387" s="2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2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98">
        <v>0</v>
      </c>
      <c r="AM387" s="4">
        <v>0</v>
      </c>
    </row>
    <row r="388" spans="1:39" ht="12.75">
      <c r="A388" s="22">
        <v>387</v>
      </c>
      <c r="B388" s="112">
        <v>46.09859</v>
      </c>
      <c r="C388" s="112">
        <v>-91.23247</v>
      </c>
      <c r="D388" s="4">
        <v>21</v>
      </c>
      <c r="E388" s="4" t="s">
        <v>480</v>
      </c>
      <c r="F388" s="101">
        <v>1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98">
        <v>0</v>
      </c>
      <c r="AM388" s="4">
        <v>0</v>
      </c>
    </row>
    <row r="389" spans="1:39" ht="12.75">
      <c r="A389" s="22">
        <v>388</v>
      </c>
      <c r="B389" s="112">
        <v>46.0986</v>
      </c>
      <c r="C389" s="112">
        <v>-91.23186</v>
      </c>
      <c r="D389" s="4">
        <v>25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98">
        <v>0</v>
      </c>
      <c r="AM389" s="4">
        <v>0</v>
      </c>
    </row>
    <row r="390" spans="1:39" ht="12.75">
      <c r="A390" s="22">
        <v>389</v>
      </c>
      <c r="B390" s="112">
        <v>46.0986</v>
      </c>
      <c r="C390" s="112">
        <v>-91.23125</v>
      </c>
      <c r="D390" s="4">
        <v>25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98">
        <v>0</v>
      </c>
      <c r="AM390" s="4">
        <v>0</v>
      </c>
    </row>
    <row r="391" spans="1:39" ht="12.75">
      <c r="A391" s="22">
        <v>390</v>
      </c>
      <c r="B391" s="112">
        <v>46.09861</v>
      </c>
      <c r="C391" s="112">
        <v>-91.23065</v>
      </c>
      <c r="D391" s="4">
        <v>12.5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2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98">
        <v>0</v>
      </c>
      <c r="AM391" s="4">
        <v>0</v>
      </c>
    </row>
    <row r="392" spans="1:39" ht="12.75">
      <c r="A392" s="22">
        <v>391</v>
      </c>
      <c r="B392" s="112">
        <v>46.09862</v>
      </c>
      <c r="C392" s="112">
        <v>-91.23004</v>
      </c>
      <c r="D392" s="4">
        <v>7</v>
      </c>
      <c r="E392" s="4" t="s">
        <v>480</v>
      </c>
      <c r="F392" s="101">
        <v>1</v>
      </c>
      <c r="G392" s="22">
        <v>1</v>
      </c>
      <c r="H392" s="83">
        <v>3</v>
      </c>
      <c r="I392" s="4">
        <v>1</v>
      </c>
      <c r="J392" s="24">
        <v>0</v>
      </c>
      <c r="K392" s="24">
        <v>0</v>
      </c>
      <c r="L392" s="2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2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1</v>
      </c>
      <c r="AF392" s="4">
        <v>0</v>
      </c>
      <c r="AG392" s="4">
        <v>1</v>
      </c>
      <c r="AH392" s="4">
        <v>0</v>
      </c>
      <c r="AI392" s="4">
        <v>0</v>
      </c>
      <c r="AJ392" s="4">
        <v>0</v>
      </c>
      <c r="AK392" s="4">
        <v>0</v>
      </c>
      <c r="AL392" s="98">
        <v>0</v>
      </c>
      <c r="AM392" s="4">
        <v>0</v>
      </c>
    </row>
    <row r="393" spans="1:39" ht="12.75">
      <c r="A393" s="22">
        <v>392</v>
      </c>
      <c r="B393" s="112">
        <v>46.09862</v>
      </c>
      <c r="C393" s="112">
        <v>-91.22943</v>
      </c>
      <c r="D393" s="4">
        <v>6</v>
      </c>
      <c r="E393" s="4" t="s">
        <v>481</v>
      </c>
      <c r="F393" s="101">
        <v>1</v>
      </c>
      <c r="G393" s="22">
        <v>1</v>
      </c>
      <c r="H393" s="83">
        <v>2</v>
      </c>
      <c r="I393" s="4">
        <v>1</v>
      </c>
      <c r="J393" s="24">
        <v>0</v>
      </c>
      <c r="K393" s="24">
        <v>0</v>
      </c>
      <c r="L393" s="24">
        <v>1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1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98">
        <v>0</v>
      </c>
      <c r="AM393" s="4">
        <v>0</v>
      </c>
    </row>
    <row r="394" spans="1:39" ht="12.75">
      <c r="A394" s="22">
        <v>393</v>
      </c>
      <c r="B394" s="112">
        <v>46.09893</v>
      </c>
      <c r="C394" s="112">
        <v>-91.23977</v>
      </c>
      <c r="D394" s="4">
        <v>5.5</v>
      </c>
      <c r="E394" s="4" t="s">
        <v>481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98">
        <v>0</v>
      </c>
      <c r="AM394" s="4">
        <v>0</v>
      </c>
    </row>
    <row r="395" spans="1:39" ht="12.75">
      <c r="A395" s="22">
        <v>394</v>
      </c>
      <c r="B395" s="112">
        <v>46.09894</v>
      </c>
      <c r="C395" s="112">
        <v>-91.23917</v>
      </c>
      <c r="D395" s="4">
        <v>6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98">
        <v>0</v>
      </c>
      <c r="AM395" s="4">
        <v>0</v>
      </c>
    </row>
    <row r="396" spans="1:39" ht="12.75">
      <c r="A396" s="22">
        <v>395</v>
      </c>
      <c r="B396" s="112">
        <v>46.09895</v>
      </c>
      <c r="C396" s="112">
        <v>-91.23856</v>
      </c>
      <c r="D396" s="4">
        <v>6.5</v>
      </c>
      <c r="E396" s="4" t="s">
        <v>480</v>
      </c>
      <c r="F396" s="101">
        <v>1</v>
      </c>
      <c r="G396" s="22">
        <v>0</v>
      </c>
      <c r="H396" s="83">
        <v>0</v>
      </c>
      <c r="I396" s="4">
        <v>0</v>
      </c>
      <c r="J396" s="24">
        <v>0</v>
      </c>
      <c r="K396" s="24">
        <v>0</v>
      </c>
      <c r="L396" s="2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98">
        <v>0</v>
      </c>
      <c r="AM396" s="4">
        <v>0</v>
      </c>
    </row>
    <row r="397" spans="1:39" ht="12.75">
      <c r="A397" s="22">
        <v>396</v>
      </c>
      <c r="B397" s="112">
        <v>46.09895</v>
      </c>
      <c r="C397" s="112">
        <v>-91.23795</v>
      </c>
      <c r="D397" s="4">
        <v>6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1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98">
        <v>0</v>
      </c>
      <c r="AM397" s="4">
        <v>0</v>
      </c>
    </row>
    <row r="398" spans="1:39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1</v>
      </c>
      <c r="I398" s="4">
        <v>1</v>
      </c>
      <c r="J398" s="24">
        <v>0</v>
      </c>
      <c r="K398" s="24">
        <v>0</v>
      </c>
      <c r="L398" s="2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1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98">
        <v>0</v>
      </c>
      <c r="AM398" s="4">
        <v>0</v>
      </c>
    </row>
    <row r="399" spans="1:39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1</v>
      </c>
      <c r="H399" s="83">
        <v>4</v>
      </c>
      <c r="I399" s="4">
        <v>3</v>
      </c>
      <c r="J399" s="24">
        <v>0</v>
      </c>
      <c r="K399" s="24">
        <v>0</v>
      </c>
      <c r="L399" s="2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0</v>
      </c>
      <c r="V399" s="4">
        <v>0</v>
      </c>
      <c r="W399" s="4">
        <v>0</v>
      </c>
      <c r="X399" s="4">
        <v>0</v>
      </c>
      <c r="Y399" s="4">
        <v>3</v>
      </c>
      <c r="Z399" s="4">
        <v>0</v>
      </c>
      <c r="AA399" s="4">
        <v>0</v>
      </c>
      <c r="AB399" s="4">
        <v>0</v>
      </c>
      <c r="AC399" s="4">
        <v>1</v>
      </c>
      <c r="AD399" s="4">
        <v>0</v>
      </c>
      <c r="AE399" s="4">
        <v>1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98">
        <v>0</v>
      </c>
      <c r="AM399" s="4">
        <v>0</v>
      </c>
    </row>
    <row r="400" spans="1:39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2</v>
      </c>
      <c r="I400" s="4">
        <v>2</v>
      </c>
      <c r="J400" s="24">
        <v>0</v>
      </c>
      <c r="K400" s="24">
        <v>0</v>
      </c>
      <c r="L400" s="2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1</v>
      </c>
      <c r="Z400" s="4">
        <v>4</v>
      </c>
      <c r="AA400" s="4">
        <v>0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98">
        <v>0</v>
      </c>
      <c r="AM400" s="4">
        <v>0</v>
      </c>
    </row>
    <row r="401" spans="1:39" ht="12.75">
      <c r="A401" s="22">
        <v>400</v>
      </c>
      <c r="B401" s="112">
        <v>46.09898</v>
      </c>
      <c r="C401" s="112">
        <v>-91.23552</v>
      </c>
      <c r="D401" s="4">
        <v>12.5</v>
      </c>
      <c r="E401" s="4" t="s">
        <v>480</v>
      </c>
      <c r="F401" s="101">
        <v>1</v>
      </c>
      <c r="G401" s="22">
        <v>1</v>
      </c>
      <c r="H401" s="83">
        <v>1</v>
      </c>
      <c r="I401" s="4">
        <v>2</v>
      </c>
      <c r="J401" s="24">
        <v>0</v>
      </c>
      <c r="K401" s="24">
        <v>0</v>
      </c>
      <c r="L401" s="2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2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98">
        <v>0</v>
      </c>
      <c r="AM401" s="4">
        <v>0</v>
      </c>
    </row>
    <row r="402" spans="1:39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1</v>
      </c>
      <c r="G402" s="22">
        <v>1</v>
      </c>
      <c r="H402" s="83">
        <v>1</v>
      </c>
      <c r="I402" s="4">
        <v>1</v>
      </c>
      <c r="J402" s="24">
        <v>0</v>
      </c>
      <c r="K402" s="24">
        <v>0</v>
      </c>
      <c r="L402" s="2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1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98">
        <v>0</v>
      </c>
      <c r="AM402" s="4">
        <v>0</v>
      </c>
    </row>
    <row r="403" spans="1:39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98">
        <v>0</v>
      </c>
      <c r="AM403" s="4">
        <v>0</v>
      </c>
    </row>
    <row r="404" spans="1:39" ht="12.75">
      <c r="A404" s="22">
        <v>403</v>
      </c>
      <c r="B404" s="112">
        <v>46.099</v>
      </c>
      <c r="C404" s="112">
        <v>-91.2337</v>
      </c>
      <c r="D404" s="4">
        <v>23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98">
        <v>0</v>
      </c>
      <c r="AM404" s="4">
        <v>0</v>
      </c>
    </row>
    <row r="405" spans="1:39" ht="12.75">
      <c r="A405" s="22">
        <v>404</v>
      </c>
      <c r="B405" s="112">
        <v>46.09901</v>
      </c>
      <c r="C405" s="112">
        <v>-91.23309</v>
      </c>
      <c r="D405" s="4">
        <v>20.5</v>
      </c>
      <c r="E405" s="4" t="s">
        <v>480</v>
      </c>
      <c r="F405" s="101">
        <v>1</v>
      </c>
      <c r="G405" s="22">
        <v>1</v>
      </c>
      <c r="H405" s="83">
        <v>1</v>
      </c>
      <c r="I405" s="4">
        <v>2</v>
      </c>
      <c r="J405" s="24">
        <v>0</v>
      </c>
      <c r="K405" s="24">
        <v>0</v>
      </c>
      <c r="L405" s="2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2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98">
        <v>1</v>
      </c>
      <c r="AM405" s="4">
        <v>0</v>
      </c>
    </row>
    <row r="406" spans="1:39" ht="12.75">
      <c r="A406" s="22">
        <v>405</v>
      </c>
      <c r="B406" s="112">
        <v>46.09901</v>
      </c>
      <c r="C406" s="112">
        <v>-91.23248</v>
      </c>
      <c r="D406" s="4">
        <v>21.5</v>
      </c>
      <c r="E406" s="4" t="s">
        <v>480</v>
      </c>
      <c r="F406" s="101">
        <v>1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98">
        <v>0</v>
      </c>
      <c r="AM406" s="4">
        <v>0</v>
      </c>
    </row>
    <row r="407" spans="1:39" ht="12.75">
      <c r="A407" s="22">
        <v>406</v>
      </c>
      <c r="B407" s="112">
        <v>46.09902</v>
      </c>
      <c r="C407" s="112">
        <v>-91.23187</v>
      </c>
      <c r="D407" s="4">
        <v>18.5</v>
      </c>
      <c r="E407" s="4" t="s">
        <v>480</v>
      </c>
      <c r="F407" s="101">
        <v>1</v>
      </c>
      <c r="G407" s="22">
        <v>1</v>
      </c>
      <c r="H407" s="83">
        <v>1</v>
      </c>
      <c r="I407" s="4">
        <v>2</v>
      </c>
      <c r="J407" s="24">
        <v>0</v>
      </c>
      <c r="K407" s="24">
        <v>0</v>
      </c>
      <c r="L407" s="2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2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98">
        <v>0</v>
      </c>
      <c r="AM407" s="4">
        <v>0</v>
      </c>
    </row>
    <row r="408" spans="1:39" ht="12.75">
      <c r="A408" s="22">
        <v>407</v>
      </c>
      <c r="B408" s="112">
        <v>46.09903</v>
      </c>
      <c r="C408" s="112">
        <v>-91.23126</v>
      </c>
      <c r="D408" s="4">
        <v>6.5</v>
      </c>
      <c r="E408" s="4" t="s">
        <v>480</v>
      </c>
      <c r="F408" s="101">
        <v>1</v>
      </c>
      <c r="G408" s="22">
        <v>1</v>
      </c>
      <c r="H408" s="83">
        <v>3</v>
      </c>
      <c r="I408" s="4">
        <v>2</v>
      </c>
      <c r="J408" s="24">
        <v>0</v>
      </c>
      <c r="K408" s="24">
        <v>0</v>
      </c>
      <c r="L408" s="2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1</v>
      </c>
      <c r="V408" s="4">
        <v>0</v>
      </c>
      <c r="W408" s="4">
        <v>0</v>
      </c>
      <c r="X408" s="4">
        <v>0</v>
      </c>
      <c r="Y408" s="4">
        <v>1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2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98">
        <v>0</v>
      </c>
      <c r="AM408" s="4">
        <v>0</v>
      </c>
    </row>
    <row r="409" spans="1:39" ht="12.75">
      <c r="A409" s="22">
        <v>408</v>
      </c>
      <c r="B409" s="112">
        <v>46.09905</v>
      </c>
      <c r="C409" s="112">
        <v>-91.22944</v>
      </c>
      <c r="D409" s="4">
        <v>4.5</v>
      </c>
      <c r="E409" s="4" t="s">
        <v>482</v>
      </c>
      <c r="F409" s="101">
        <v>1</v>
      </c>
      <c r="G409" s="22">
        <v>1</v>
      </c>
      <c r="H409" s="83">
        <v>1</v>
      </c>
      <c r="I409" s="4">
        <v>1</v>
      </c>
      <c r="J409" s="24">
        <v>0</v>
      </c>
      <c r="K409" s="24">
        <v>0</v>
      </c>
      <c r="L409" s="24">
        <v>1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98">
        <v>0</v>
      </c>
      <c r="AM409" s="4">
        <v>0</v>
      </c>
    </row>
    <row r="410" spans="1:39" ht="12.75">
      <c r="A410" s="22">
        <v>409</v>
      </c>
      <c r="B410" s="112">
        <v>46.09936</v>
      </c>
      <c r="C410" s="112">
        <v>-91.23918</v>
      </c>
      <c r="D410" s="4">
        <v>4</v>
      </c>
      <c r="E410" s="4" t="s">
        <v>481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98">
        <v>0</v>
      </c>
      <c r="AM410" s="4">
        <v>0</v>
      </c>
    </row>
    <row r="411" spans="1:39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1</v>
      </c>
      <c r="I411" s="4">
        <v>1</v>
      </c>
      <c r="J411" s="24">
        <v>0</v>
      </c>
      <c r="K411" s="24">
        <v>0</v>
      </c>
      <c r="L411" s="2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1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98">
        <v>0</v>
      </c>
      <c r="AM411" s="4">
        <v>0</v>
      </c>
    </row>
    <row r="412" spans="1:39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98">
        <v>0</v>
      </c>
      <c r="AM412" s="4">
        <v>0</v>
      </c>
    </row>
    <row r="413" spans="1:39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98">
        <v>0</v>
      </c>
      <c r="AM413" s="4">
        <v>0</v>
      </c>
    </row>
    <row r="414" spans="1:39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98">
        <v>0</v>
      </c>
      <c r="AM414" s="4">
        <v>0</v>
      </c>
    </row>
    <row r="415" spans="1:39" ht="12.75">
      <c r="A415" s="22">
        <v>414</v>
      </c>
      <c r="B415" s="112">
        <v>46.0994</v>
      </c>
      <c r="C415" s="112">
        <v>-91.23614</v>
      </c>
      <c r="D415" s="4">
        <v>8</v>
      </c>
      <c r="E415" s="4" t="s">
        <v>480</v>
      </c>
      <c r="F415" s="101">
        <v>1</v>
      </c>
      <c r="G415" s="22">
        <v>0</v>
      </c>
      <c r="H415" s="83">
        <v>0</v>
      </c>
      <c r="I415" s="4">
        <v>0</v>
      </c>
      <c r="J415" s="24">
        <v>0</v>
      </c>
      <c r="K415" s="24">
        <v>0</v>
      </c>
      <c r="L415" s="2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4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98">
        <v>0</v>
      </c>
      <c r="AM415" s="4">
        <v>0</v>
      </c>
    </row>
    <row r="416" spans="1:39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2</v>
      </c>
      <c r="I416" s="4">
        <v>1</v>
      </c>
      <c r="J416" s="24">
        <v>0</v>
      </c>
      <c r="K416" s="24">
        <v>0</v>
      </c>
      <c r="L416" s="2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98">
        <v>0</v>
      </c>
      <c r="AM416" s="4">
        <v>0</v>
      </c>
    </row>
    <row r="417" spans="1:39" ht="12.75">
      <c r="A417" s="22">
        <v>416</v>
      </c>
      <c r="B417" s="112">
        <v>46.09941</v>
      </c>
      <c r="C417" s="112">
        <v>-91.23492</v>
      </c>
      <c r="D417" s="4">
        <v>6.5</v>
      </c>
      <c r="E417" s="4" t="s">
        <v>480</v>
      </c>
      <c r="F417" s="101">
        <v>1</v>
      </c>
      <c r="G417" s="22">
        <v>1</v>
      </c>
      <c r="H417" s="83">
        <v>3</v>
      </c>
      <c r="I417" s="4">
        <v>2</v>
      </c>
      <c r="J417" s="24">
        <v>0</v>
      </c>
      <c r="K417" s="24">
        <v>0</v>
      </c>
      <c r="L417" s="2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2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2</v>
      </c>
      <c r="AL417" s="98">
        <v>0</v>
      </c>
      <c r="AM417" s="4">
        <v>0</v>
      </c>
    </row>
    <row r="418" spans="1:39" ht="12.75">
      <c r="A418" s="22">
        <v>417</v>
      </c>
      <c r="B418" s="112">
        <v>46.09942</v>
      </c>
      <c r="C418" s="112">
        <v>-91.23431</v>
      </c>
      <c r="D418" s="4">
        <v>18</v>
      </c>
      <c r="E418" s="4" t="s">
        <v>480</v>
      </c>
      <c r="F418" s="101">
        <v>1</v>
      </c>
      <c r="G418" s="22">
        <v>1</v>
      </c>
      <c r="H418" s="83">
        <v>1</v>
      </c>
      <c r="I418" s="4">
        <v>2</v>
      </c>
      <c r="J418" s="24">
        <v>0</v>
      </c>
      <c r="K418" s="24">
        <v>0</v>
      </c>
      <c r="L418" s="2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2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98">
        <v>0</v>
      </c>
      <c r="AM418" s="4">
        <v>0</v>
      </c>
    </row>
    <row r="419" spans="1:39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1</v>
      </c>
      <c r="I419" s="4">
        <v>1</v>
      </c>
      <c r="J419" s="24">
        <v>0</v>
      </c>
      <c r="K419" s="24">
        <v>0</v>
      </c>
      <c r="L419" s="2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98">
        <v>0</v>
      </c>
      <c r="AM419" s="4">
        <v>0</v>
      </c>
    </row>
    <row r="420" spans="1:39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98">
        <v>0</v>
      </c>
      <c r="AM420" s="4">
        <v>0</v>
      </c>
    </row>
    <row r="421" spans="1:39" ht="12.75">
      <c r="A421" s="22">
        <v>420</v>
      </c>
      <c r="B421" s="112">
        <v>46.09944</v>
      </c>
      <c r="C421" s="112">
        <v>-91.23249</v>
      </c>
      <c r="D421" s="4">
        <v>8</v>
      </c>
      <c r="E421" s="4" t="s">
        <v>480</v>
      </c>
      <c r="F421" s="101">
        <v>1</v>
      </c>
      <c r="G421" s="22">
        <v>1</v>
      </c>
      <c r="H421" s="83">
        <v>2</v>
      </c>
      <c r="I421" s="4">
        <v>1</v>
      </c>
      <c r="J421" s="24">
        <v>0</v>
      </c>
      <c r="K421" s="24">
        <v>0</v>
      </c>
      <c r="L421" s="2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1</v>
      </c>
      <c r="AD421" s="4">
        <v>0</v>
      </c>
      <c r="AE421" s="4">
        <v>1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98">
        <v>0</v>
      </c>
      <c r="AM421" s="4">
        <v>0</v>
      </c>
    </row>
    <row r="422" spans="1:39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4</v>
      </c>
      <c r="I422" s="4">
        <v>3</v>
      </c>
      <c r="J422" s="24">
        <v>0</v>
      </c>
      <c r="K422" s="24">
        <v>0</v>
      </c>
      <c r="L422" s="2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0</v>
      </c>
      <c r="Y422" s="4">
        <v>3</v>
      </c>
      <c r="Z422" s="4">
        <v>2</v>
      </c>
      <c r="AA422" s="4">
        <v>0</v>
      </c>
      <c r="AB422" s="4">
        <v>0</v>
      </c>
      <c r="AC422" s="4">
        <v>4</v>
      </c>
      <c r="AD422" s="4">
        <v>0</v>
      </c>
      <c r="AE422" s="4">
        <v>1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98">
        <v>0</v>
      </c>
      <c r="AM422" s="4">
        <v>0</v>
      </c>
    </row>
    <row r="423" spans="1:39" ht="12.75">
      <c r="A423" s="22">
        <v>422</v>
      </c>
      <c r="B423" s="112">
        <v>46.09947</v>
      </c>
      <c r="C423" s="112">
        <v>-91.22945</v>
      </c>
      <c r="D423" s="4">
        <v>1</v>
      </c>
      <c r="E423" s="4" t="s">
        <v>480</v>
      </c>
      <c r="F423" s="101">
        <v>1</v>
      </c>
      <c r="G423" s="22">
        <v>1</v>
      </c>
      <c r="H423" s="83">
        <v>3</v>
      </c>
      <c r="I423" s="4">
        <v>2</v>
      </c>
      <c r="J423" s="24">
        <v>0</v>
      </c>
      <c r="K423" s="24">
        <v>2</v>
      </c>
      <c r="L423" s="24">
        <v>0</v>
      </c>
      <c r="M423" s="4">
        <v>4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1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1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98">
        <v>0</v>
      </c>
      <c r="AM423" s="4">
        <v>0</v>
      </c>
    </row>
    <row r="424" spans="1:39" ht="12.75">
      <c r="A424" s="22">
        <v>423</v>
      </c>
      <c r="B424" s="112">
        <v>46.09981</v>
      </c>
      <c r="C424" s="112">
        <v>-91.23736</v>
      </c>
      <c r="D424" s="4">
        <v>2</v>
      </c>
      <c r="E424" s="4" t="s">
        <v>482</v>
      </c>
      <c r="F424" s="101">
        <v>1</v>
      </c>
      <c r="G424" s="22">
        <v>1</v>
      </c>
      <c r="H424" s="83">
        <v>3</v>
      </c>
      <c r="I424" s="4">
        <v>2</v>
      </c>
      <c r="J424" s="24">
        <v>0</v>
      </c>
      <c r="K424" s="24">
        <v>0</v>
      </c>
      <c r="L424" s="24">
        <v>0</v>
      </c>
      <c r="M424" s="4">
        <v>0</v>
      </c>
      <c r="N424" s="4">
        <v>2</v>
      </c>
      <c r="O424" s="4">
        <v>0</v>
      </c>
      <c r="P424" s="4">
        <v>0</v>
      </c>
      <c r="Q424" s="4">
        <v>1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98">
        <v>0</v>
      </c>
      <c r="AM424" s="4">
        <v>0</v>
      </c>
    </row>
    <row r="425" spans="1:39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0</v>
      </c>
      <c r="H425" s="83">
        <v>0</v>
      </c>
      <c r="I425" s="4">
        <v>0</v>
      </c>
      <c r="J425" s="24">
        <v>0</v>
      </c>
      <c r="K425" s="24">
        <v>0</v>
      </c>
      <c r="L425" s="2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98">
        <v>0</v>
      </c>
      <c r="AM425" s="4">
        <v>0</v>
      </c>
    </row>
    <row r="426" spans="1:39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481</v>
      </c>
      <c r="F426" s="101">
        <v>1</v>
      </c>
      <c r="G426" s="22">
        <v>0</v>
      </c>
      <c r="H426" s="83">
        <v>0</v>
      </c>
      <c r="I426" s="4">
        <v>0</v>
      </c>
      <c r="J426" s="24">
        <v>0</v>
      </c>
      <c r="K426" s="24">
        <v>0</v>
      </c>
      <c r="L426" s="2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98">
        <v>0</v>
      </c>
      <c r="AM426" s="4">
        <v>0</v>
      </c>
    </row>
    <row r="427" spans="1:39" ht="12.75">
      <c r="A427" s="22">
        <v>426</v>
      </c>
      <c r="B427" s="112">
        <v>46.09983</v>
      </c>
      <c r="C427" s="112">
        <v>-91.23554</v>
      </c>
      <c r="D427" s="4">
        <v>6.5</v>
      </c>
      <c r="E427" s="4" t="s">
        <v>480</v>
      </c>
      <c r="F427" s="101">
        <v>1</v>
      </c>
      <c r="G427" s="22">
        <v>0</v>
      </c>
      <c r="H427" s="83">
        <v>0</v>
      </c>
      <c r="I427" s="4">
        <v>0</v>
      </c>
      <c r="J427" s="24">
        <v>0</v>
      </c>
      <c r="K427" s="24">
        <v>0</v>
      </c>
      <c r="L427" s="2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4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98">
        <v>0</v>
      </c>
      <c r="AM427" s="4">
        <v>0</v>
      </c>
    </row>
    <row r="428" spans="1:39" ht="12.75">
      <c r="A428" s="22">
        <v>427</v>
      </c>
      <c r="B428" s="112">
        <v>46.09983</v>
      </c>
      <c r="C428" s="112">
        <v>-91.23493</v>
      </c>
      <c r="D428" s="4">
        <v>5.5</v>
      </c>
      <c r="E428" s="4" t="s">
        <v>480</v>
      </c>
      <c r="F428" s="101">
        <v>1</v>
      </c>
      <c r="G428" s="22">
        <v>1</v>
      </c>
      <c r="H428" s="83">
        <v>3</v>
      </c>
      <c r="I428" s="4">
        <v>3</v>
      </c>
      <c r="J428" s="24">
        <v>0</v>
      </c>
      <c r="K428" s="24">
        <v>0</v>
      </c>
      <c r="L428" s="2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2</v>
      </c>
      <c r="U428" s="4">
        <v>0</v>
      </c>
      <c r="V428" s="4">
        <v>0</v>
      </c>
      <c r="W428" s="4">
        <v>0</v>
      </c>
      <c r="X428" s="4">
        <v>0</v>
      </c>
      <c r="Y428" s="4">
        <v>1</v>
      </c>
      <c r="Z428" s="4">
        <v>0</v>
      </c>
      <c r="AA428" s="4">
        <v>0</v>
      </c>
      <c r="AB428" s="4">
        <v>0</v>
      </c>
      <c r="AC428" s="4">
        <v>3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98">
        <v>0</v>
      </c>
      <c r="AM428" s="4">
        <v>0</v>
      </c>
    </row>
    <row r="429" spans="1:39" ht="12.75">
      <c r="A429" s="22">
        <v>428</v>
      </c>
      <c r="B429" s="112">
        <v>46.09984</v>
      </c>
      <c r="C429" s="112">
        <v>-91.23432</v>
      </c>
      <c r="D429" s="4">
        <v>5</v>
      </c>
      <c r="E429" s="4" t="s">
        <v>480</v>
      </c>
      <c r="F429" s="101">
        <v>1</v>
      </c>
      <c r="G429" s="22">
        <v>1</v>
      </c>
      <c r="H429" s="83">
        <v>2</v>
      </c>
      <c r="I429" s="4">
        <v>2</v>
      </c>
      <c r="J429" s="24">
        <v>0</v>
      </c>
      <c r="K429" s="24">
        <v>0</v>
      </c>
      <c r="L429" s="24">
        <v>2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2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98">
        <v>0</v>
      </c>
      <c r="AM429" s="4">
        <v>0</v>
      </c>
    </row>
    <row r="430" spans="1:39" ht="12.75">
      <c r="A430" s="22">
        <v>429</v>
      </c>
      <c r="B430" s="112">
        <v>46.09985</v>
      </c>
      <c r="C430" s="112">
        <v>-91.23371</v>
      </c>
      <c r="D430" s="4">
        <v>6.5</v>
      </c>
      <c r="E430" s="4" t="s">
        <v>480</v>
      </c>
      <c r="F430" s="101">
        <v>1</v>
      </c>
      <c r="G430" s="22">
        <v>1</v>
      </c>
      <c r="H430" s="83">
        <v>5</v>
      </c>
      <c r="I430" s="4">
        <v>2</v>
      </c>
      <c r="J430" s="24">
        <v>0</v>
      </c>
      <c r="K430" s="24">
        <v>0</v>
      </c>
      <c r="L430" s="2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1</v>
      </c>
      <c r="U430" s="4">
        <v>0</v>
      </c>
      <c r="V430" s="4">
        <v>0</v>
      </c>
      <c r="W430" s="4">
        <v>0</v>
      </c>
      <c r="X430" s="4">
        <v>0</v>
      </c>
      <c r="Y430" s="4">
        <v>2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1</v>
      </c>
      <c r="AF430" s="4">
        <v>0</v>
      </c>
      <c r="AG430" s="4">
        <v>1</v>
      </c>
      <c r="AH430" s="4">
        <v>0</v>
      </c>
      <c r="AI430" s="4">
        <v>0</v>
      </c>
      <c r="AJ430" s="4">
        <v>0</v>
      </c>
      <c r="AK430" s="4">
        <v>1</v>
      </c>
      <c r="AL430" s="98">
        <v>0</v>
      </c>
      <c r="AM430" s="4">
        <v>0</v>
      </c>
    </row>
    <row r="431" spans="1:39" ht="12.75">
      <c r="A431" s="22">
        <v>430</v>
      </c>
      <c r="B431" s="112">
        <v>46.09985</v>
      </c>
      <c r="C431" s="112">
        <v>-91.23311</v>
      </c>
      <c r="D431" s="4">
        <v>7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98">
        <v>0</v>
      </c>
      <c r="AM431" s="4">
        <v>0</v>
      </c>
    </row>
    <row r="432" spans="1:39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1</v>
      </c>
      <c r="I432" s="4">
        <v>1</v>
      </c>
      <c r="J432" s="24">
        <v>0</v>
      </c>
      <c r="K432" s="24">
        <v>0</v>
      </c>
      <c r="L432" s="2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</v>
      </c>
      <c r="U432" s="4">
        <v>0</v>
      </c>
      <c r="V432" s="4">
        <v>0</v>
      </c>
      <c r="W432" s="4">
        <v>0</v>
      </c>
      <c r="X432" s="4">
        <v>0</v>
      </c>
      <c r="Y432" s="4">
        <v>4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98">
        <v>0</v>
      </c>
      <c r="AM432" s="4">
        <v>0</v>
      </c>
    </row>
    <row r="433" spans="1:39" ht="12.75">
      <c r="A433" s="22">
        <v>432</v>
      </c>
      <c r="B433" s="112">
        <v>46.09987</v>
      </c>
      <c r="C433" s="112">
        <v>-91.23189</v>
      </c>
      <c r="D433" s="4">
        <v>4</v>
      </c>
      <c r="E433" s="4" t="s">
        <v>481</v>
      </c>
      <c r="F433" s="101">
        <v>1</v>
      </c>
      <c r="G433" s="22">
        <v>1</v>
      </c>
      <c r="H433" s="83">
        <v>3</v>
      </c>
      <c r="I433" s="4">
        <v>1</v>
      </c>
      <c r="J433" s="24">
        <v>0</v>
      </c>
      <c r="K433" s="24">
        <v>0</v>
      </c>
      <c r="L433" s="2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1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1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98">
        <v>0</v>
      </c>
      <c r="AM433" s="4">
        <v>0</v>
      </c>
    </row>
    <row r="434" spans="1:39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2</v>
      </c>
      <c r="J434" s="24">
        <v>0</v>
      </c>
      <c r="K434" s="24">
        <v>0</v>
      </c>
      <c r="L434" s="2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2</v>
      </c>
      <c r="X434" s="4">
        <v>4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98">
        <v>0</v>
      </c>
      <c r="AM434" s="4">
        <v>0</v>
      </c>
    </row>
    <row r="435" spans="1:39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2</v>
      </c>
      <c r="I435" s="4">
        <v>3</v>
      </c>
      <c r="J435" s="24">
        <v>0</v>
      </c>
      <c r="K435" s="24">
        <v>0</v>
      </c>
      <c r="L435" s="24">
        <v>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3</v>
      </c>
      <c r="AK435" s="4">
        <v>0</v>
      </c>
      <c r="AL435" s="98">
        <v>0</v>
      </c>
      <c r="AM435" s="4">
        <v>0</v>
      </c>
    </row>
    <row r="436" spans="1:39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481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98">
        <v>0</v>
      </c>
      <c r="AM436" s="4">
        <v>0</v>
      </c>
    </row>
    <row r="437" spans="1:39" ht="12.75">
      <c r="A437" s="22">
        <v>436</v>
      </c>
      <c r="B437" s="112">
        <v>46.10025</v>
      </c>
      <c r="C437" s="112">
        <v>-91.23555</v>
      </c>
      <c r="D437" s="4">
        <v>5</v>
      </c>
      <c r="E437" s="4" t="s">
        <v>482</v>
      </c>
      <c r="F437" s="101">
        <v>1</v>
      </c>
      <c r="G437" s="22">
        <v>1</v>
      </c>
      <c r="H437" s="83">
        <v>3</v>
      </c>
      <c r="I437" s="4">
        <v>1</v>
      </c>
      <c r="J437" s="24">
        <v>0</v>
      </c>
      <c r="K437" s="24">
        <v>0</v>
      </c>
      <c r="L437" s="24">
        <v>1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1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1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98">
        <v>0</v>
      </c>
      <c r="AM437" s="4">
        <v>0</v>
      </c>
    </row>
    <row r="438" spans="1:39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1</v>
      </c>
      <c r="H438" s="83">
        <v>1</v>
      </c>
      <c r="I438" s="4">
        <v>1</v>
      </c>
      <c r="J438" s="24">
        <v>0</v>
      </c>
      <c r="K438" s="24">
        <v>0</v>
      </c>
      <c r="L438" s="2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1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98">
        <v>0</v>
      </c>
      <c r="AM438" s="4">
        <v>0</v>
      </c>
    </row>
    <row r="439" spans="1:39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98">
        <v>0</v>
      </c>
      <c r="AM439" s="4">
        <v>0</v>
      </c>
    </row>
    <row r="440" spans="1:39" ht="12.75">
      <c r="A440" s="22">
        <v>439</v>
      </c>
      <c r="B440" s="112">
        <v>46.10027</v>
      </c>
      <c r="C440" s="112">
        <v>-91.23372</v>
      </c>
      <c r="D440" s="4">
        <v>5.5</v>
      </c>
      <c r="E440" s="4" t="s">
        <v>480</v>
      </c>
      <c r="F440" s="101">
        <v>1</v>
      </c>
      <c r="G440" s="22">
        <v>0</v>
      </c>
      <c r="H440" s="83">
        <v>0</v>
      </c>
      <c r="I440" s="4">
        <v>0</v>
      </c>
      <c r="J440" s="24">
        <v>0</v>
      </c>
      <c r="K440" s="24">
        <v>0</v>
      </c>
      <c r="L440" s="2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98">
        <v>0</v>
      </c>
      <c r="AM440" s="4">
        <v>0</v>
      </c>
    </row>
    <row r="441" spans="1:39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0</v>
      </c>
      <c r="H441" s="83">
        <v>0</v>
      </c>
      <c r="I441" s="4">
        <v>0</v>
      </c>
      <c r="J441" s="24">
        <v>0</v>
      </c>
      <c r="K441" s="24">
        <v>0</v>
      </c>
      <c r="L441" s="2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4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98">
        <v>0</v>
      </c>
      <c r="AM441" s="4">
        <v>0</v>
      </c>
    </row>
    <row r="442" spans="1:39" ht="12.75">
      <c r="A442" s="22">
        <v>441</v>
      </c>
      <c r="B442" s="112">
        <v>46.10028</v>
      </c>
      <c r="C442" s="112">
        <v>-91.23251</v>
      </c>
      <c r="D442" s="4">
        <v>6.5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98">
        <v>0</v>
      </c>
      <c r="AM442" s="4">
        <v>0</v>
      </c>
    </row>
    <row r="443" spans="1:39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4">
        <v>0</v>
      </c>
      <c r="N443" s="4">
        <v>0</v>
      </c>
      <c r="O443" s="4">
        <v>0</v>
      </c>
      <c r="P443" s="4">
        <v>1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98">
        <v>0</v>
      </c>
      <c r="AM443" s="4">
        <v>0</v>
      </c>
    </row>
    <row r="444" spans="1:39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4</v>
      </c>
      <c r="I444" s="4">
        <v>3</v>
      </c>
      <c r="J444" s="24">
        <v>0</v>
      </c>
      <c r="K444" s="24">
        <v>0</v>
      </c>
      <c r="L444" s="24">
        <v>2</v>
      </c>
      <c r="M444" s="4">
        <v>0</v>
      </c>
      <c r="N444" s="4">
        <v>1</v>
      </c>
      <c r="O444" s="4">
        <v>0</v>
      </c>
      <c r="P444" s="4">
        <v>0</v>
      </c>
      <c r="Q444" s="4">
        <v>2</v>
      </c>
      <c r="R444" s="4">
        <v>0</v>
      </c>
      <c r="S444" s="4">
        <v>2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98">
        <v>0</v>
      </c>
      <c r="AM444" s="4">
        <v>0</v>
      </c>
    </row>
    <row r="445" spans="1:39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98">
        <v>0</v>
      </c>
      <c r="AM445" s="4">
        <v>0</v>
      </c>
    </row>
    <row r="446" spans="1:39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98">
        <v>0</v>
      </c>
      <c r="AM446" s="4">
        <v>0</v>
      </c>
    </row>
    <row r="447" spans="1:39" ht="12.75">
      <c r="A447" s="22">
        <v>446</v>
      </c>
      <c r="B447" s="112">
        <v>46.10069</v>
      </c>
      <c r="C447" s="112">
        <v>-91.23434</v>
      </c>
      <c r="D447" s="4">
        <v>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98">
        <v>0</v>
      </c>
      <c r="AM447" s="4">
        <v>0</v>
      </c>
    </row>
    <row r="448" spans="1:39" ht="12.75">
      <c r="A448" s="22">
        <v>447</v>
      </c>
      <c r="B448" s="112">
        <v>46.10069</v>
      </c>
      <c r="C448" s="112">
        <v>-91.23373</v>
      </c>
      <c r="D448" s="4">
        <v>5.5</v>
      </c>
      <c r="E448" s="4" t="s">
        <v>480</v>
      </c>
      <c r="F448" s="101">
        <v>1</v>
      </c>
      <c r="G448" s="22">
        <v>0</v>
      </c>
      <c r="H448" s="83">
        <v>0</v>
      </c>
      <c r="I448" s="4">
        <v>0</v>
      </c>
      <c r="J448" s="24">
        <v>0</v>
      </c>
      <c r="K448" s="24">
        <v>0</v>
      </c>
      <c r="L448" s="2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4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98">
        <v>0</v>
      </c>
      <c r="AM448" s="4">
        <v>0</v>
      </c>
    </row>
    <row r="449" spans="1:39" ht="12.75">
      <c r="A449" s="22">
        <v>448</v>
      </c>
      <c r="B449" s="112">
        <v>46.1007</v>
      </c>
      <c r="C449" s="112">
        <v>-91.23312</v>
      </c>
      <c r="D449" s="4">
        <v>6</v>
      </c>
      <c r="E449" s="4" t="s">
        <v>480</v>
      </c>
      <c r="F449" s="101">
        <v>1</v>
      </c>
      <c r="G449" s="22">
        <v>0</v>
      </c>
      <c r="H449" s="83">
        <v>0</v>
      </c>
      <c r="I449" s="4">
        <v>0</v>
      </c>
      <c r="J449" s="24">
        <v>0</v>
      </c>
      <c r="K449" s="24">
        <v>0</v>
      </c>
      <c r="L449" s="2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98">
        <v>0</v>
      </c>
      <c r="AM449" s="4">
        <v>0</v>
      </c>
    </row>
    <row r="450" spans="1:39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482</v>
      </c>
      <c r="F450" s="101">
        <v>1</v>
      </c>
      <c r="G450" s="22">
        <v>1</v>
      </c>
      <c r="H450" s="83">
        <v>2</v>
      </c>
      <c r="I450" s="4">
        <v>2</v>
      </c>
      <c r="J450" s="24">
        <v>0</v>
      </c>
      <c r="K450" s="24">
        <v>0</v>
      </c>
      <c r="L450" s="2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2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4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2</v>
      </c>
      <c r="AK450" s="4">
        <v>0</v>
      </c>
      <c r="AL450" s="98">
        <v>0</v>
      </c>
      <c r="AM450" s="4">
        <v>0</v>
      </c>
    </row>
    <row r="451" spans="1:39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0</v>
      </c>
      <c r="H451" s="83">
        <v>0</v>
      </c>
      <c r="I451" s="4">
        <v>0</v>
      </c>
      <c r="J451" s="24">
        <v>0</v>
      </c>
      <c r="K451" s="24">
        <v>4</v>
      </c>
      <c r="L451" s="2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4</v>
      </c>
      <c r="AH451" s="4">
        <v>0</v>
      </c>
      <c r="AI451" s="4">
        <v>0</v>
      </c>
      <c r="AJ451" s="4">
        <v>0</v>
      </c>
      <c r="AK451" s="4">
        <v>0</v>
      </c>
      <c r="AL451" s="98">
        <v>0</v>
      </c>
      <c r="AM451" s="4">
        <v>0</v>
      </c>
    </row>
    <row r="452" spans="1:39" ht="12.75">
      <c r="A452" s="22">
        <v>451</v>
      </c>
      <c r="B452" s="112">
        <v>46.1011</v>
      </c>
      <c r="C452" s="112">
        <v>-91.23496</v>
      </c>
      <c r="D452" s="4">
        <v>2</v>
      </c>
      <c r="E452" s="4" t="s">
        <v>481</v>
      </c>
      <c r="F452" s="101">
        <v>1</v>
      </c>
      <c r="G452" s="22">
        <v>1</v>
      </c>
      <c r="H452" s="83">
        <v>5</v>
      </c>
      <c r="I452" s="4">
        <v>2</v>
      </c>
      <c r="J452" s="24">
        <v>0</v>
      </c>
      <c r="K452" s="24">
        <v>0</v>
      </c>
      <c r="L452" s="24">
        <v>1</v>
      </c>
      <c r="M452" s="4">
        <v>0</v>
      </c>
      <c r="N452" s="4">
        <v>0</v>
      </c>
      <c r="O452" s="4">
        <v>0</v>
      </c>
      <c r="P452" s="4">
        <v>2</v>
      </c>
      <c r="Q452" s="4">
        <v>0</v>
      </c>
      <c r="R452" s="4">
        <v>0</v>
      </c>
      <c r="S452" s="4">
        <v>1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1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4</v>
      </c>
      <c r="AJ452" s="4">
        <v>2</v>
      </c>
      <c r="AK452" s="4">
        <v>0</v>
      </c>
      <c r="AL452" s="98">
        <v>0</v>
      </c>
      <c r="AM452" s="4">
        <v>0</v>
      </c>
    </row>
    <row r="453" spans="1:39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2</v>
      </c>
      <c r="I453" s="4">
        <v>1</v>
      </c>
      <c r="J453" s="24">
        <v>0</v>
      </c>
      <c r="K453" s="24">
        <v>0</v>
      </c>
      <c r="L453" s="2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4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0</v>
      </c>
      <c r="AD453" s="4">
        <v>0</v>
      </c>
      <c r="AE453" s="4">
        <v>0</v>
      </c>
      <c r="AF453" s="4">
        <v>0</v>
      </c>
      <c r="AG453" s="4">
        <v>1</v>
      </c>
      <c r="AH453" s="4">
        <v>0</v>
      </c>
      <c r="AI453" s="4">
        <v>0</v>
      </c>
      <c r="AJ453" s="4">
        <v>0</v>
      </c>
      <c r="AK453" s="4">
        <v>0</v>
      </c>
      <c r="AL453" s="98">
        <v>0</v>
      </c>
      <c r="AM453" s="4">
        <v>0</v>
      </c>
    </row>
    <row r="454" spans="1:39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98">
        <v>0</v>
      </c>
      <c r="AM454" s="4">
        <v>0</v>
      </c>
    </row>
    <row r="455" spans="1:39" ht="12.75">
      <c r="A455" s="22">
        <v>454</v>
      </c>
      <c r="B455" s="112">
        <v>46.10153</v>
      </c>
      <c r="C455" s="112">
        <v>-91.23436</v>
      </c>
      <c r="D455" s="4">
        <v>3</v>
      </c>
      <c r="E455" s="4" t="s">
        <v>480</v>
      </c>
      <c r="F455" s="101">
        <v>1</v>
      </c>
      <c r="G455" s="22">
        <v>1</v>
      </c>
      <c r="H455" s="83">
        <v>3</v>
      </c>
      <c r="I455" s="4">
        <v>3</v>
      </c>
      <c r="J455" s="24">
        <v>0</v>
      </c>
      <c r="K455" s="24">
        <v>2</v>
      </c>
      <c r="L455" s="2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3</v>
      </c>
      <c r="AI455" s="4">
        <v>0</v>
      </c>
      <c r="AJ455" s="4">
        <v>0</v>
      </c>
      <c r="AK455" s="4">
        <v>0</v>
      </c>
      <c r="AL455" s="98">
        <v>0</v>
      </c>
      <c r="AM455" s="4">
        <v>0</v>
      </c>
    </row>
    <row r="456" spans="1:39" ht="12.75">
      <c r="A456" s="24">
        <v>454</v>
      </c>
      <c r="B456" s="24">
        <v>454</v>
      </c>
      <c r="C456" s="24">
        <v>454</v>
      </c>
      <c r="D456" s="24">
        <v>454</v>
      </c>
      <c r="E456" s="24">
        <v>453</v>
      </c>
      <c r="G456" s="24">
        <v>454</v>
      </c>
      <c r="I456" s="24">
        <v>454</v>
      </c>
      <c r="J456" s="24">
        <v>1</v>
      </c>
      <c r="K456" s="24">
        <v>20</v>
      </c>
      <c r="L456" s="24">
        <v>35</v>
      </c>
      <c r="M456" s="24">
        <v>1</v>
      </c>
      <c r="N456" s="24">
        <v>5</v>
      </c>
      <c r="O456" s="24">
        <v>1</v>
      </c>
      <c r="P456" s="24">
        <v>9</v>
      </c>
      <c r="Q456" s="24">
        <v>6</v>
      </c>
      <c r="R456" s="24">
        <v>1</v>
      </c>
      <c r="S456" s="24">
        <v>13</v>
      </c>
      <c r="T456" s="24">
        <v>80</v>
      </c>
      <c r="U456" s="24">
        <v>23</v>
      </c>
      <c r="V456" s="24">
        <v>5</v>
      </c>
      <c r="W456" s="24">
        <v>41</v>
      </c>
      <c r="X456" s="24">
        <v>5</v>
      </c>
      <c r="Y456" s="24">
        <v>72</v>
      </c>
      <c r="Z456" s="24">
        <v>33</v>
      </c>
      <c r="AA456" s="24">
        <v>5</v>
      </c>
      <c r="AB456" s="24">
        <v>6</v>
      </c>
      <c r="AC456" s="24">
        <v>34</v>
      </c>
      <c r="AD456" s="24">
        <v>1</v>
      </c>
      <c r="AE456" s="24">
        <v>67</v>
      </c>
      <c r="AF456" s="24">
        <v>1</v>
      </c>
      <c r="AG456" s="24">
        <v>43</v>
      </c>
      <c r="AH456" s="24">
        <v>4</v>
      </c>
      <c r="AI456" s="24">
        <v>3</v>
      </c>
      <c r="AJ456" s="24">
        <v>7</v>
      </c>
      <c r="AK456" s="24">
        <v>9</v>
      </c>
      <c r="AL456" s="24">
        <v>1</v>
      </c>
      <c r="AM456" s="24">
        <v>1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AM457:AM65536 L457:AK65536">
      <formula1>1</formula1>
      <formula2>1</formula2>
    </dataValidation>
    <dataValidation type="list" allowBlank="1" showInputMessage="1" showErrorMessage="1" sqref="AL457:AL65536 I457:K65536 I1 K1">
      <formula1>"V,v,1,2,3"</formula1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decimal" allowBlank="1" showInputMessage="1" showErrorMessage="1" error="Is your depth really more than 99 feet?" sqref="D457:D65536 D2:D348 D350:D455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AM348 J350:AM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6">
      <selection activeCell="A12" sqref="A12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552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99" t="s">
        <v>315</v>
      </c>
      <c r="B9" s="200" t="s">
        <v>116</v>
      </c>
      <c r="C9" s="161">
        <v>8</v>
      </c>
      <c r="D9" s="162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2">
        <v>1</v>
      </c>
      <c r="E10" s="163">
        <v>6</v>
      </c>
    </row>
    <row r="11" spans="1:5" ht="14.25" customHeight="1">
      <c r="A11" s="167" t="s">
        <v>575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83</v>
      </c>
      <c r="B12" s="165" t="s">
        <v>84</v>
      </c>
      <c r="C12" s="170">
        <v>5</v>
      </c>
      <c r="D12" s="168">
        <v>1</v>
      </c>
      <c r="E12" s="163">
        <v>5</v>
      </c>
    </row>
    <row r="13" spans="1:5" ht="14.25" customHeight="1">
      <c r="A13" s="167" t="s">
        <v>86</v>
      </c>
      <c r="B13" s="165" t="s">
        <v>87</v>
      </c>
      <c r="C13" s="170">
        <v>6</v>
      </c>
      <c r="D13" s="168">
        <v>1</v>
      </c>
      <c r="E13" s="163">
        <v>6</v>
      </c>
    </row>
    <row r="14" spans="1:5" ht="14.25" customHeight="1">
      <c r="A14" s="167" t="s">
        <v>94</v>
      </c>
      <c r="B14" s="165" t="s">
        <v>95</v>
      </c>
      <c r="C14" s="170">
        <v>9</v>
      </c>
      <c r="D14" s="168">
        <v>1</v>
      </c>
      <c r="E14" s="163">
        <v>9</v>
      </c>
    </row>
    <row r="15" spans="1:5" ht="14.25" customHeight="1">
      <c r="A15" s="167" t="s">
        <v>263</v>
      </c>
      <c r="B15" s="165" t="s">
        <v>104</v>
      </c>
      <c r="C15" s="170">
        <v>8</v>
      </c>
      <c r="D15" s="168">
        <v>1</v>
      </c>
      <c r="E15" s="163">
        <v>8</v>
      </c>
    </row>
    <row r="16" spans="1:5" ht="14.25" customHeight="1">
      <c r="A16" s="164" t="s">
        <v>267</v>
      </c>
      <c r="B16" s="165" t="s">
        <v>123</v>
      </c>
      <c r="C16" s="166">
        <v>6</v>
      </c>
      <c r="D16" s="168">
        <v>1</v>
      </c>
      <c r="E16" s="163">
        <v>6</v>
      </c>
    </row>
    <row r="17" spans="1:5" ht="14.25" customHeight="1">
      <c r="A17" s="167" t="s">
        <v>124</v>
      </c>
      <c r="B17" s="165" t="s">
        <v>125</v>
      </c>
      <c r="C17" s="170">
        <v>10</v>
      </c>
      <c r="D17" s="168">
        <v>1</v>
      </c>
      <c r="E17" s="163">
        <v>10</v>
      </c>
    </row>
    <row r="18" spans="1:5" ht="14.25" customHeight="1">
      <c r="A18" s="167" t="s">
        <v>128</v>
      </c>
      <c r="B18" s="165" t="s">
        <v>302</v>
      </c>
      <c r="C18" s="170">
        <v>6</v>
      </c>
      <c r="D18" s="168">
        <v>1</v>
      </c>
      <c r="E18" s="163">
        <v>6</v>
      </c>
    </row>
    <row r="19" spans="1:5" ht="14.25" customHeight="1">
      <c r="A19" s="167" t="s">
        <v>130</v>
      </c>
      <c r="B19" s="171" t="s">
        <v>300</v>
      </c>
      <c r="C19" s="170">
        <v>8</v>
      </c>
      <c r="D19" s="168">
        <v>1</v>
      </c>
      <c r="E19" s="163">
        <v>8</v>
      </c>
    </row>
    <row r="20" spans="1:5" ht="14.25" customHeight="1">
      <c r="A20" s="167" t="s">
        <v>138</v>
      </c>
      <c r="B20" s="165" t="s">
        <v>139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140</v>
      </c>
      <c r="B21" s="165" t="s">
        <v>141</v>
      </c>
      <c r="C21" s="170">
        <v>6</v>
      </c>
      <c r="D21" s="168">
        <v>1</v>
      </c>
      <c r="E21" s="163">
        <v>6</v>
      </c>
    </row>
    <row r="22" spans="1:5" ht="14.25" customHeight="1">
      <c r="A22" s="167" t="s">
        <v>148</v>
      </c>
      <c r="B22" s="165" t="s">
        <v>149</v>
      </c>
      <c r="C22" s="170">
        <v>8</v>
      </c>
      <c r="D22" s="168">
        <v>1</v>
      </c>
      <c r="E22" s="163">
        <v>8</v>
      </c>
    </row>
    <row r="23" spans="1:5" ht="14.25" customHeight="1">
      <c r="A23" s="167" t="s">
        <v>152</v>
      </c>
      <c r="B23" s="165" t="s">
        <v>153</v>
      </c>
      <c r="C23" s="170">
        <v>7</v>
      </c>
      <c r="D23" s="168">
        <v>1</v>
      </c>
      <c r="E23" s="163">
        <v>7</v>
      </c>
    </row>
    <row r="24" spans="1:5" ht="14.25" customHeight="1">
      <c r="A24" s="167" t="s">
        <v>162</v>
      </c>
      <c r="B24" s="165" t="s">
        <v>279</v>
      </c>
      <c r="C24" s="170">
        <v>7</v>
      </c>
      <c r="D24" s="168">
        <v>1</v>
      </c>
      <c r="E24" s="163">
        <v>7</v>
      </c>
    </row>
    <row r="25" spans="1:5" ht="14.25" customHeight="1">
      <c r="A25" s="164" t="s">
        <v>165</v>
      </c>
      <c r="B25" s="165" t="s">
        <v>166</v>
      </c>
      <c r="C25" s="166">
        <v>6</v>
      </c>
      <c r="D25" s="168">
        <v>1</v>
      </c>
      <c r="E25" s="163">
        <v>6</v>
      </c>
    </row>
    <row r="26" spans="1:5" ht="14.25" customHeight="1">
      <c r="A26" s="167" t="s">
        <v>167</v>
      </c>
      <c r="B26" s="165" t="s">
        <v>287</v>
      </c>
      <c r="C26" s="170">
        <v>5</v>
      </c>
      <c r="D26" s="168">
        <v>1</v>
      </c>
      <c r="E26" s="163">
        <v>5</v>
      </c>
    </row>
    <row r="27" spans="1:5" ht="14.25" customHeight="1">
      <c r="A27" s="167" t="s">
        <v>262</v>
      </c>
      <c r="B27" s="165" t="s">
        <v>173</v>
      </c>
      <c r="C27" s="170">
        <v>8</v>
      </c>
      <c r="D27" s="168">
        <v>1</v>
      </c>
      <c r="E27" s="163">
        <v>8</v>
      </c>
    </row>
    <row r="28" spans="1:5" ht="14.25" customHeight="1">
      <c r="A28" s="167" t="s">
        <v>176</v>
      </c>
      <c r="B28" s="165" t="s">
        <v>177</v>
      </c>
      <c r="C28" s="170">
        <v>7</v>
      </c>
      <c r="D28" s="168">
        <v>1</v>
      </c>
      <c r="E28" s="163">
        <v>7</v>
      </c>
    </row>
    <row r="29" spans="1:5" ht="14.25" customHeight="1">
      <c r="A29" s="167" t="s">
        <v>180</v>
      </c>
      <c r="B29" s="165" t="s">
        <v>305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187</v>
      </c>
      <c r="B30" s="165" t="s">
        <v>188</v>
      </c>
      <c r="C30" s="170">
        <v>6</v>
      </c>
      <c r="D30" s="168">
        <v>1</v>
      </c>
      <c r="E30" s="163">
        <v>6</v>
      </c>
    </row>
    <row r="31" spans="1:5" ht="14.25" customHeight="1">
      <c r="A31" s="164" t="s">
        <v>466</v>
      </c>
      <c r="B31" s="165" t="s">
        <v>467</v>
      </c>
      <c r="C31" s="166">
        <v>9</v>
      </c>
      <c r="D31" s="168">
        <v>1</v>
      </c>
      <c r="E31" s="163">
        <v>9</v>
      </c>
    </row>
    <row r="32" spans="1:5" ht="14.25" customHeight="1">
      <c r="A32" s="167" t="s">
        <v>208</v>
      </c>
      <c r="B32" s="165" t="s">
        <v>209</v>
      </c>
      <c r="C32" s="170">
        <v>9</v>
      </c>
      <c r="D32" s="168">
        <v>1</v>
      </c>
      <c r="E32" s="163">
        <v>9</v>
      </c>
    </row>
    <row r="33" spans="1:5" ht="14.25" customHeight="1">
      <c r="A33" s="167" t="s">
        <v>216</v>
      </c>
      <c r="B33" s="174" t="s">
        <v>217</v>
      </c>
      <c r="C33" s="170">
        <v>9</v>
      </c>
      <c r="D33" s="168">
        <v>1</v>
      </c>
      <c r="E33" s="163">
        <v>9</v>
      </c>
    </row>
    <row r="34" spans="1:5" ht="14.25" customHeight="1">
      <c r="A34" s="167" t="s">
        <v>245</v>
      </c>
      <c r="B34" s="165" t="s">
        <v>246</v>
      </c>
      <c r="C34" s="170">
        <v>9</v>
      </c>
      <c r="D34" s="168">
        <v>1</v>
      </c>
      <c r="E34" s="163">
        <v>9</v>
      </c>
    </row>
    <row r="35" spans="1:5" ht="14.25" customHeight="1">
      <c r="A35" s="167" t="s">
        <v>249</v>
      </c>
      <c r="B35" s="165" t="s">
        <v>250</v>
      </c>
      <c r="C35" s="170">
        <v>6</v>
      </c>
      <c r="D35" s="168">
        <v>1</v>
      </c>
      <c r="E35" s="163">
        <v>6</v>
      </c>
    </row>
    <row r="36" spans="1:5" ht="14.25" customHeight="1">
      <c r="A36" s="183"/>
      <c r="B36" s="183"/>
      <c r="C36" s="184"/>
      <c r="D36" s="185"/>
      <c r="E36" s="186"/>
    </row>
    <row r="37" spans="1:5" ht="14.25" customHeight="1">
      <c r="A37" s="187" t="s">
        <v>257</v>
      </c>
      <c r="B37" s="183"/>
      <c r="C37" s="140"/>
      <c r="D37" s="188">
        <v>27</v>
      </c>
      <c r="E37" s="189"/>
    </row>
    <row r="38" spans="1:5" ht="14.25" customHeight="1" thickBot="1">
      <c r="A38" s="187" t="s">
        <v>258</v>
      </c>
      <c r="B38" s="183"/>
      <c r="C38" s="190"/>
      <c r="D38" s="140"/>
      <c r="E38" s="191">
        <v>7.222222222222222</v>
      </c>
    </row>
    <row r="39" spans="1:5" ht="14.25" customHeight="1" thickBot="1">
      <c r="A39" s="192" t="s">
        <v>270</v>
      </c>
      <c r="B39" s="193"/>
      <c r="C39" s="194"/>
      <c r="D39" s="195"/>
      <c r="E39" s="196">
        <v>37.52776749732568</v>
      </c>
    </row>
    <row r="40" ht="14.25" customHeight="1"/>
    <row r="41" spans="1:3" ht="14.25" customHeight="1">
      <c r="A41" s="197"/>
      <c r="B41" s="197"/>
      <c r="C41" s="198"/>
    </row>
    <row r="42" spans="1:5" ht="14.25" customHeight="1">
      <c r="A42" s="258" t="s">
        <v>573</v>
      </c>
      <c r="B42" s="258"/>
      <c r="C42" s="258"/>
      <c r="D42" s="258"/>
      <c r="E42" s="258"/>
    </row>
    <row r="43" spans="1:3" ht="14.25" customHeight="1">
      <c r="A43" s="197"/>
      <c r="B43" s="197"/>
      <c r="C43" s="198"/>
    </row>
    <row r="44" spans="1:5" ht="14.25" customHeight="1">
      <c r="A44" s="258" t="s">
        <v>574</v>
      </c>
      <c r="B44" s="258"/>
      <c r="C44" s="258"/>
      <c r="D44" s="258"/>
      <c r="E44" s="258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78" customFormat="1" ht="14.25" customHeight="1">
      <c r="A113" s="125"/>
      <c r="B113" s="125"/>
      <c r="C113" s="125"/>
      <c r="D113" s="125"/>
      <c r="E113" s="125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35" name="number of species"/>
  </protectedRanges>
  <mergeCells count="2">
    <mergeCell ref="A42:E42"/>
    <mergeCell ref="A44:E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6">
      <selection activeCell="A1" sqref="A1:IV16384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479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>
      <c r="A9" s="167" t="s">
        <v>315</v>
      </c>
      <c r="B9" s="165" t="s">
        <v>116</v>
      </c>
      <c r="C9" s="166">
        <v>8</v>
      </c>
      <c r="D9" s="168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8">
        <v>1</v>
      </c>
      <c r="E10" s="163">
        <v>6</v>
      </c>
    </row>
    <row r="11" spans="1:5" ht="14.25" customHeight="1">
      <c r="A11" s="167" t="s">
        <v>273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78</v>
      </c>
      <c r="B12" s="172" t="s">
        <v>79</v>
      </c>
      <c r="C12" s="170">
        <v>9</v>
      </c>
      <c r="D12" s="168">
        <v>1</v>
      </c>
      <c r="E12" s="163">
        <v>9</v>
      </c>
    </row>
    <row r="13" spans="1:5" ht="14.25" customHeight="1">
      <c r="A13" s="167" t="s">
        <v>80</v>
      </c>
      <c r="B13" s="165" t="s">
        <v>81</v>
      </c>
      <c r="C13" s="170">
        <v>9</v>
      </c>
      <c r="D13" s="168">
        <v>1</v>
      </c>
      <c r="E13" s="163">
        <v>9</v>
      </c>
    </row>
    <row r="14" spans="1:5" ht="14.25" customHeight="1">
      <c r="A14" s="167" t="s">
        <v>83</v>
      </c>
      <c r="B14" s="165" t="s">
        <v>84</v>
      </c>
      <c r="C14" s="170">
        <v>5</v>
      </c>
      <c r="D14" s="168">
        <v>1</v>
      </c>
      <c r="E14" s="163">
        <v>5</v>
      </c>
    </row>
    <row r="15" spans="1:5" ht="14.25" customHeight="1">
      <c r="A15" s="167" t="s">
        <v>86</v>
      </c>
      <c r="B15" s="165" t="s">
        <v>87</v>
      </c>
      <c r="C15" s="170">
        <v>6</v>
      </c>
      <c r="D15" s="168">
        <v>1</v>
      </c>
      <c r="E15" s="163">
        <v>6</v>
      </c>
    </row>
    <row r="16" spans="1:5" s="178" customFormat="1" ht="14.25" customHeight="1">
      <c r="A16" s="167" t="s">
        <v>88</v>
      </c>
      <c r="B16" s="165" t="s">
        <v>89</v>
      </c>
      <c r="C16" s="170">
        <v>3</v>
      </c>
      <c r="D16" s="168">
        <v>1</v>
      </c>
      <c r="E16" s="163">
        <v>3</v>
      </c>
    </row>
    <row r="17" spans="1:5" ht="14.25" customHeight="1">
      <c r="A17" s="167" t="s">
        <v>94</v>
      </c>
      <c r="B17" s="165" t="s">
        <v>95</v>
      </c>
      <c r="C17" s="170">
        <v>9</v>
      </c>
      <c r="D17" s="168">
        <v>1</v>
      </c>
      <c r="E17" s="163">
        <v>9</v>
      </c>
    </row>
    <row r="18" spans="1:5" ht="14.25" customHeight="1">
      <c r="A18" s="167" t="s">
        <v>263</v>
      </c>
      <c r="B18" s="165" t="s">
        <v>104</v>
      </c>
      <c r="C18" s="170">
        <v>8</v>
      </c>
      <c r="D18" s="168">
        <v>1</v>
      </c>
      <c r="E18" s="163">
        <v>8</v>
      </c>
    </row>
    <row r="19" spans="1:5" ht="14.25" customHeight="1">
      <c r="A19" s="167" t="s">
        <v>124</v>
      </c>
      <c r="B19" s="165" t="s">
        <v>125</v>
      </c>
      <c r="C19" s="170">
        <v>10</v>
      </c>
      <c r="D19" s="168">
        <v>1</v>
      </c>
      <c r="E19" s="163">
        <v>10</v>
      </c>
    </row>
    <row r="20" spans="1:5" ht="14.25" customHeight="1">
      <c r="A20" s="167" t="s">
        <v>128</v>
      </c>
      <c r="B20" s="165" t="s">
        <v>302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130</v>
      </c>
      <c r="B21" s="171" t="s">
        <v>300</v>
      </c>
      <c r="C21" s="170">
        <v>8</v>
      </c>
      <c r="D21" s="168">
        <v>1</v>
      </c>
      <c r="E21" s="163">
        <v>8</v>
      </c>
    </row>
    <row r="22" spans="1:5" ht="14.25" customHeight="1">
      <c r="A22" s="167" t="s">
        <v>138</v>
      </c>
      <c r="B22" s="165" t="s">
        <v>139</v>
      </c>
      <c r="C22" s="170">
        <v>6</v>
      </c>
      <c r="D22" s="168">
        <v>1</v>
      </c>
      <c r="E22" s="163">
        <v>6</v>
      </c>
    </row>
    <row r="23" spans="1:5" ht="14.25" customHeight="1">
      <c r="A23" s="167" t="s">
        <v>140</v>
      </c>
      <c r="B23" s="165" t="s">
        <v>141</v>
      </c>
      <c r="C23" s="170">
        <v>6</v>
      </c>
      <c r="D23" s="168">
        <v>1</v>
      </c>
      <c r="E23" s="163">
        <v>6</v>
      </c>
    </row>
    <row r="24" spans="1:5" ht="14.25" customHeight="1">
      <c r="A24" s="167" t="s">
        <v>148</v>
      </c>
      <c r="B24" s="165" t="s">
        <v>149</v>
      </c>
      <c r="C24" s="170">
        <v>8</v>
      </c>
      <c r="D24" s="168">
        <v>1</v>
      </c>
      <c r="E24" s="163">
        <v>8</v>
      </c>
    </row>
    <row r="25" spans="1:5" ht="14.25" customHeight="1">
      <c r="A25" s="167" t="s">
        <v>152</v>
      </c>
      <c r="B25" s="165" t="s">
        <v>153</v>
      </c>
      <c r="C25" s="170">
        <v>7</v>
      </c>
      <c r="D25" s="168">
        <v>1</v>
      </c>
      <c r="E25" s="163">
        <v>7</v>
      </c>
    </row>
    <row r="26" spans="1:5" ht="14.25" customHeight="1">
      <c r="A26" s="167" t="s">
        <v>162</v>
      </c>
      <c r="B26" s="165" t="s">
        <v>279</v>
      </c>
      <c r="C26" s="170">
        <v>7</v>
      </c>
      <c r="D26" s="168">
        <v>1</v>
      </c>
      <c r="E26" s="163">
        <v>7</v>
      </c>
    </row>
    <row r="27" spans="1:5" ht="14.25" customHeight="1">
      <c r="A27" s="164" t="s">
        <v>165</v>
      </c>
      <c r="B27" s="165" t="s">
        <v>166</v>
      </c>
      <c r="C27" s="166">
        <v>6</v>
      </c>
      <c r="D27" s="168">
        <v>1</v>
      </c>
      <c r="E27" s="163">
        <v>6</v>
      </c>
    </row>
    <row r="28" spans="1:5" ht="14.25" customHeight="1">
      <c r="A28" s="167" t="s">
        <v>167</v>
      </c>
      <c r="B28" s="165" t="s">
        <v>287</v>
      </c>
      <c r="C28" s="170">
        <v>5</v>
      </c>
      <c r="D28" s="168">
        <v>1</v>
      </c>
      <c r="E28" s="163">
        <v>5</v>
      </c>
    </row>
    <row r="29" spans="1:5" ht="14.25" customHeight="1">
      <c r="A29" s="167" t="s">
        <v>262</v>
      </c>
      <c r="B29" s="165" t="s">
        <v>173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178</v>
      </c>
      <c r="B30" s="165" t="s">
        <v>179</v>
      </c>
      <c r="C30" s="170">
        <v>5</v>
      </c>
      <c r="D30" s="168">
        <v>1</v>
      </c>
      <c r="E30" s="163">
        <v>5</v>
      </c>
    </row>
    <row r="31" spans="1:5" ht="14.25" customHeight="1">
      <c r="A31" s="167" t="s">
        <v>180</v>
      </c>
      <c r="B31" s="165" t="s">
        <v>305</v>
      </c>
      <c r="C31" s="170">
        <v>8</v>
      </c>
      <c r="D31" s="168">
        <v>1</v>
      </c>
      <c r="E31" s="163">
        <v>8</v>
      </c>
    </row>
    <row r="32" spans="1:5" ht="14.25" customHeight="1">
      <c r="A32" s="167" t="s">
        <v>187</v>
      </c>
      <c r="B32" s="165" t="s">
        <v>188</v>
      </c>
      <c r="C32" s="170">
        <v>6</v>
      </c>
      <c r="D32" s="168">
        <v>1</v>
      </c>
      <c r="E32" s="163">
        <v>6</v>
      </c>
    </row>
    <row r="33" spans="1:5" ht="14.25" customHeight="1">
      <c r="A33" s="167" t="s">
        <v>191</v>
      </c>
      <c r="B33" s="165" t="s">
        <v>192</v>
      </c>
      <c r="C33" s="170">
        <v>9</v>
      </c>
      <c r="D33" s="168">
        <v>1</v>
      </c>
      <c r="E33" s="163">
        <v>9</v>
      </c>
    </row>
    <row r="34" spans="1:5" ht="14.25" customHeight="1">
      <c r="A34" s="164" t="s">
        <v>466</v>
      </c>
      <c r="B34" s="165" t="s">
        <v>467</v>
      </c>
      <c r="C34" s="166">
        <v>9</v>
      </c>
      <c r="D34" s="168">
        <v>1</v>
      </c>
      <c r="E34" s="163">
        <v>9</v>
      </c>
    </row>
    <row r="35" spans="1:5" ht="14.25" customHeight="1">
      <c r="A35" s="167" t="s">
        <v>208</v>
      </c>
      <c r="B35" s="165" t="s">
        <v>209</v>
      </c>
      <c r="C35" s="170">
        <v>9</v>
      </c>
      <c r="D35" s="168">
        <v>1</v>
      </c>
      <c r="E35" s="163">
        <v>9</v>
      </c>
    </row>
    <row r="36" spans="1:5" ht="14.25" customHeight="1">
      <c r="A36" s="167" t="s">
        <v>216</v>
      </c>
      <c r="B36" s="174" t="s">
        <v>217</v>
      </c>
      <c r="C36" s="170">
        <v>9</v>
      </c>
      <c r="D36" s="168">
        <v>1</v>
      </c>
      <c r="E36" s="163">
        <v>9</v>
      </c>
    </row>
    <row r="37" spans="1:5" ht="14.25" customHeight="1">
      <c r="A37" s="167" t="s">
        <v>245</v>
      </c>
      <c r="B37" s="165" t="s">
        <v>246</v>
      </c>
      <c r="C37" s="170">
        <v>9</v>
      </c>
      <c r="D37" s="168">
        <v>1</v>
      </c>
      <c r="E37" s="163">
        <v>9</v>
      </c>
    </row>
    <row r="38" spans="1:5" ht="14.25" customHeight="1" thickBot="1">
      <c r="A38" s="179" t="s">
        <v>249</v>
      </c>
      <c r="B38" s="180" t="s">
        <v>250</v>
      </c>
      <c r="C38" s="181">
        <v>6</v>
      </c>
      <c r="D38" s="182">
        <v>1</v>
      </c>
      <c r="E38" s="163">
        <v>6</v>
      </c>
    </row>
    <row r="39" spans="1:5" ht="15">
      <c r="A39" s="183"/>
      <c r="B39" s="183"/>
      <c r="C39" s="184"/>
      <c r="D39" s="185"/>
      <c r="E39" s="186"/>
    </row>
    <row r="40" spans="1:5" ht="15">
      <c r="A40" s="187" t="s">
        <v>257</v>
      </c>
      <c r="B40" s="183"/>
      <c r="C40" s="140"/>
      <c r="D40" s="188">
        <v>30</v>
      </c>
      <c r="E40" s="189"/>
    </row>
    <row r="41" spans="1:5" ht="15.75" thickBot="1">
      <c r="A41" s="187" t="s">
        <v>258</v>
      </c>
      <c r="B41" s="183"/>
      <c r="C41" s="190"/>
      <c r="D41" s="140"/>
      <c r="E41" s="191">
        <v>7.233333333333333</v>
      </c>
    </row>
    <row r="42" spans="1:5" ht="15.75" thickBot="1">
      <c r="A42" s="192" t="s">
        <v>270</v>
      </c>
      <c r="B42" s="193"/>
      <c r="C42" s="194"/>
      <c r="D42" s="195"/>
      <c r="E42" s="196">
        <v>39.618598326207014</v>
      </c>
    </row>
    <row r="44" spans="1:3" ht="12.75">
      <c r="A44" s="197"/>
      <c r="B44" s="197"/>
      <c r="C44" s="198"/>
    </row>
    <row r="45" spans="1:5" ht="51" customHeight="1">
      <c r="A45" s="258" t="s">
        <v>573</v>
      </c>
      <c r="B45" s="258"/>
      <c r="C45" s="258"/>
      <c r="D45" s="258"/>
      <c r="E45" s="258"/>
    </row>
    <row r="46" spans="1:3" ht="12.75">
      <c r="A46" s="197"/>
      <c r="B46" s="197"/>
      <c r="C46" s="198"/>
    </row>
    <row r="47" spans="1:5" ht="51" customHeight="1">
      <c r="A47" s="258" t="s">
        <v>574</v>
      </c>
      <c r="B47" s="258"/>
      <c r="C47" s="258"/>
      <c r="D47" s="258"/>
      <c r="E47" s="258"/>
    </row>
  </sheetData>
  <sheetProtection/>
  <protectedRanges>
    <protectedRange sqref="D8:D38" name="number of species"/>
  </protectedRanges>
  <mergeCells count="2">
    <mergeCell ref="A45:E45"/>
    <mergeCell ref="A47:E4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5"/>
  <sheetViews>
    <sheetView zoomScalePageLayoutView="0" workbookViewId="0" topLeftCell="A1">
      <pane xSplit="1" ySplit="1" topLeftCell="B271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276" sqref="C276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42" width="5.7109375" style="4" customWidth="1"/>
    <col min="43" max="16384" width="5.7109375" style="4" customWidth="1"/>
  </cols>
  <sheetData>
    <row r="1" spans="1:43" s="3" customFormat="1" ht="189.75" customHeight="1">
      <c r="A1" s="115" t="s">
        <v>533</v>
      </c>
      <c r="B1" s="116" t="s">
        <v>534</v>
      </c>
      <c r="C1" s="114" t="s">
        <v>535</v>
      </c>
      <c r="D1" s="117" t="s">
        <v>536</v>
      </c>
      <c r="E1" s="114" t="s">
        <v>537</v>
      </c>
      <c r="F1" s="118" t="s">
        <v>538</v>
      </c>
      <c r="G1" s="115" t="s">
        <v>539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501</v>
      </c>
      <c r="M1" s="6" t="s">
        <v>531</v>
      </c>
      <c r="N1" s="6" t="s">
        <v>522</v>
      </c>
      <c r="O1" s="6" t="s">
        <v>502</v>
      </c>
      <c r="P1" s="6" t="s">
        <v>503</v>
      </c>
      <c r="Q1" s="6" t="s">
        <v>504</v>
      </c>
      <c r="R1" s="6" t="s">
        <v>505</v>
      </c>
      <c r="S1" s="6" t="s">
        <v>506</v>
      </c>
      <c r="T1" s="6" t="s">
        <v>532</v>
      </c>
      <c r="U1" s="6" t="s">
        <v>523</v>
      </c>
      <c r="V1" s="6" t="s">
        <v>507</v>
      </c>
      <c r="W1" s="6" t="s">
        <v>508</v>
      </c>
      <c r="X1" s="6" t="s">
        <v>509</v>
      </c>
      <c r="Y1" s="6" t="s">
        <v>510</v>
      </c>
      <c r="Z1" s="6" t="s">
        <v>511</v>
      </c>
      <c r="AA1" s="6" t="s">
        <v>524</v>
      </c>
      <c r="AB1" s="6" t="s">
        <v>512</v>
      </c>
      <c r="AC1" s="6" t="s">
        <v>513</v>
      </c>
      <c r="AD1" s="6" t="s">
        <v>525</v>
      </c>
      <c r="AE1" s="6" t="s">
        <v>526</v>
      </c>
      <c r="AF1" s="6" t="s">
        <v>514</v>
      </c>
      <c r="AG1" s="6" t="s">
        <v>527</v>
      </c>
      <c r="AH1" s="6" t="s">
        <v>515</v>
      </c>
      <c r="AI1" s="6" t="s">
        <v>528</v>
      </c>
      <c r="AJ1" s="6" t="s">
        <v>516</v>
      </c>
      <c r="AK1" s="6" t="s">
        <v>517</v>
      </c>
      <c r="AL1" s="6" t="s">
        <v>518</v>
      </c>
      <c r="AM1" s="6" t="s">
        <v>529</v>
      </c>
      <c r="AN1" s="6" t="s">
        <v>519</v>
      </c>
      <c r="AO1" s="6" t="s">
        <v>520</v>
      </c>
      <c r="AP1" s="6" t="s">
        <v>521</v>
      </c>
      <c r="AQ1" s="114" t="s">
        <v>530</v>
      </c>
    </row>
    <row r="2" spans="1:43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2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4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</row>
    <row r="3" spans="1:43" ht="12.75">
      <c r="A3" s="22">
        <v>2</v>
      </c>
      <c r="B3" s="112">
        <v>46.08961</v>
      </c>
      <c r="C3" s="112">
        <v>-91.24139</v>
      </c>
      <c r="D3" s="4">
        <v>1</v>
      </c>
      <c r="E3" s="4" t="s">
        <v>480</v>
      </c>
      <c r="F3" s="101">
        <v>1</v>
      </c>
      <c r="G3" s="22">
        <v>1</v>
      </c>
      <c r="H3" s="83">
        <v>4</v>
      </c>
      <c r="I3" s="4">
        <v>2</v>
      </c>
      <c r="J3" s="24">
        <v>0</v>
      </c>
      <c r="K3" s="24">
        <v>0</v>
      </c>
      <c r="L3" s="24">
        <v>0</v>
      </c>
      <c r="M3" s="2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2</v>
      </c>
      <c r="Z3" s="4">
        <v>1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</row>
    <row r="4" spans="1:43" ht="12.75">
      <c r="A4" s="22">
        <v>3</v>
      </c>
      <c r="B4" s="112">
        <v>46.08962</v>
      </c>
      <c r="C4" s="112">
        <v>-91.24078</v>
      </c>
      <c r="D4" s="4">
        <v>0.5</v>
      </c>
      <c r="E4" s="4" t="s">
        <v>480</v>
      </c>
      <c r="F4" s="101">
        <v>1</v>
      </c>
      <c r="G4" s="22">
        <v>1</v>
      </c>
      <c r="H4" s="83">
        <v>7</v>
      </c>
      <c r="I4" s="4">
        <v>3</v>
      </c>
      <c r="J4" s="24">
        <v>0</v>
      </c>
      <c r="K4" s="24">
        <v>1</v>
      </c>
      <c r="L4" s="24">
        <v>0</v>
      </c>
      <c r="M4" s="2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1</v>
      </c>
      <c r="AA4" s="4">
        <v>0</v>
      </c>
      <c r="AB4" s="4">
        <v>4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4</v>
      </c>
      <c r="AM4" s="4">
        <v>0</v>
      </c>
      <c r="AN4" s="4">
        <v>0</v>
      </c>
      <c r="AO4" s="4">
        <v>0</v>
      </c>
      <c r="AP4" s="4">
        <v>0</v>
      </c>
      <c r="AQ4" s="4">
        <v>2</v>
      </c>
    </row>
    <row r="5" spans="1:43" ht="12.75">
      <c r="A5" s="22">
        <v>4</v>
      </c>
      <c r="B5" s="112">
        <v>46.08962</v>
      </c>
      <c r="C5" s="112">
        <v>-91.24017</v>
      </c>
      <c r="D5" s="4">
        <v>1</v>
      </c>
      <c r="E5" s="4" t="s">
        <v>480</v>
      </c>
      <c r="F5" s="101">
        <v>1</v>
      </c>
      <c r="G5" s="22">
        <v>1</v>
      </c>
      <c r="H5" s="83">
        <v>5</v>
      </c>
      <c r="I5" s="4">
        <v>3</v>
      </c>
      <c r="J5" s="24">
        <v>0</v>
      </c>
      <c r="K5" s="24">
        <v>2</v>
      </c>
      <c r="L5" s="24">
        <v>0</v>
      </c>
      <c r="M5" s="2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2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</row>
    <row r="6" spans="1:43" ht="12.75">
      <c r="A6" s="22">
        <v>5</v>
      </c>
      <c r="B6" s="112">
        <v>46.08963</v>
      </c>
      <c r="C6" s="112">
        <v>-91.23956</v>
      </c>
      <c r="D6" s="4">
        <v>2</v>
      </c>
      <c r="E6" s="4" t="s">
        <v>480</v>
      </c>
      <c r="F6" s="101">
        <v>1</v>
      </c>
      <c r="G6" s="22">
        <v>1</v>
      </c>
      <c r="H6" s="83">
        <v>2</v>
      </c>
      <c r="I6" s="4">
        <v>2</v>
      </c>
      <c r="J6" s="24">
        <v>0</v>
      </c>
      <c r="K6" s="24">
        <v>2</v>
      </c>
      <c r="L6" s="24">
        <v>0</v>
      </c>
      <c r="M6" s="2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4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</row>
    <row r="7" spans="1:43" ht="12.75">
      <c r="A7" s="22">
        <v>6</v>
      </c>
      <c r="B7" s="112">
        <v>46.09002</v>
      </c>
      <c r="C7" s="112">
        <v>-91.24261</v>
      </c>
      <c r="D7" s="4">
        <v>1.5</v>
      </c>
      <c r="E7" s="4" t="s">
        <v>481</v>
      </c>
      <c r="F7" s="101">
        <v>1</v>
      </c>
      <c r="G7" s="22">
        <v>1</v>
      </c>
      <c r="H7" s="83">
        <v>3</v>
      </c>
      <c r="I7" s="4">
        <v>2</v>
      </c>
      <c r="J7" s="24">
        <v>0</v>
      </c>
      <c r="K7" s="24">
        <v>0</v>
      </c>
      <c r="L7" s="24">
        <v>0</v>
      </c>
      <c r="M7" s="2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</row>
    <row r="8" spans="1:43" ht="12.75">
      <c r="A8" s="22">
        <v>7</v>
      </c>
      <c r="B8" s="112">
        <v>46.09003</v>
      </c>
      <c r="C8" s="112">
        <v>-91.24201</v>
      </c>
      <c r="D8" s="4">
        <v>3.5</v>
      </c>
      <c r="E8" s="4" t="s">
        <v>480</v>
      </c>
      <c r="F8" s="101">
        <v>1</v>
      </c>
      <c r="G8" s="22">
        <v>1</v>
      </c>
      <c r="H8" s="83">
        <v>1</v>
      </c>
      <c r="I8" s="4">
        <v>2</v>
      </c>
      <c r="J8" s="24">
        <v>0</v>
      </c>
      <c r="K8" s="24">
        <v>2</v>
      </c>
      <c r="L8" s="24">
        <v>0</v>
      </c>
      <c r="M8" s="2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</row>
    <row r="9" spans="1:43" ht="12.75">
      <c r="A9" s="22">
        <v>8</v>
      </c>
      <c r="B9" s="112">
        <v>46.09003</v>
      </c>
      <c r="C9" s="112">
        <v>-91.2414</v>
      </c>
      <c r="D9" s="4">
        <v>3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2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</row>
    <row r="10" spans="1:43" ht="12.75">
      <c r="A10" s="22">
        <v>9</v>
      </c>
      <c r="B10" s="112">
        <v>46.09004</v>
      </c>
      <c r="C10" s="112">
        <v>-91.24079</v>
      </c>
      <c r="D10" s="4">
        <v>4</v>
      </c>
      <c r="E10" s="4" t="s">
        <v>480</v>
      </c>
      <c r="F10" s="101">
        <v>1</v>
      </c>
      <c r="G10" s="22">
        <v>1</v>
      </c>
      <c r="H10" s="83">
        <v>3</v>
      </c>
      <c r="I10" s="4">
        <v>2</v>
      </c>
      <c r="J10" s="24">
        <v>0</v>
      </c>
      <c r="K10" s="24">
        <v>0</v>
      </c>
      <c r="L10" s="24">
        <v>0</v>
      </c>
      <c r="M10" s="2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</row>
    <row r="11" spans="1:43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1</v>
      </c>
      <c r="H11" s="83">
        <v>1</v>
      </c>
      <c r="I11" s="4">
        <v>1</v>
      </c>
      <c r="J11" s="24">
        <v>0</v>
      </c>
      <c r="K11" s="24">
        <v>0</v>
      </c>
      <c r="L11" s="24">
        <v>0</v>
      </c>
      <c r="M11" s="2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</row>
    <row r="12" spans="1:43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1</v>
      </c>
      <c r="H12" s="83">
        <v>1</v>
      </c>
      <c r="I12" s="4">
        <v>1</v>
      </c>
      <c r="J12" s="24">
        <v>0</v>
      </c>
      <c r="K12" s="24">
        <v>0</v>
      </c>
      <c r="L12" s="24">
        <v>0</v>
      </c>
      <c r="M12" s="2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</row>
    <row r="13" spans="1:43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1</v>
      </c>
      <c r="I13" s="4">
        <v>2</v>
      </c>
      <c r="J13" s="24">
        <v>0</v>
      </c>
      <c r="K13" s="24">
        <v>0</v>
      </c>
      <c r="L13" s="24">
        <v>0</v>
      </c>
      <c r="M13" s="2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</row>
    <row r="14" spans="1:43" ht="12.75">
      <c r="A14" s="22">
        <v>13</v>
      </c>
      <c r="B14" s="112">
        <v>46.09044</v>
      </c>
      <c r="C14" s="112">
        <v>-91.24262</v>
      </c>
      <c r="D14" s="4">
        <v>3.5</v>
      </c>
      <c r="E14" s="4" t="s">
        <v>480</v>
      </c>
      <c r="F14" s="101">
        <v>1</v>
      </c>
      <c r="G14" s="22">
        <v>0</v>
      </c>
      <c r="H14" s="83">
        <v>0</v>
      </c>
      <c r="I14" s="4">
        <v>0</v>
      </c>
      <c r="J14" s="24">
        <v>0</v>
      </c>
      <c r="K14" s="24">
        <v>0</v>
      </c>
      <c r="L14" s="24">
        <v>0</v>
      </c>
      <c r="M14" s="2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</row>
    <row r="15" spans="1:43" ht="12.75">
      <c r="A15" s="22">
        <v>14</v>
      </c>
      <c r="B15" s="112">
        <v>46.09045</v>
      </c>
      <c r="C15" s="112">
        <v>-91.24202</v>
      </c>
      <c r="D15" s="4">
        <v>5</v>
      </c>
      <c r="E15" s="4" t="s">
        <v>480</v>
      </c>
      <c r="F15" s="101">
        <v>1</v>
      </c>
      <c r="G15" s="22">
        <v>1</v>
      </c>
      <c r="H15" s="83">
        <v>2</v>
      </c>
      <c r="I15" s="4">
        <v>1</v>
      </c>
      <c r="J15" s="24">
        <v>0</v>
      </c>
      <c r="K15" s="24">
        <v>0</v>
      </c>
      <c r="L15" s="24">
        <v>0</v>
      </c>
      <c r="M15" s="2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</row>
    <row r="16" spans="1:43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1</v>
      </c>
      <c r="I16" s="4">
        <v>2</v>
      </c>
      <c r="J16" s="24">
        <v>0</v>
      </c>
      <c r="K16" s="24">
        <v>0</v>
      </c>
      <c r="L16" s="24">
        <v>0</v>
      </c>
      <c r="M16" s="2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</row>
    <row r="17" spans="1:43" ht="12.75">
      <c r="A17" s="22">
        <v>16</v>
      </c>
      <c r="B17" s="112">
        <v>46.09046</v>
      </c>
      <c r="C17" s="112">
        <v>-91.2408</v>
      </c>
      <c r="D17" s="4">
        <v>4</v>
      </c>
      <c r="E17" s="4" t="s">
        <v>480</v>
      </c>
      <c r="F17" s="101">
        <v>1</v>
      </c>
      <c r="G17" s="22">
        <v>1</v>
      </c>
      <c r="H17" s="83">
        <v>1</v>
      </c>
      <c r="I17" s="4">
        <v>1</v>
      </c>
      <c r="J17" s="24">
        <v>0</v>
      </c>
      <c r="K17" s="24">
        <v>0</v>
      </c>
      <c r="L17" s="24">
        <v>0</v>
      </c>
      <c r="M17" s="2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4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</row>
    <row r="18" spans="1:43" ht="12.75">
      <c r="A18" s="22">
        <v>17</v>
      </c>
      <c r="B18" s="112">
        <v>46.09047</v>
      </c>
      <c r="C18" s="112">
        <v>-91.24019</v>
      </c>
      <c r="D18" s="4">
        <v>4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2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4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</row>
    <row r="19" spans="1:43" ht="12.75">
      <c r="A19" s="22">
        <v>18</v>
      </c>
      <c r="B19" s="112">
        <v>46.09048</v>
      </c>
      <c r="C19" s="112">
        <v>-91.23958</v>
      </c>
      <c r="D19" s="4">
        <v>4</v>
      </c>
      <c r="E19" s="4" t="s">
        <v>480</v>
      </c>
      <c r="F19" s="101">
        <v>1</v>
      </c>
      <c r="G19" s="22">
        <v>1</v>
      </c>
      <c r="H19" s="83">
        <v>2</v>
      </c>
      <c r="I19" s="4">
        <v>2</v>
      </c>
      <c r="J19" s="24">
        <v>0</v>
      </c>
      <c r="K19" s="24">
        <v>0</v>
      </c>
      <c r="L19" s="24">
        <v>0</v>
      </c>
      <c r="M19" s="2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</row>
    <row r="20" spans="1:43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2</v>
      </c>
      <c r="I20" s="4">
        <v>2</v>
      </c>
      <c r="J20" s="24">
        <v>0</v>
      </c>
      <c r="K20" s="24">
        <v>1</v>
      </c>
      <c r="L20" s="24">
        <v>0</v>
      </c>
      <c r="M20" s="2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2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</row>
    <row r="22" spans="1:43" ht="12.75">
      <c r="A22" s="22">
        <v>21</v>
      </c>
      <c r="B22" s="112">
        <v>46.09049</v>
      </c>
      <c r="C22" s="112">
        <v>-91.23776</v>
      </c>
      <c r="D22" s="4">
        <v>2.5</v>
      </c>
      <c r="E22" s="4" t="s">
        <v>480</v>
      </c>
      <c r="F22" s="101">
        <v>1</v>
      </c>
      <c r="G22" s="22">
        <v>1</v>
      </c>
      <c r="H22" s="83">
        <v>3</v>
      </c>
      <c r="I22" s="4">
        <v>1</v>
      </c>
      <c r="J22" s="24">
        <v>0</v>
      </c>
      <c r="K22" s="24">
        <v>0</v>
      </c>
      <c r="L22" s="24">
        <v>0</v>
      </c>
      <c r="M22" s="2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</row>
    <row r="23" spans="1:43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0</v>
      </c>
      <c r="M23" s="2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ht="12.75">
      <c r="A24" s="22">
        <v>23</v>
      </c>
      <c r="B24" s="112">
        <v>46.09086</v>
      </c>
      <c r="C24" s="112">
        <v>-91.24263</v>
      </c>
      <c r="D24" s="4">
        <v>4</v>
      </c>
      <c r="E24" s="4" t="s">
        <v>480</v>
      </c>
      <c r="F24" s="101">
        <v>1</v>
      </c>
      <c r="G24" s="22">
        <v>1</v>
      </c>
      <c r="H24" s="83">
        <v>1</v>
      </c>
      <c r="I24" s="4">
        <v>1</v>
      </c>
      <c r="J24" s="24">
        <v>0</v>
      </c>
      <c r="K24" s="24">
        <v>4</v>
      </c>
      <c r="L24" s="24">
        <v>0</v>
      </c>
      <c r="M24" s="2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43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2</v>
      </c>
      <c r="J25" s="24">
        <v>0</v>
      </c>
      <c r="K25" s="24">
        <v>0</v>
      </c>
      <c r="L25" s="24">
        <v>0</v>
      </c>
      <c r="M25" s="2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</row>
    <row r="26" spans="1:43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3</v>
      </c>
      <c r="I26" s="4">
        <v>1</v>
      </c>
      <c r="J26" s="24">
        <v>0</v>
      </c>
      <c r="K26" s="24">
        <v>0</v>
      </c>
      <c r="L26" s="24">
        <v>0</v>
      </c>
      <c r="M26" s="2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</row>
    <row r="27" spans="1:43" ht="12.75">
      <c r="A27" s="22">
        <v>26</v>
      </c>
      <c r="B27" s="112">
        <v>46.09089</v>
      </c>
      <c r="C27" s="112">
        <v>-91.24081</v>
      </c>
      <c r="D27" s="4">
        <v>4</v>
      </c>
      <c r="E27" s="4" t="s">
        <v>480</v>
      </c>
      <c r="F27" s="101">
        <v>1</v>
      </c>
      <c r="G27" s="22">
        <v>1</v>
      </c>
      <c r="H27" s="83">
        <v>2</v>
      </c>
      <c r="I27" s="4">
        <v>1</v>
      </c>
      <c r="J27" s="24">
        <v>0</v>
      </c>
      <c r="K27" s="24">
        <v>0</v>
      </c>
      <c r="L27" s="24">
        <v>0</v>
      </c>
      <c r="M27" s="2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</row>
    <row r="28" spans="1:43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3</v>
      </c>
      <c r="I28" s="4">
        <v>1</v>
      </c>
      <c r="J28" s="24">
        <v>0</v>
      </c>
      <c r="K28" s="24">
        <v>0</v>
      </c>
      <c r="L28" s="24">
        <v>0</v>
      </c>
      <c r="M28" s="2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</row>
    <row r="29" spans="1:43" ht="12.75">
      <c r="A29" s="22">
        <v>28</v>
      </c>
      <c r="B29" s="112">
        <v>46.0909</v>
      </c>
      <c r="C29" s="112">
        <v>-91.23959</v>
      </c>
      <c r="D29" s="4">
        <v>4</v>
      </c>
      <c r="E29" s="4" t="s">
        <v>480</v>
      </c>
      <c r="F29" s="101">
        <v>1</v>
      </c>
      <c r="G29" s="22">
        <v>1</v>
      </c>
      <c r="H29" s="83">
        <v>2</v>
      </c>
      <c r="I29" s="4">
        <v>2</v>
      </c>
      <c r="J29" s="24">
        <v>0</v>
      </c>
      <c r="K29" s="24">
        <v>0</v>
      </c>
      <c r="L29" s="24">
        <v>0</v>
      </c>
      <c r="M29" s="2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4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</row>
    <row r="30" spans="1:43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3</v>
      </c>
      <c r="J30" s="24">
        <v>0</v>
      </c>
      <c r="K30" s="24">
        <v>0</v>
      </c>
      <c r="L30" s="24">
        <v>0</v>
      </c>
      <c r="M30" s="2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3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</row>
    <row r="31" spans="1:43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2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</row>
    <row r="32" spans="1:43" ht="12.75">
      <c r="A32" s="22">
        <v>31</v>
      </c>
      <c r="B32" s="112">
        <v>46.09092</v>
      </c>
      <c r="C32" s="112">
        <v>-91.23716</v>
      </c>
      <c r="D32" s="4">
        <v>4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2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</row>
    <row r="33" spans="1:43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2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4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</row>
    <row r="34" spans="1:43" ht="12.75">
      <c r="A34" s="22">
        <v>33</v>
      </c>
      <c r="B34" s="112">
        <v>46.09129</v>
      </c>
      <c r="C34" s="112">
        <v>-91.24264</v>
      </c>
      <c r="D34" s="4">
        <v>4</v>
      </c>
      <c r="E34" s="4" t="s">
        <v>480</v>
      </c>
      <c r="F34" s="101">
        <v>1</v>
      </c>
      <c r="G34" s="22">
        <v>1</v>
      </c>
      <c r="H34" s="83">
        <v>1</v>
      </c>
      <c r="I34" s="4">
        <v>1</v>
      </c>
      <c r="J34" s="24">
        <v>0</v>
      </c>
      <c r="K34" s="24">
        <v>0</v>
      </c>
      <c r="L34" s="24">
        <v>0</v>
      </c>
      <c r="M34" s="2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</row>
    <row r="35" spans="1:43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2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</row>
    <row r="36" spans="1:43" ht="12.75">
      <c r="A36" s="22">
        <v>35</v>
      </c>
      <c r="B36" s="112">
        <v>46.0913</v>
      </c>
      <c r="C36" s="112">
        <v>-91.24143</v>
      </c>
      <c r="D36" s="4">
        <v>5.5</v>
      </c>
      <c r="E36" s="4" t="s">
        <v>480</v>
      </c>
      <c r="F36" s="101">
        <v>1</v>
      </c>
      <c r="G36" s="22">
        <v>1</v>
      </c>
      <c r="H36" s="83">
        <v>1</v>
      </c>
      <c r="I36" s="4">
        <v>1</v>
      </c>
      <c r="J36" s="24">
        <v>0</v>
      </c>
      <c r="K36" s="24">
        <v>0</v>
      </c>
      <c r="L36" s="24">
        <v>0</v>
      </c>
      <c r="M36" s="2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</row>
    <row r="37" spans="1:43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1</v>
      </c>
      <c r="H37" s="83">
        <v>4</v>
      </c>
      <c r="I37" s="4">
        <v>1</v>
      </c>
      <c r="J37" s="24">
        <v>0</v>
      </c>
      <c r="K37" s="24">
        <v>0</v>
      </c>
      <c r="L37" s="24">
        <v>0</v>
      </c>
      <c r="M37" s="2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</row>
    <row r="38" spans="1:43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1</v>
      </c>
      <c r="H38" s="83">
        <v>1</v>
      </c>
      <c r="I38" s="4">
        <v>1</v>
      </c>
      <c r="J38" s="24">
        <v>0</v>
      </c>
      <c r="K38" s="24">
        <v>0</v>
      </c>
      <c r="L38" s="24">
        <v>0</v>
      </c>
      <c r="M38" s="2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</row>
    <row r="39" spans="1:43" ht="12.75">
      <c r="A39" s="22">
        <v>38</v>
      </c>
      <c r="B39" s="112">
        <v>46.09132</v>
      </c>
      <c r="C39" s="112">
        <v>-91.2396</v>
      </c>
      <c r="D39" s="4">
        <v>4</v>
      </c>
      <c r="E39" s="4" t="s">
        <v>480</v>
      </c>
      <c r="F39" s="101">
        <v>1</v>
      </c>
      <c r="G39" s="22">
        <v>1</v>
      </c>
      <c r="H39" s="83">
        <v>1</v>
      </c>
      <c r="I39" s="4">
        <v>1</v>
      </c>
      <c r="J39" s="24">
        <v>0</v>
      </c>
      <c r="K39" s="24">
        <v>0</v>
      </c>
      <c r="L39" s="24">
        <v>0</v>
      </c>
      <c r="M39" s="2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</row>
    <row r="40" spans="1:43" ht="12.75">
      <c r="A40" s="22">
        <v>39</v>
      </c>
      <c r="B40" s="112">
        <v>46.09133</v>
      </c>
      <c r="C40" s="112">
        <v>-91.23899</v>
      </c>
      <c r="D40" s="4">
        <v>3</v>
      </c>
      <c r="E40" s="4" t="s">
        <v>482</v>
      </c>
      <c r="F40" s="101">
        <v>1</v>
      </c>
      <c r="G40" s="22">
        <v>1</v>
      </c>
      <c r="H40" s="83">
        <v>2</v>
      </c>
      <c r="I40" s="4">
        <v>2</v>
      </c>
      <c r="J40" s="24">
        <v>0</v>
      </c>
      <c r="K40" s="24">
        <v>0</v>
      </c>
      <c r="L40" s="24">
        <v>0</v>
      </c>
      <c r="M40" s="2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</row>
    <row r="41" spans="1:43" ht="12.75">
      <c r="A41" s="22">
        <v>40</v>
      </c>
      <c r="B41" s="112">
        <v>46.09134</v>
      </c>
      <c r="C41" s="112">
        <v>-91.23839</v>
      </c>
      <c r="D41" s="4">
        <v>3.5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2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</row>
    <row r="42" spans="1:43" ht="12.75">
      <c r="A42" s="22">
        <v>41</v>
      </c>
      <c r="B42" s="112">
        <v>46.09134</v>
      </c>
      <c r="C42" s="112">
        <v>-91.23778</v>
      </c>
      <c r="D42" s="4">
        <v>3.5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2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</row>
    <row r="43" spans="1:43" ht="12.75">
      <c r="A43" s="22">
        <v>42</v>
      </c>
      <c r="B43" s="112">
        <v>46.09135</v>
      </c>
      <c r="C43" s="112">
        <v>-91.23717</v>
      </c>
      <c r="D43" s="4">
        <v>3.5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2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</row>
    <row r="44" spans="1:43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1</v>
      </c>
      <c r="H44" s="83">
        <v>1</v>
      </c>
      <c r="I44" s="4">
        <v>1</v>
      </c>
      <c r="J44" s="24">
        <v>0</v>
      </c>
      <c r="K44" s="24">
        <v>0</v>
      </c>
      <c r="L44" s="24">
        <v>0</v>
      </c>
      <c r="M44" s="2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</row>
    <row r="45" spans="1:43" ht="12.75">
      <c r="A45" s="22">
        <v>44</v>
      </c>
      <c r="B45" s="112">
        <v>46.09171</v>
      </c>
      <c r="C45" s="112">
        <v>-91.24326</v>
      </c>
      <c r="D45" s="4">
        <v>4</v>
      </c>
      <c r="E45" s="4" t="s">
        <v>480</v>
      </c>
      <c r="F45" s="101">
        <v>1</v>
      </c>
      <c r="G45" s="22">
        <v>1</v>
      </c>
      <c r="H45" s="83">
        <v>1</v>
      </c>
      <c r="I45" s="4">
        <v>2</v>
      </c>
      <c r="J45" s="24">
        <v>0</v>
      </c>
      <c r="K45" s="24">
        <v>0</v>
      </c>
      <c r="L45" s="24">
        <v>0</v>
      </c>
      <c r="M45" s="2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</row>
    <row r="46" spans="1:43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4</v>
      </c>
      <c r="I46" s="4">
        <v>3</v>
      </c>
      <c r="J46" s="24">
        <v>0</v>
      </c>
      <c r="K46" s="24">
        <v>0</v>
      </c>
      <c r="L46" s="24">
        <v>0</v>
      </c>
      <c r="M46" s="2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3</v>
      </c>
      <c r="AI46" s="4">
        <v>0</v>
      </c>
      <c r="AJ46" s="4">
        <v>0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</row>
    <row r="47" spans="1:43" ht="12.75">
      <c r="A47" s="22">
        <v>46</v>
      </c>
      <c r="B47" s="112">
        <v>46.09172</v>
      </c>
      <c r="C47" s="112">
        <v>-91.24204</v>
      </c>
      <c r="D47" s="4">
        <v>5.5</v>
      </c>
      <c r="E47" s="4" t="s">
        <v>480</v>
      </c>
      <c r="F47" s="101">
        <v>1</v>
      </c>
      <c r="G47" s="22">
        <v>0</v>
      </c>
      <c r="H47" s="83">
        <v>0</v>
      </c>
      <c r="I47" s="4">
        <v>0</v>
      </c>
      <c r="J47" s="24">
        <v>0</v>
      </c>
      <c r="K47" s="24">
        <v>0</v>
      </c>
      <c r="L47" s="24">
        <v>0</v>
      </c>
      <c r="M47" s="2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</row>
    <row r="48" spans="1:43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0</v>
      </c>
      <c r="H48" s="83">
        <v>0</v>
      </c>
      <c r="I48" s="4">
        <v>0</v>
      </c>
      <c r="J48" s="24">
        <v>0</v>
      </c>
      <c r="K48" s="24">
        <v>0</v>
      </c>
      <c r="L48" s="24">
        <v>0</v>
      </c>
      <c r="M48" s="2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</row>
    <row r="49" spans="1:43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2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</row>
    <row r="50" spans="1:43" ht="12.75">
      <c r="A50" s="22">
        <v>49</v>
      </c>
      <c r="B50" s="112">
        <v>46.09174</v>
      </c>
      <c r="C50" s="112">
        <v>-91.24022</v>
      </c>
      <c r="D50" s="4">
        <v>5.5</v>
      </c>
      <c r="E50" s="4" t="s">
        <v>480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2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</row>
    <row r="51" spans="1:43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1</v>
      </c>
      <c r="H51" s="83">
        <v>1</v>
      </c>
      <c r="I51" s="4">
        <v>1</v>
      </c>
      <c r="J51" s="24">
        <v>0</v>
      </c>
      <c r="K51" s="24">
        <v>0</v>
      </c>
      <c r="L51" s="24">
        <v>0</v>
      </c>
      <c r="M51" s="2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</row>
    <row r="52" spans="1:43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2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</row>
    <row r="53" spans="1:43" ht="12.75">
      <c r="A53" s="22">
        <v>52</v>
      </c>
      <c r="B53" s="112">
        <v>46.09176</v>
      </c>
      <c r="C53" s="112">
        <v>-91.2384</v>
      </c>
      <c r="D53" s="4">
        <v>4</v>
      </c>
      <c r="E53" s="4" t="s">
        <v>480</v>
      </c>
      <c r="F53" s="101">
        <v>1</v>
      </c>
      <c r="G53" s="22">
        <v>1</v>
      </c>
      <c r="H53" s="83">
        <v>1</v>
      </c>
      <c r="I53" s="4">
        <v>2</v>
      </c>
      <c r="J53" s="24">
        <v>0</v>
      </c>
      <c r="K53" s="24">
        <v>0</v>
      </c>
      <c r="L53" s="24">
        <v>0</v>
      </c>
      <c r="M53" s="2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2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</row>
    <row r="54" spans="1:43" ht="12.75">
      <c r="A54" s="22">
        <v>53</v>
      </c>
      <c r="B54" s="112">
        <v>46.09176</v>
      </c>
      <c r="C54" s="112">
        <v>-91.23779</v>
      </c>
      <c r="D54" s="4">
        <v>4.5</v>
      </c>
      <c r="E54" s="4" t="s">
        <v>480</v>
      </c>
      <c r="F54" s="101">
        <v>1</v>
      </c>
      <c r="G54" s="22">
        <v>0</v>
      </c>
      <c r="H54" s="83">
        <v>0</v>
      </c>
      <c r="I54" s="4">
        <v>0</v>
      </c>
      <c r="J54" s="24">
        <v>0</v>
      </c>
      <c r="K54" s="24">
        <v>0</v>
      </c>
      <c r="L54" s="24">
        <v>0</v>
      </c>
      <c r="M54" s="2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4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4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</row>
    <row r="55" spans="1:43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2</v>
      </c>
      <c r="I55" s="4">
        <v>1</v>
      </c>
      <c r="J55" s="24">
        <v>0</v>
      </c>
      <c r="K55" s="24">
        <v>1</v>
      </c>
      <c r="L55" s="24">
        <v>0</v>
      </c>
      <c r="M55" s="2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</row>
    <row r="56" spans="1:43" ht="12.75">
      <c r="A56" s="22">
        <v>55</v>
      </c>
      <c r="B56" s="112">
        <v>46.09178</v>
      </c>
      <c r="C56" s="112">
        <v>-91.23657</v>
      </c>
      <c r="D56" s="4">
        <v>4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2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</row>
    <row r="57" spans="1:43" ht="12.75">
      <c r="A57" s="22">
        <v>56</v>
      </c>
      <c r="B57" s="112">
        <v>46.09178</v>
      </c>
      <c r="C57" s="112">
        <v>-91.23597</v>
      </c>
      <c r="D57" s="4">
        <v>2</v>
      </c>
      <c r="E57" s="4" t="s">
        <v>480</v>
      </c>
      <c r="F57" s="101">
        <v>1</v>
      </c>
      <c r="G57" s="22">
        <v>1</v>
      </c>
      <c r="H57" s="83">
        <v>1</v>
      </c>
      <c r="I57" s="4">
        <v>1</v>
      </c>
      <c r="J57" s="24">
        <v>0</v>
      </c>
      <c r="K57" s="24">
        <v>0</v>
      </c>
      <c r="L57" s="24">
        <v>0</v>
      </c>
      <c r="M57" s="2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4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</row>
    <row r="58" spans="1:43" ht="12.75">
      <c r="A58" s="22">
        <v>57</v>
      </c>
      <c r="B58" s="112">
        <v>46.09213</v>
      </c>
      <c r="C58" s="112">
        <v>-91.24327</v>
      </c>
      <c r="D58" s="4">
        <v>3</v>
      </c>
      <c r="E58" s="4" t="s">
        <v>480</v>
      </c>
      <c r="F58" s="101">
        <v>1</v>
      </c>
      <c r="G58" s="22">
        <v>1</v>
      </c>
      <c r="H58" s="83">
        <v>1</v>
      </c>
      <c r="I58" s="4">
        <v>1</v>
      </c>
      <c r="J58" s="24">
        <v>0</v>
      </c>
      <c r="K58" s="24">
        <v>1</v>
      </c>
      <c r="L58" s="24">
        <v>0</v>
      </c>
      <c r="M58" s="2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4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4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</row>
    <row r="59" spans="1:43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1</v>
      </c>
      <c r="H59" s="83">
        <v>1</v>
      </c>
      <c r="I59" s="4">
        <v>1</v>
      </c>
      <c r="J59" s="24">
        <v>0</v>
      </c>
      <c r="K59" s="24">
        <v>0</v>
      </c>
      <c r="L59" s="24">
        <v>0</v>
      </c>
      <c r="M59" s="2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</row>
    <row r="60" spans="1:43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2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</row>
    <row r="61" spans="1:43" ht="12.75">
      <c r="A61" s="22">
        <v>60</v>
      </c>
      <c r="B61" s="112">
        <v>46.09215</v>
      </c>
      <c r="C61" s="112">
        <v>-91.24145</v>
      </c>
      <c r="D61" s="4">
        <v>6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2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</row>
    <row r="62" spans="1:43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1</v>
      </c>
      <c r="H62" s="83">
        <v>1</v>
      </c>
      <c r="I62" s="4">
        <v>1</v>
      </c>
      <c r="J62" s="24">
        <v>0</v>
      </c>
      <c r="K62" s="24">
        <v>0</v>
      </c>
      <c r="L62" s="24">
        <v>0</v>
      </c>
      <c r="M62" s="2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</row>
    <row r="63" spans="1:43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0</v>
      </c>
      <c r="H63" s="83">
        <v>0</v>
      </c>
      <c r="I63" s="4">
        <v>0</v>
      </c>
      <c r="J63" s="24">
        <v>0</v>
      </c>
      <c r="K63" s="24">
        <v>0</v>
      </c>
      <c r="L63" s="24">
        <v>0</v>
      </c>
      <c r="M63" s="2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</row>
    <row r="64" spans="1:43" ht="12.75">
      <c r="A64" s="22">
        <v>63</v>
      </c>
      <c r="B64" s="112">
        <v>46.09217</v>
      </c>
      <c r="C64" s="112">
        <v>-91.23962</v>
      </c>
      <c r="D64" s="4">
        <v>5</v>
      </c>
      <c r="E64" s="4" t="s">
        <v>480</v>
      </c>
      <c r="F64" s="101">
        <v>1</v>
      </c>
      <c r="G64" s="22">
        <v>1</v>
      </c>
      <c r="H64" s="83">
        <v>1</v>
      </c>
      <c r="I64" s="4">
        <v>1</v>
      </c>
      <c r="J64" s="24">
        <v>0</v>
      </c>
      <c r="K64" s="24">
        <v>0</v>
      </c>
      <c r="L64" s="24">
        <v>0</v>
      </c>
      <c r="M64" s="2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</row>
    <row r="65" spans="1:43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2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</row>
    <row r="66" spans="1:43" ht="12.75">
      <c r="A66" s="22">
        <v>65</v>
      </c>
      <c r="B66" s="112">
        <v>46.09218</v>
      </c>
      <c r="C66" s="112">
        <v>-91.23841</v>
      </c>
      <c r="D66" s="4">
        <v>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2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</row>
    <row r="67" spans="1:43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2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</row>
    <row r="68" spans="1:43" ht="12.75">
      <c r="A68" s="22">
        <v>67</v>
      </c>
      <c r="B68" s="112">
        <v>46.09219</v>
      </c>
      <c r="C68" s="112">
        <v>-91.23719</v>
      </c>
      <c r="D68" s="4">
        <v>3.5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2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</row>
    <row r="69" spans="1:43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2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</row>
    <row r="70" spans="1:43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0</v>
      </c>
      <c r="H70" s="83">
        <v>0</v>
      </c>
      <c r="I70" s="4">
        <v>0</v>
      </c>
      <c r="J70" s="24">
        <v>0</v>
      </c>
      <c r="K70" s="24">
        <v>0</v>
      </c>
      <c r="L70" s="24">
        <v>0</v>
      </c>
      <c r="M70" s="2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</row>
    <row r="71" spans="1:43" ht="12.75">
      <c r="A71" s="22">
        <v>70</v>
      </c>
      <c r="B71" s="112">
        <v>46.09255</v>
      </c>
      <c r="C71" s="112">
        <v>-91.24328</v>
      </c>
      <c r="D71" s="4">
        <v>3</v>
      </c>
      <c r="E71" s="4" t="s">
        <v>480</v>
      </c>
      <c r="F71" s="101">
        <v>1</v>
      </c>
      <c r="G71" s="22">
        <v>1</v>
      </c>
      <c r="H71" s="83">
        <v>5</v>
      </c>
      <c r="I71" s="4">
        <v>2</v>
      </c>
      <c r="J71" s="24">
        <v>0</v>
      </c>
      <c r="K71" s="24">
        <v>1</v>
      </c>
      <c r="L71" s="24">
        <v>0</v>
      </c>
      <c r="M71" s="2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0</v>
      </c>
      <c r="U71" s="4">
        <v>0</v>
      </c>
      <c r="V71" s="4">
        <v>0</v>
      </c>
      <c r="W71" s="4">
        <v>0</v>
      </c>
      <c r="X71" s="4">
        <v>2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</row>
    <row r="72" spans="1:43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1</v>
      </c>
      <c r="H72" s="83">
        <v>1</v>
      </c>
      <c r="I72" s="4">
        <v>1</v>
      </c>
      <c r="J72" s="24">
        <v>0</v>
      </c>
      <c r="K72" s="24">
        <v>0</v>
      </c>
      <c r="L72" s="24">
        <v>0</v>
      </c>
      <c r="M72" s="2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</row>
    <row r="73" spans="1:43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0</v>
      </c>
      <c r="H73" s="83">
        <v>0</v>
      </c>
      <c r="I73" s="4">
        <v>0</v>
      </c>
      <c r="J73" s="24">
        <v>0</v>
      </c>
      <c r="K73" s="24">
        <v>0</v>
      </c>
      <c r="L73" s="24">
        <v>0</v>
      </c>
      <c r="M73" s="2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</row>
    <row r="74" spans="1:43" ht="12.75">
      <c r="A74" s="22">
        <v>73</v>
      </c>
      <c r="B74" s="112">
        <v>46.09257</v>
      </c>
      <c r="C74" s="112">
        <v>-91.24145</v>
      </c>
      <c r="D74" s="4">
        <v>5</v>
      </c>
      <c r="E74" s="4" t="s">
        <v>480</v>
      </c>
      <c r="F74" s="101">
        <v>1</v>
      </c>
      <c r="G74" s="22">
        <v>1</v>
      </c>
      <c r="H74" s="83">
        <v>1</v>
      </c>
      <c r="I74" s="4">
        <v>2</v>
      </c>
      <c r="J74" s="24">
        <v>0</v>
      </c>
      <c r="K74" s="24">
        <v>0</v>
      </c>
      <c r="L74" s="24">
        <v>0</v>
      </c>
      <c r="M74" s="2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2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</row>
    <row r="75" spans="1:43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1</v>
      </c>
      <c r="J75" s="24">
        <v>0</v>
      </c>
      <c r="K75" s="24">
        <v>0</v>
      </c>
      <c r="L75" s="24">
        <v>0</v>
      </c>
      <c r="M75" s="2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</row>
    <row r="76" spans="1:43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0</v>
      </c>
      <c r="H76" s="83">
        <v>0</v>
      </c>
      <c r="I76" s="4">
        <v>0</v>
      </c>
      <c r="J76" s="24">
        <v>0</v>
      </c>
      <c r="K76" s="24">
        <v>0</v>
      </c>
      <c r="L76" s="24">
        <v>0</v>
      </c>
      <c r="M76" s="2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</row>
    <row r="77" spans="1:43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2</v>
      </c>
      <c r="I77" s="4">
        <v>2</v>
      </c>
      <c r="J77" s="24">
        <v>0</v>
      </c>
      <c r="K77" s="24">
        <v>0</v>
      </c>
      <c r="L77" s="24">
        <v>0</v>
      </c>
      <c r="M77" s="2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1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</row>
    <row r="78" spans="1:43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1</v>
      </c>
      <c r="I78" s="4">
        <v>1</v>
      </c>
      <c r="J78" s="24">
        <v>0</v>
      </c>
      <c r="K78" s="24">
        <v>0</v>
      </c>
      <c r="L78" s="24">
        <v>0</v>
      </c>
      <c r="M78" s="2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</row>
    <row r="79" spans="1:43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1</v>
      </c>
      <c r="I79" s="4">
        <v>1</v>
      </c>
      <c r="J79" s="24">
        <v>0</v>
      </c>
      <c r="K79" s="24">
        <v>0</v>
      </c>
      <c r="L79" s="24">
        <v>0</v>
      </c>
      <c r="M79" s="2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</row>
    <row r="80" spans="1:43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1</v>
      </c>
      <c r="I80" s="4">
        <v>1</v>
      </c>
      <c r="J80" s="24">
        <v>0</v>
      </c>
      <c r="K80" s="24">
        <v>0</v>
      </c>
      <c r="L80" s="24">
        <v>0</v>
      </c>
      <c r="M80" s="2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</row>
    <row r="81" spans="1:43" ht="12.75">
      <c r="A81" s="22">
        <v>80</v>
      </c>
      <c r="B81" s="112">
        <v>46.09262</v>
      </c>
      <c r="C81" s="112">
        <v>-91.2372</v>
      </c>
      <c r="D81" s="4">
        <v>4.5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2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</row>
    <row r="82" spans="1:43" ht="12.75">
      <c r="A82" s="22">
        <v>81</v>
      </c>
      <c r="B82" s="112">
        <v>46.09262</v>
      </c>
      <c r="C82" s="112">
        <v>-91.23659</v>
      </c>
      <c r="D82" s="4">
        <v>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2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</row>
    <row r="83" spans="1:43" ht="12.75">
      <c r="A83" s="22">
        <v>82</v>
      </c>
      <c r="B83" s="112">
        <v>46.09263</v>
      </c>
      <c r="C83" s="112">
        <v>-91.23598</v>
      </c>
      <c r="D83" s="4">
        <v>4.5</v>
      </c>
      <c r="E83" s="4" t="s">
        <v>480</v>
      </c>
      <c r="F83" s="101">
        <v>1</v>
      </c>
      <c r="G83" s="22">
        <v>1</v>
      </c>
      <c r="H83" s="83">
        <v>1</v>
      </c>
      <c r="I83" s="4">
        <v>1</v>
      </c>
      <c r="J83" s="24">
        <v>0</v>
      </c>
      <c r="K83" s="24">
        <v>0</v>
      </c>
      <c r="L83" s="24">
        <v>0</v>
      </c>
      <c r="M83" s="2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4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</row>
    <row r="84" spans="1:43" ht="12.75">
      <c r="A84" s="22">
        <v>83</v>
      </c>
      <c r="B84" s="112">
        <v>46.09264</v>
      </c>
      <c r="C84" s="112">
        <v>-91.23538</v>
      </c>
      <c r="D84" s="4">
        <v>4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2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</row>
    <row r="85" spans="1:43" ht="12.75">
      <c r="A85" s="22">
        <v>84</v>
      </c>
      <c r="B85" s="112">
        <v>46.09265</v>
      </c>
      <c r="C85" s="112">
        <v>-91.23416</v>
      </c>
      <c r="D85" s="4">
        <v>2.5</v>
      </c>
      <c r="E85" s="4" t="s">
        <v>480</v>
      </c>
      <c r="F85" s="101">
        <v>1</v>
      </c>
      <c r="G85" s="22">
        <v>1</v>
      </c>
      <c r="H85" s="83">
        <v>2</v>
      </c>
      <c r="I85" s="4">
        <v>2</v>
      </c>
      <c r="J85" s="24">
        <v>0</v>
      </c>
      <c r="K85" s="24">
        <v>2</v>
      </c>
      <c r="L85" s="24">
        <v>0</v>
      </c>
      <c r="M85" s="2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</row>
    <row r="86" spans="1:43" ht="12.75">
      <c r="A86" s="22">
        <v>85</v>
      </c>
      <c r="B86" s="112">
        <v>46.09266</v>
      </c>
      <c r="C86" s="112">
        <v>-91.23355</v>
      </c>
      <c r="D86" s="4">
        <v>3</v>
      </c>
      <c r="E86" s="4" t="s">
        <v>480</v>
      </c>
      <c r="F86" s="101">
        <v>1</v>
      </c>
      <c r="G86" s="22">
        <v>1</v>
      </c>
      <c r="H86" s="83">
        <v>3</v>
      </c>
      <c r="I86" s="4">
        <v>2</v>
      </c>
      <c r="J86" s="24">
        <v>0</v>
      </c>
      <c r="K86" s="24">
        <v>2</v>
      </c>
      <c r="L86" s="24">
        <v>0</v>
      </c>
      <c r="M86" s="2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</row>
    <row r="87" spans="1:43" ht="12.75">
      <c r="A87" s="22">
        <v>86</v>
      </c>
      <c r="B87" s="112">
        <v>46.09298</v>
      </c>
      <c r="C87" s="112">
        <v>-91.24268</v>
      </c>
      <c r="D87" s="4">
        <v>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2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</row>
    <row r="88" spans="1:43" ht="12.75">
      <c r="A88" s="22">
        <v>87</v>
      </c>
      <c r="B88" s="112">
        <v>46.09299</v>
      </c>
      <c r="C88" s="112">
        <v>-91.24207</v>
      </c>
      <c r="D88" s="4">
        <v>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2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</row>
    <row r="89" spans="1:43" ht="12.75">
      <c r="A89" s="22">
        <v>88</v>
      </c>
      <c r="B89" s="112">
        <v>46.09299</v>
      </c>
      <c r="C89" s="112">
        <v>-91.24146</v>
      </c>
      <c r="D89" s="4">
        <v>5.5</v>
      </c>
      <c r="E89" s="4" t="s">
        <v>480</v>
      </c>
      <c r="F89" s="101">
        <v>1</v>
      </c>
      <c r="G89" s="22">
        <v>0</v>
      </c>
      <c r="H89" s="83">
        <v>0</v>
      </c>
      <c r="I89" s="4">
        <v>0</v>
      </c>
      <c r="J89" s="24">
        <v>0</v>
      </c>
      <c r="K89" s="24">
        <v>0</v>
      </c>
      <c r="L89" s="24">
        <v>0</v>
      </c>
      <c r="M89" s="2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</row>
    <row r="90" spans="1:43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1</v>
      </c>
      <c r="I90" s="4">
        <v>1</v>
      </c>
      <c r="J90" s="24">
        <v>0</v>
      </c>
      <c r="K90" s="24">
        <v>0</v>
      </c>
      <c r="L90" s="24">
        <v>0</v>
      </c>
      <c r="M90" s="2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1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</row>
    <row r="91" spans="1:43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1</v>
      </c>
      <c r="I91" s="4">
        <v>1</v>
      </c>
      <c r="J91" s="24">
        <v>0</v>
      </c>
      <c r="K91" s="24">
        <v>0</v>
      </c>
      <c r="L91" s="24">
        <v>0</v>
      </c>
      <c r="M91" s="2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</row>
    <row r="92" spans="1:43" ht="12.75">
      <c r="A92" s="22">
        <v>91</v>
      </c>
      <c r="B92" s="112">
        <v>46.09301</v>
      </c>
      <c r="C92" s="112">
        <v>-91.23964</v>
      </c>
      <c r="D92" s="4">
        <v>5.5</v>
      </c>
      <c r="E92" s="4" t="s">
        <v>480</v>
      </c>
      <c r="F92" s="101">
        <v>1</v>
      </c>
      <c r="G92" s="22">
        <v>1</v>
      </c>
      <c r="H92" s="83">
        <v>3</v>
      </c>
      <c r="I92" s="4">
        <v>2</v>
      </c>
      <c r="J92" s="24">
        <v>0</v>
      </c>
      <c r="K92" s="24">
        <v>0</v>
      </c>
      <c r="L92" s="24">
        <v>0</v>
      </c>
      <c r="M92" s="2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1</v>
      </c>
      <c r="AB92" s="4">
        <v>4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1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</row>
    <row r="93" spans="1:43" ht="12.75">
      <c r="A93" s="22">
        <v>92</v>
      </c>
      <c r="B93" s="112">
        <v>46.09302</v>
      </c>
      <c r="C93" s="112">
        <v>-91.23903</v>
      </c>
      <c r="D93" s="4">
        <v>5.5</v>
      </c>
      <c r="E93" s="4" t="s">
        <v>480</v>
      </c>
      <c r="F93" s="101">
        <v>1</v>
      </c>
      <c r="G93" s="22">
        <v>1</v>
      </c>
      <c r="H93" s="83">
        <v>1</v>
      </c>
      <c r="I93" s="4">
        <v>1</v>
      </c>
      <c r="J93" s="24">
        <v>0</v>
      </c>
      <c r="K93" s="24">
        <v>0</v>
      </c>
      <c r="L93" s="24">
        <v>0</v>
      </c>
      <c r="M93" s="2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</row>
    <row r="94" spans="1:43" ht="12.75">
      <c r="A94" s="22">
        <v>93</v>
      </c>
      <c r="B94" s="112">
        <v>46.09303</v>
      </c>
      <c r="C94" s="112">
        <v>-91.23843</v>
      </c>
      <c r="D94" s="4">
        <v>5</v>
      </c>
      <c r="E94" s="4" t="s">
        <v>480</v>
      </c>
      <c r="F94" s="101">
        <v>1</v>
      </c>
      <c r="G94" s="22">
        <v>1</v>
      </c>
      <c r="H94" s="83">
        <v>2</v>
      </c>
      <c r="I94" s="4">
        <v>2</v>
      </c>
      <c r="J94" s="24">
        <v>0</v>
      </c>
      <c r="K94" s="24">
        <v>0</v>
      </c>
      <c r="L94" s="24">
        <v>0</v>
      </c>
      <c r="M94" s="2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4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</row>
    <row r="95" spans="1:43" ht="12.75">
      <c r="A95" s="22">
        <v>94</v>
      </c>
      <c r="B95" s="112">
        <v>46.09303</v>
      </c>
      <c r="C95" s="112">
        <v>-91.23782</v>
      </c>
      <c r="D95" s="4">
        <v>5.5</v>
      </c>
      <c r="E95" s="4" t="s">
        <v>480</v>
      </c>
      <c r="F95" s="101">
        <v>1</v>
      </c>
      <c r="G95" s="22">
        <v>1</v>
      </c>
      <c r="H95" s="83">
        <v>1</v>
      </c>
      <c r="I95" s="4">
        <v>1</v>
      </c>
      <c r="J95" s="24">
        <v>0</v>
      </c>
      <c r="K95" s="24">
        <v>0</v>
      </c>
      <c r="L95" s="24">
        <v>0</v>
      </c>
      <c r="M95" s="2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</row>
    <row r="96" spans="1:43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1</v>
      </c>
      <c r="H96" s="83">
        <v>1</v>
      </c>
      <c r="I96" s="4">
        <v>2</v>
      </c>
      <c r="J96" s="24">
        <v>0</v>
      </c>
      <c r="K96" s="24">
        <v>0</v>
      </c>
      <c r="L96" s="24">
        <v>0</v>
      </c>
      <c r="M96" s="2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</row>
    <row r="97" spans="1:43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480</v>
      </c>
      <c r="F97" s="101">
        <v>1</v>
      </c>
      <c r="G97" s="22">
        <v>0</v>
      </c>
      <c r="H97" s="83">
        <v>0</v>
      </c>
      <c r="I97" s="4">
        <v>0</v>
      </c>
      <c r="J97" s="24">
        <v>0</v>
      </c>
      <c r="K97" s="24">
        <v>0</v>
      </c>
      <c r="L97" s="24">
        <v>0</v>
      </c>
      <c r="M97" s="2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4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</row>
    <row r="98" spans="1:43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6</v>
      </c>
      <c r="I98" s="4">
        <v>1</v>
      </c>
      <c r="J98" s="24">
        <v>0</v>
      </c>
      <c r="K98" s="24">
        <v>0</v>
      </c>
      <c r="L98" s="24">
        <v>0</v>
      </c>
      <c r="M98" s="24">
        <v>0</v>
      </c>
      <c r="N98" s="4">
        <v>0</v>
      </c>
      <c r="O98" s="4">
        <v>1</v>
      </c>
      <c r="P98" s="4">
        <v>0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2</v>
      </c>
      <c r="AO98" s="4">
        <v>0</v>
      </c>
      <c r="AP98" s="4">
        <v>0</v>
      </c>
      <c r="AQ98" s="4">
        <v>0</v>
      </c>
    </row>
    <row r="99" spans="1:43" ht="12.75">
      <c r="A99" s="22">
        <v>98</v>
      </c>
      <c r="B99" s="112">
        <v>46.09306</v>
      </c>
      <c r="C99" s="112">
        <v>-91.23539</v>
      </c>
      <c r="D99" s="4">
        <v>5</v>
      </c>
      <c r="E99" s="4" t="s">
        <v>480</v>
      </c>
      <c r="F99" s="101">
        <v>1</v>
      </c>
      <c r="G99" s="22">
        <v>1</v>
      </c>
      <c r="H99" s="83">
        <v>1</v>
      </c>
      <c r="I99" s="4">
        <v>1</v>
      </c>
      <c r="J99" s="24">
        <v>0</v>
      </c>
      <c r="K99" s="24">
        <v>0</v>
      </c>
      <c r="L99" s="24">
        <v>0</v>
      </c>
      <c r="M99" s="2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</row>
    <row r="100" spans="1:43" ht="12.75">
      <c r="A100" s="22">
        <v>99</v>
      </c>
      <c r="B100" s="112">
        <v>46.09307</v>
      </c>
      <c r="C100" s="112">
        <v>-91.23478</v>
      </c>
      <c r="D100" s="4">
        <v>5</v>
      </c>
      <c r="E100" s="4" t="s">
        <v>480</v>
      </c>
      <c r="F100" s="101">
        <v>1</v>
      </c>
      <c r="G100" s="22">
        <v>1</v>
      </c>
      <c r="H100" s="83">
        <v>2</v>
      </c>
      <c r="I100" s="4">
        <v>1</v>
      </c>
      <c r="J100" s="24">
        <v>0</v>
      </c>
      <c r="K100" s="24">
        <v>0</v>
      </c>
      <c r="L100" s="24">
        <v>0</v>
      </c>
      <c r="M100" s="2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</row>
    <row r="101" spans="1:43" ht="12.75">
      <c r="A101" s="22">
        <v>100</v>
      </c>
      <c r="B101" s="112">
        <v>46.09307</v>
      </c>
      <c r="C101" s="112">
        <v>-91.23417</v>
      </c>
      <c r="D101" s="4">
        <v>4</v>
      </c>
      <c r="E101" s="4" t="s">
        <v>480</v>
      </c>
      <c r="F101" s="101">
        <v>1</v>
      </c>
      <c r="G101" s="22">
        <v>1</v>
      </c>
      <c r="H101" s="83">
        <v>3</v>
      </c>
      <c r="I101" s="4">
        <v>2</v>
      </c>
      <c r="J101" s="24">
        <v>0</v>
      </c>
      <c r="K101" s="24">
        <v>2</v>
      </c>
      <c r="L101" s="24">
        <v>0</v>
      </c>
      <c r="M101" s="2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1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</row>
    <row r="102" spans="1:43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1</v>
      </c>
      <c r="I102" s="4">
        <v>2</v>
      </c>
      <c r="J102" s="24">
        <v>0</v>
      </c>
      <c r="K102" s="24">
        <v>0</v>
      </c>
      <c r="L102" s="24">
        <v>0</v>
      </c>
      <c r="M102" s="2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2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4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</row>
    <row r="103" spans="1:43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0</v>
      </c>
      <c r="H103" s="83">
        <v>0</v>
      </c>
      <c r="I103" s="4">
        <v>0</v>
      </c>
      <c r="J103" s="24">
        <v>0</v>
      </c>
      <c r="K103" s="24">
        <v>0</v>
      </c>
      <c r="L103" s="24">
        <v>0</v>
      </c>
      <c r="M103" s="2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</row>
    <row r="104" spans="1:43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2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</row>
    <row r="105" spans="1:43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2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</row>
    <row r="106" spans="1:43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1</v>
      </c>
      <c r="H106" s="83">
        <v>1</v>
      </c>
      <c r="I106" s="4">
        <v>1</v>
      </c>
      <c r="J106" s="24">
        <v>0</v>
      </c>
      <c r="K106" s="24">
        <v>0</v>
      </c>
      <c r="L106" s="24">
        <v>0</v>
      </c>
      <c r="M106" s="2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</row>
    <row r="107" spans="1:43" ht="12.75">
      <c r="A107" s="22">
        <v>106</v>
      </c>
      <c r="B107" s="112">
        <v>46.09342</v>
      </c>
      <c r="C107" s="112">
        <v>-91.24087</v>
      </c>
      <c r="D107" s="4">
        <v>6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2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</row>
    <row r="108" spans="1:43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1</v>
      </c>
      <c r="H108" s="83">
        <v>1</v>
      </c>
      <c r="I108" s="4">
        <v>1</v>
      </c>
      <c r="J108" s="24">
        <v>0</v>
      </c>
      <c r="K108" s="24">
        <v>0</v>
      </c>
      <c r="L108" s="24">
        <v>0</v>
      </c>
      <c r="M108" s="2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1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</row>
    <row r="109" spans="1:43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0</v>
      </c>
      <c r="M109" s="2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</row>
    <row r="110" spans="1:43" ht="12.75">
      <c r="A110" s="22">
        <v>109</v>
      </c>
      <c r="B110" s="112">
        <v>46.09344</v>
      </c>
      <c r="C110" s="112">
        <v>-91.23904</v>
      </c>
      <c r="D110" s="4">
        <v>5.5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2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</row>
    <row r="111" spans="1:43" ht="12.75">
      <c r="A111" s="22">
        <v>110</v>
      </c>
      <c r="B111" s="112">
        <v>46.09345</v>
      </c>
      <c r="C111" s="112">
        <v>-91.23843</v>
      </c>
      <c r="D111" s="4">
        <v>6</v>
      </c>
      <c r="E111" s="4" t="s">
        <v>480</v>
      </c>
      <c r="F111" s="101">
        <v>1</v>
      </c>
      <c r="G111" s="22">
        <v>0</v>
      </c>
      <c r="H111" s="83">
        <v>0</v>
      </c>
      <c r="I111" s="4">
        <v>0</v>
      </c>
      <c r="J111" s="24">
        <v>0</v>
      </c>
      <c r="K111" s="24">
        <v>0</v>
      </c>
      <c r="L111" s="24">
        <v>0</v>
      </c>
      <c r="M111" s="2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</row>
    <row r="112" spans="1:43" ht="12.75">
      <c r="A112" s="22">
        <v>111</v>
      </c>
      <c r="B112" s="112">
        <v>46.09346</v>
      </c>
      <c r="C112" s="112">
        <v>-91.23783</v>
      </c>
      <c r="D112" s="4">
        <v>5</v>
      </c>
      <c r="E112" s="4" t="s">
        <v>480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2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</row>
    <row r="113" spans="1:43" ht="12.75">
      <c r="A113" s="22">
        <v>112</v>
      </c>
      <c r="B113" s="112">
        <v>46.0935</v>
      </c>
      <c r="C113" s="112">
        <v>-91.23418</v>
      </c>
      <c r="D113" s="4">
        <v>1.5</v>
      </c>
      <c r="E113" s="4" t="s">
        <v>482</v>
      </c>
      <c r="F113" s="101">
        <v>1</v>
      </c>
      <c r="G113" s="22">
        <v>1</v>
      </c>
      <c r="H113" s="83">
        <v>4</v>
      </c>
      <c r="I113" s="4">
        <v>2</v>
      </c>
      <c r="J113" s="24">
        <v>0</v>
      </c>
      <c r="K113" s="24">
        <v>0</v>
      </c>
      <c r="L113" s="24">
        <v>0</v>
      </c>
      <c r="M113" s="24">
        <v>0</v>
      </c>
      <c r="N113" s="4">
        <v>0</v>
      </c>
      <c r="O113" s="4">
        <v>1</v>
      </c>
      <c r="P113" s="4">
        <v>0</v>
      </c>
      <c r="Q113" s="4">
        <v>0</v>
      </c>
      <c r="R113" s="4">
        <v>0</v>
      </c>
      <c r="S113" s="4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1</v>
      </c>
      <c r="AO113" s="4">
        <v>0</v>
      </c>
      <c r="AP113" s="4">
        <v>0</v>
      </c>
      <c r="AQ113" s="4">
        <v>0</v>
      </c>
    </row>
    <row r="114" spans="1:43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2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</row>
    <row r="115" spans="1:43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2</v>
      </c>
      <c r="I115" s="4">
        <v>2</v>
      </c>
      <c r="J115" s="24">
        <v>0</v>
      </c>
      <c r="K115" s="24">
        <v>1</v>
      </c>
      <c r="L115" s="24">
        <v>0</v>
      </c>
      <c r="M115" s="2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2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</row>
    <row r="116" spans="1:43" ht="12.75">
      <c r="A116" s="22">
        <v>115</v>
      </c>
      <c r="B116" s="112">
        <v>46.09351</v>
      </c>
      <c r="C116" s="112">
        <v>-91.23236</v>
      </c>
      <c r="D116" s="4">
        <v>4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2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</row>
    <row r="117" spans="1:43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2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</row>
    <row r="118" spans="1:43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2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</row>
    <row r="119" spans="1:43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2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</row>
    <row r="120" spans="1:43" ht="12.75">
      <c r="A120" s="22">
        <v>119</v>
      </c>
      <c r="B120" s="112">
        <v>46.09385</v>
      </c>
      <c r="C120" s="112">
        <v>-91.24088</v>
      </c>
      <c r="D120" s="4">
        <v>6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2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</row>
    <row r="121" spans="1:43" ht="12.75">
      <c r="A121" s="22">
        <v>120</v>
      </c>
      <c r="B121" s="112">
        <v>46.09385</v>
      </c>
      <c r="C121" s="112">
        <v>-91.24027</v>
      </c>
      <c r="D121" s="4">
        <v>5.5</v>
      </c>
      <c r="E121" s="4" t="s">
        <v>480</v>
      </c>
      <c r="F121" s="101">
        <v>1</v>
      </c>
      <c r="G121" s="22">
        <v>0</v>
      </c>
      <c r="H121" s="83">
        <v>0</v>
      </c>
      <c r="I121" s="4">
        <v>0</v>
      </c>
      <c r="J121" s="24">
        <v>0</v>
      </c>
      <c r="K121" s="24">
        <v>0</v>
      </c>
      <c r="L121" s="24">
        <v>0</v>
      </c>
      <c r="M121" s="2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</row>
    <row r="122" spans="1:43" ht="12.75">
      <c r="A122" s="22">
        <v>121</v>
      </c>
      <c r="B122" s="112">
        <v>46.09386</v>
      </c>
      <c r="C122" s="112">
        <v>-91.23966</v>
      </c>
      <c r="D122" s="4">
        <v>5.5</v>
      </c>
      <c r="E122" s="4" t="s">
        <v>480</v>
      </c>
      <c r="F122" s="101">
        <v>1</v>
      </c>
      <c r="G122" s="22">
        <v>0</v>
      </c>
      <c r="H122" s="83">
        <v>0</v>
      </c>
      <c r="I122" s="4">
        <v>0</v>
      </c>
      <c r="J122" s="24">
        <v>0</v>
      </c>
      <c r="K122" s="24">
        <v>0</v>
      </c>
      <c r="L122" s="24">
        <v>0</v>
      </c>
      <c r="M122" s="2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</row>
    <row r="123" spans="1:43" ht="12.75">
      <c r="A123" s="22">
        <v>122</v>
      </c>
      <c r="B123" s="112">
        <v>46.09387</v>
      </c>
      <c r="C123" s="112">
        <v>-91.23905</v>
      </c>
      <c r="D123" s="4">
        <v>6.5</v>
      </c>
      <c r="E123" s="4" t="s">
        <v>480</v>
      </c>
      <c r="F123" s="101">
        <v>1</v>
      </c>
      <c r="G123" s="22">
        <v>1</v>
      </c>
      <c r="H123" s="83">
        <v>2</v>
      </c>
      <c r="I123" s="4">
        <v>1</v>
      </c>
      <c r="J123" s="24">
        <v>0</v>
      </c>
      <c r="K123" s="24">
        <v>0</v>
      </c>
      <c r="L123" s="24">
        <v>0</v>
      </c>
      <c r="M123" s="2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4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</row>
    <row r="124" spans="1:43" ht="12.75">
      <c r="A124" s="22">
        <v>123</v>
      </c>
      <c r="B124" s="112">
        <v>46.09392</v>
      </c>
      <c r="C124" s="112">
        <v>-91.23419</v>
      </c>
      <c r="D124" s="4">
        <v>3</v>
      </c>
      <c r="E124" s="4" t="s">
        <v>481</v>
      </c>
      <c r="F124" s="101">
        <v>1</v>
      </c>
      <c r="G124" s="22">
        <v>1</v>
      </c>
      <c r="H124" s="83">
        <v>2</v>
      </c>
      <c r="I124" s="4">
        <v>2</v>
      </c>
      <c r="J124" s="24">
        <v>0</v>
      </c>
      <c r="K124" s="24">
        <v>0</v>
      </c>
      <c r="L124" s="24">
        <v>0</v>
      </c>
      <c r="M124" s="2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2</v>
      </c>
      <c r="AO124" s="4">
        <v>0</v>
      </c>
      <c r="AP124" s="4">
        <v>0</v>
      </c>
      <c r="AQ124" s="4">
        <v>0</v>
      </c>
    </row>
    <row r="125" spans="1:43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2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</row>
    <row r="126" spans="1:43" ht="12.75">
      <c r="A126" s="22">
        <v>125</v>
      </c>
      <c r="B126" s="112">
        <v>46.09393</v>
      </c>
      <c r="C126" s="112">
        <v>-91.23297</v>
      </c>
      <c r="D126" s="4">
        <v>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2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</row>
    <row r="127" spans="1:43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0</v>
      </c>
      <c r="H127" s="83">
        <v>0</v>
      </c>
      <c r="I127" s="4">
        <v>0</v>
      </c>
      <c r="J127" s="24">
        <v>0</v>
      </c>
      <c r="K127" s="24">
        <v>0</v>
      </c>
      <c r="L127" s="24">
        <v>0</v>
      </c>
      <c r="M127" s="2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</row>
    <row r="128" spans="1:43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2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</row>
    <row r="129" spans="1:43" ht="12.75">
      <c r="A129" s="22">
        <v>128</v>
      </c>
      <c r="B129" s="112">
        <v>46.09424</v>
      </c>
      <c r="C129" s="112">
        <v>-91.24332</v>
      </c>
      <c r="D129" s="4">
        <v>4.5</v>
      </c>
      <c r="E129" s="4" t="s">
        <v>480</v>
      </c>
      <c r="F129" s="101">
        <v>1</v>
      </c>
      <c r="G129" s="22">
        <v>0</v>
      </c>
      <c r="H129" s="83">
        <v>0</v>
      </c>
      <c r="I129" s="4">
        <v>0</v>
      </c>
      <c r="J129" s="24">
        <v>0</v>
      </c>
      <c r="K129" s="24">
        <v>0</v>
      </c>
      <c r="L129" s="24">
        <v>0</v>
      </c>
      <c r="M129" s="2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</row>
    <row r="130" spans="1:43" ht="12.75">
      <c r="A130" s="22">
        <v>129</v>
      </c>
      <c r="B130" s="112">
        <v>46.09425</v>
      </c>
      <c r="C130" s="112">
        <v>-91.24271</v>
      </c>
      <c r="D130" s="4">
        <v>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2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</row>
    <row r="131" spans="1:43" ht="12.75">
      <c r="A131" s="22">
        <v>130</v>
      </c>
      <c r="B131" s="112">
        <v>46.09426</v>
      </c>
      <c r="C131" s="112">
        <v>-91.2421</v>
      </c>
      <c r="D131" s="4">
        <v>5.5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2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</row>
    <row r="132" spans="1:43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2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</row>
    <row r="133" spans="1:43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2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</row>
    <row r="134" spans="1:43" ht="12.75">
      <c r="A134" s="22">
        <v>133</v>
      </c>
      <c r="B134" s="112">
        <v>46.09427</v>
      </c>
      <c r="C134" s="112">
        <v>-91.24028</v>
      </c>
      <c r="D134" s="4">
        <v>5.5</v>
      </c>
      <c r="E134" s="4" t="s">
        <v>480</v>
      </c>
      <c r="F134" s="101">
        <v>1</v>
      </c>
      <c r="G134" s="22">
        <v>1</v>
      </c>
      <c r="H134" s="83">
        <v>2</v>
      </c>
      <c r="I134" s="4">
        <v>1</v>
      </c>
      <c r="J134" s="24">
        <v>0</v>
      </c>
      <c r="K134" s="24">
        <v>0</v>
      </c>
      <c r="L134" s="24">
        <v>0</v>
      </c>
      <c r="M134" s="2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1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</row>
    <row r="135" spans="1:43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1</v>
      </c>
      <c r="H135" s="83">
        <v>1</v>
      </c>
      <c r="I135" s="4">
        <v>1</v>
      </c>
      <c r="J135" s="24">
        <v>0</v>
      </c>
      <c r="K135" s="24">
        <v>0</v>
      </c>
      <c r="L135" s="24">
        <v>0</v>
      </c>
      <c r="M135" s="24">
        <v>1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</row>
    <row r="136" spans="1:43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2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</row>
    <row r="137" spans="1:43" ht="12.75">
      <c r="A137" s="22">
        <v>136</v>
      </c>
      <c r="B137" s="112">
        <v>46.0943</v>
      </c>
      <c r="C137" s="112">
        <v>-91.23845</v>
      </c>
      <c r="D137" s="4">
        <v>8</v>
      </c>
      <c r="E137" s="4" t="s">
        <v>480</v>
      </c>
      <c r="F137" s="101">
        <v>1</v>
      </c>
      <c r="G137" s="22">
        <v>0</v>
      </c>
      <c r="H137" s="83">
        <v>0</v>
      </c>
      <c r="I137" s="4">
        <v>0</v>
      </c>
      <c r="J137" s="24">
        <v>0</v>
      </c>
      <c r="K137" s="24">
        <v>0</v>
      </c>
      <c r="L137" s="24">
        <v>0</v>
      </c>
      <c r="M137" s="2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</row>
    <row r="138" spans="1:43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1</v>
      </c>
      <c r="H138" s="83">
        <v>2</v>
      </c>
      <c r="I138" s="4">
        <v>1</v>
      </c>
      <c r="J138" s="24">
        <v>0</v>
      </c>
      <c r="K138" s="24">
        <v>0</v>
      </c>
      <c r="L138" s="24">
        <v>0</v>
      </c>
      <c r="M138" s="24">
        <v>1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</row>
    <row r="139" spans="1:43" ht="12.75">
      <c r="A139" s="22">
        <v>138</v>
      </c>
      <c r="B139" s="112">
        <v>46.09433</v>
      </c>
      <c r="C139" s="112">
        <v>-91.23481</v>
      </c>
      <c r="D139" s="4">
        <v>1.5</v>
      </c>
      <c r="E139" s="4" t="s">
        <v>481</v>
      </c>
      <c r="F139" s="101">
        <v>1</v>
      </c>
      <c r="G139" s="22">
        <v>1</v>
      </c>
      <c r="H139" s="83">
        <v>4</v>
      </c>
      <c r="I139" s="4">
        <v>2</v>
      </c>
      <c r="J139" s="24">
        <v>0</v>
      </c>
      <c r="K139" s="24">
        <v>0</v>
      </c>
      <c r="L139" s="24">
        <v>0</v>
      </c>
      <c r="M139" s="24">
        <v>1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2</v>
      </c>
      <c r="T139" s="4">
        <v>1</v>
      </c>
      <c r="U139" s="4">
        <v>1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</row>
    <row r="140" spans="1:43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2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</row>
    <row r="141" spans="1:43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2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</row>
    <row r="142" spans="1:43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2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</row>
    <row r="143" spans="1:43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2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</row>
    <row r="144" spans="1:43" ht="12.75">
      <c r="A144" s="22">
        <v>143</v>
      </c>
      <c r="B144" s="112">
        <v>46.09437</v>
      </c>
      <c r="C144" s="112">
        <v>-91.23177</v>
      </c>
      <c r="D144" s="4">
        <v>5</v>
      </c>
      <c r="E144" s="4" t="s">
        <v>480</v>
      </c>
      <c r="F144" s="101">
        <v>1</v>
      </c>
      <c r="G144" s="22">
        <v>1</v>
      </c>
      <c r="H144" s="83">
        <v>2</v>
      </c>
      <c r="I144" s="4">
        <v>1</v>
      </c>
      <c r="J144" s="24">
        <v>0</v>
      </c>
      <c r="K144" s="24">
        <v>0</v>
      </c>
      <c r="L144" s="24">
        <v>0</v>
      </c>
      <c r="M144" s="2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</row>
    <row r="145" spans="1:43" ht="12.75">
      <c r="A145" s="22">
        <v>144</v>
      </c>
      <c r="B145" s="112">
        <v>46.09465</v>
      </c>
      <c r="C145" s="112">
        <v>-91.24515</v>
      </c>
      <c r="D145" s="4">
        <v>2.5</v>
      </c>
      <c r="E145" s="4" t="s">
        <v>480</v>
      </c>
      <c r="F145" s="101">
        <v>1</v>
      </c>
      <c r="G145" s="22">
        <v>1</v>
      </c>
      <c r="H145" s="83">
        <v>2</v>
      </c>
      <c r="I145" s="4">
        <v>2</v>
      </c>
      <c r="J145" s="24">
        <v>0</v>
      </c>
      <c r="K145" s="24">
        <v>0</v>
      </c>
      <c r="L145" s="24">
        <v>0</v>
      </c>
      <c r="M145" s="24">
        <v>1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4</v>
      </c>
      <c r="Z145" s="4">
        <v>0</v>
      </c>
      <c r="AA145" s="4">
        <v>0</v>
      </c>
      <c r="AB145" s="4">
        <v>4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2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</row>
    <row r="146" spans="1:43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1</v>
      </c>
      <c r="I146" s="4">
        <v>1</v>
      </c>
      <c r="J146" s="24">
        <v>0</v>
      </c>
      <c r="K146" s="24">
        <v>0</v>
      </c>
      <c r="L146" s="24">
        <v>0</v>
      </c>
      <c r="M146" s="2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1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</row>
    <row r="147" spans="1:43" ht="12.75">
      <c r="A147" s="22">
        <v>146</v>
      </c>
      <c r="B147" s="112">
        <v>46.09466</v>
      </c>
      <c r="C147" s="112">
        <v>-91.24393</v>
      </c>
      <c r="D147" s="4">
        <v>4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2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</row>
    <row r="148" spans="1:43" ht="12.75">
      <c r="A148" s="22">
        <v>147</v>
      </c>
      <c r="B148" s="112">
        <v>46.09466</v>
      </c>
      <c r="C148" s="112">
        <v>-91.24333</v>
      </c>
      <c r="D148" s="4">
        <v>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2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43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2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</row>
    <row r="150" spans="1:43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0</v>
      </c>
      <c r="H150" s="83">
        <v>0</v>
      </c>
      <c r="I150" s="4">
        <v>0</v>
      </c>
      <c r="J150" s="24">
        <v>0</v>
      </c>
      <c r="K150" s="24">
        <v>0</v>
      </c>
      <c r="L150" s="24">
        <v>0</v>
      </c>
      <c r="M150" s="2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</row>
    <row r="151" spans="1:43" ht="12.75">
      <c r="A151" s="22">
        <v>150</v>
      </c>
      <c r="B151" s="112">
        <v>46.09469</v>
      </c>
      <c r="C151" s="112">
        <v>-91.2415</v>
      </c>
      <c r="D151" s="4">
        <v>6</v>
      </c>
      <c r="E151" s="4" t="s">
        <v>480</v>
      </c>
      <c r="F151" s="101">
        <v>1</v>
      </c>
      <c r="G151" s="22">
        <v>1</v>
      </c>
      <c r="H151" s="83">
        <v>1</v>
      </c>
      <c r="I151" s="4">
        <v>1</v>
      </c>
      <c r="J151" s="24">
        <v>0</v>
      </c>
      <c r="K151" s="24">
        <v>0</v>
      </c>
      <c r="L151" s="24">
        <v>0</v>
      </c>
      <c r="M151" s="2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1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43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2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</row>
    <row r="153" spans="1:43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2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4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</row>
    <row r="154" spans="1:43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1</v>
      </c>
      <c r="H154" s="83">
        <v>1</v>
      </c>
      <c r="I154" s="4">
        <v>2</v>
      </c>
      <c r="J154" s="24">
        <v>0</v>
      </c>
      <c r="K154" s="24">
        <v>0</v>
      </c>
      <c r="L154" s="24">
        <v>0</v>
      </c>
      <c r="M154" s="2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</row>
    <row r="155" spans="1:43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3</v>
      </c>
      <c r="I155" s="4">
        <v>1</v>
      </c>
      <c r="J155" s="24">
        <v>0</v>
      </c>
      <c r="K155" s="24">
        <v>0</v>
      </c>
      <c r="L155" s="24">
        <v>0</v>
      </c>
      <c r="M155" s="24">
        <v>1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</row>
    <row r="156" spans="1:43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1</v>
      </c>
      <c r="H156" s="83">
        <v>3</v>
      </c>
      <c r="I156" s="4">
        <v>1</v>
      </c>
      <c r="J156" s="24">
        <v>0</v>
      </c>
      <c r="K156" s="24">
        <v>0</v>
      </c>
      <c r="L156" s="24">
        <v>0</v>
      </c>
      <c r="M156" s="2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</row>
    <row r="157" spans="1:43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2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</row>
    <row r="158" spans="1:43" ht="12.75">
      <c r="A158" s="22">
        <v>157</v>
      </c>
      <c r="B158" s="112">
        <v>46.09473</v>
      </c>
      <c r="C158" s="112">
        <v>-91.23725</v>
      </c>
      <c r="D158" s="4">
        <v>5</v>
      </c>
      <c r="E158" s="4" t="s">
        <v>480</v>
      </c>
      <c r="F158" s="101">
        <v>1</v>
      </c>
      <c r="G158" s="22">
        <v>1</v>
      </c>
      <c r="H158" s="83">
        <v>1</v>
      </c>
      <c r="I158" s="4">
        <v>1</v>
      </c>
      <c r="J158" s="24">
        <v>0</v>
      </c>
      <c r="K158" s="24">
        <v>0</v>
      </c>
      <c r="L158" s="24">
        <v>0</v>
      </c>
      <c r="M158" s="2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</row>
    <row r="159" spans="1:43" ht="12.75">
      <c r="A159" s="22">
        <v>158</v>
      </c>
      <c r="B159" s="112">
        <v>46.09476</v>
      </c>
      <c r="C159" s="112">
        <v>-91.23482</v>
      </c>
      <c r="D159" s="4">
        <v>5</v>
      </c>
      <c r="E159" s="4" t="s">
        <v>480</v>
      </c>
      <c r="F159" s="101">
        <v>1</v>
      </c>
      <c r="G159" s="22">
        <v>1</v>
      </c>
      <c r="H159" s="83">
        <v>1</v>
      </c>
      <c r="I159" s="4">
        <v>1</v>
      </c>
      <c r="J159" s="24">
        <v>0</v>
      </c>
      <c r="K159" s="24">
        <v>0</v>
      </c>
      <c r="L159" s="24">
        <v>0</v>
      </c>
      <c r="M159" s="2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</row>
    <row r="160" spans="1:43" ht="12.75">
      <c r="A160" s="22">
        <v>159</v>
      </c>
      <c r="B160" s="112">
        <v>46.09476</v>
      </c>
      <c r="C160" s="112">
        <v>-91.23421</v>
      </c>
      <c r="D160" s="4">
        <v>5</v>
      </c>
      <c r="E160" s="4" t="s">
        <v>480</v>
      </c>
      <c r="F160" s="101">
        <v>1</v>
      </c>
      <c r="G160" s="22">
        <v>1</v>
      </c>
      <c r="H160" s="83">
        <v>2</v>
      </c>
      <c r="I160" s="4">
        <v>1</v>
      </c>
      <c r="J160" s="24">
        <v>0</v>
      </c>
      <c r="K160" s="24">
        <v>0</v>
      </c>
      <c r="L160" s="24">
        <v>0</v>
      </c>
      <c r="M160" s="2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1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</row>
    <row r="161" spans="1:43" ht="12.75">
      <c r="A161" s="22">
        <v>160</v>
      </c>
      <c r="B161" s="112">
        <v>46.09477</v>
      </c>
      <c r="C161" s="112">
        <v>-91.2336</v>
      </c>
      <c r="D161" s="4">
        <v>4</v>
      </c>
      <c r="E161" s="4" t="s">
        <v>480</v>
      </c>
      <c r="F161" s="101">
        <v>1</v>
      </c>
      <c r="G161" s="22">
        <v>1</v>
      </c>
      <c r="H161" s="83">
        <v>2</v>
      </c>
      <c r="I161" s="4">
        <v>2</v>
      </c>
      <c r="J161" s="24">
        <v>0</v>
      </c>
      <c r="K161" s="24">
        <v>2</v>
      </c>
      <c r="L161" s="24">
        <v>0</v>
      </c>
      <c r="M161" s="2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</row>
    <row r="162" spans="1:43" ht="12.75">
      <c r="A162" s="22">
        <v>161</v>
      </c>
      <c r="B162" s="112">
        <v>46.09478</v>
      </c>
      <c r="C162" s="112">
        <v>-91.23299</v>
      </c>
      <c r="D162" s="4">
        <v>5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2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</row>
    <row r="163" spans="1:43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1</v>
      </c>
      <c r="H163" s="83">
        <v>2</v>
      </c>
      <c r="I163" s="4">
        <v>1</v>
      </c>
      <c r="J163" s="24">
        <v>0</v>
      </c>
      <c r="K163" s="24">
        <v>1</v>
      </c>
      <c r="L163" s="24">
        <v>0</v>
      </c>
      <c r="M163" s="2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1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</row>
    <row r="164" spans="1:43" ht="12.75">
      <c r="A164" s="22">
        <v>163</v>
      </c>
      <c r="B164" s="112">
        <v>46.09479</v>
      </c>
      <c r="C164" s="112">
        <v>-91.23178</v>
      </c>
      <c r="D164" s="4">
        <v>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2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</row>
    <row r="165" spans="1:43" ht="12.75">
      <c r="A165" s="22">
        <v>164</v>
      </c>
      <c r="B165" s="112">
        <v>46.09507</v>
      </c>
      <c r="C165" s="112">
        <v>-91.24516</v>
      </c>
      <c r="D165" s="4">
        <v>1.5</v>
      </c>
      <c r="E165" s="4" t="s">
        <v>480</v>
      </c>
      <c r="F165" s="101">
        <v>1</v>
      </c>
      <c r="G165" s="22">
        <v>1</v>
      </c>
      <c r="H165" s="83">
        <v>3</v>
      </c>
      <c r="I165" s="4">
        <v>2</v>
      </c>
      <c r="J165" s="24">
        <v>0</v>
      </c>
      <c r="K165" s="24">
        <v>1</v>
      </c>
      <c r="L165" s="24">
        <v>0</v>
      </c>
      <c r="M165" s="2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2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</row>
    <row r="166" spans="1:43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1</v>
      </c>
      <c r="J166" s="24">
        <v>0</v>
      </c>
      <c r="K166" s="24">
        <v>0</v>
      </c>
      <c r="L166" s="24">
        <v>0</v>
      </c>
      <c r="M166" s="2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1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</row>
    <row r="167" spans="1:43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0</v>
      </c>
      <c r="H167" s="83">
        <v>0</v>
      </c>
      <c r="I167" s="4">
        <v>0</v>
      </c>
      <c r="J167" s="24">
        <v>0</v>
      </c>
      <c r="K167" s="24">
        <v>0</v>
      </c>
      <c r="L167" s="24">
        <v>0</v>
      </c>
      <c r="M167" s="2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</row>
    <row r="168" spans="1:43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2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</row>
    <row r="169" spans="1:43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0</v>
      </c>
      <c r="H169" s="83">
        <v>0</v>
      </c>
      <c r="I169" s="4">
        <v>0</v>
      </c>
      <c r="J169" s="24">
        <v>0</v>
      </c>
      <c r="K169" s="24">
        <v>0</v>
      </c>
      <c r="L169" s="24">
        <v>0</v>
      </c>
      <c r="M169" s="2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4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</row>
    <row r="170" spans="1:43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2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</row>
    <row r="171" spans="1:43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1</v>
      </c>
      <c r="H171" s="83">
        <v>1</v>
      </c>
      <c r="I171" s="4">
        <v>1</v>
      </c>
      <c r="J171" s="24">
        <v>0</v>
      </c>
      <c r="K171" s="24">
        <v>0</v>
      </c>
      <c r="L171" s="24">
        <v>0</v>
      </c>
      <c r="M171" s="2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</row>
    <row r="172" spans="1:43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1</v>
      </c>
      <c r="H172" s="83">
        <v>2</v>
      </c>
      <c r="I172" s="4">
        <v>1</v>
      </c>
      <c r="J172" s="24">
        <v>0</v>
      </c>
      <c r="K172" s="24">
        <v>0</v>
      </c>
      <c r="L172" s="24">
        <v>0</v>
      </c>
      <c r="M172" s="2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1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</row>
    <row r="173" spans="1:43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1</v>
      </c>
      <c r="H173" s="83">
        <v>1</v>
      </c>
      <c r="I173" s="4">
        <v>1</v>
      </c>
      <c r="J173" s="24">
        <v>0</v>
      </c>
      <c r="K173" s="24">
        <v>0</v>
      </c>
      <c r="L173" s="24">
        <v>0</v>
      </c>
      <c r="M173" s="2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1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</row>
    <row r="174" spans="1:43" ht="12.75">
      <c r="A174" s="22">
        <v>173</v>
      </c>
      <c r="B174" s="112">
        <v>46.09513</v>
      </c>
      <c r="C174" s="112">
        <v>-91.23969</v>
      </c>
      <c r="D174" s="4">
        <v>6.5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2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</row>
    <row r="175" spans="1:43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1</v>
      </c>
      <c r="H175" s="83">
        <v>1</v>
      </c>
      <c r="I175" s="4">
        <v>1</v>
      </c>
      <c r="J175" s="24">
        <v>0</v>
      </c>
      <c r="K175" s="24">
        <v>0</v>
      </c>
      <c r="L175" s="24">
        <v>0</v>
      </c>
      <c r="M175" s="2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4</v>
      </c>
      <c r="AC175" s="4">
        <v>0</v>
      </c>
      <c r="AD175" s="4">
        <v>0</v>
      </c>
      <c r="AE175" s="4">
        <v>1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</row>
    <row r="176" spans="1:43" ht="12.75">
      <c r="A176" s="22">
        <v>175</v>
      </c>
      <c r="B176" s="112">
        <v>46.09514</v>
      </c>
      <c r="C176" s="112">
        <v>-91.23847</v>
      </c>
      <c r="D176" s="4">
        <v>5.5</v>
      </c>
      <c r="E176" s="4" t="s">
        <v>480</v>
      </c>
      <c r="F176" s="101">
        <v>1</v>
      </c>
      <c r="G176" s="22">
        <v>1</v>
      </c>
      <c r="H176" s="83">
        <v>4</v>
      </c>
      <c r="I176" s="4">
        <v>2</v>
      </c>
      <c r="J176" s="24">
        <v>0</v>
      </c>
      <c r="K176" s="24">
        <v>0</v>
      </c>
      <c r="L176" s="24">
        <v>0</v>
      </c>
      <c r="M176" s="2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1</v>
      </c>
      <c r="AB176" s="4">
        <v>2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1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</row>
    <row r="177" spans="1:43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2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</row>
    <row r="178" spans="1:43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1</v>
      </c>
      <c r="H178" s="83">
        <v>2</v>
      </c>
      <c r="I178" s="4">
        <v>1</v>
      </c>
      <c r="J178" s="24">
        <v>0</v>
      </c>
      <c r="K178" s="24">
        <v>0</v>
      </c>
      <c r="L178" s="24">
        <v>0</v>
      </c>
      <c r="M178" s="2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</v>
      </c>
      <c r="AF178" s="4">
        <v>0</v>
      </c>
      <c r="AG178" s="4">
        <v>0</v>
      </c>
      <c r="AH178" s="4">
        <v>1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</row>
    <row r="179" spans="1:43" ht="12.75">
      <c r="A179" s="22">
        <v>178</v>
      </c>
      <c r="B179" s="112">
        <v>46.09516</v>
      </c>
      <c r="C179" s="112">
        <v>-91.23665</v>
      </c>
      <c r="D179" s="4">
        <v>6</v>
      </c>
      <c r="E179" s="4" t="s">
        <v>480</v>
      </c>
      <c r="F179" s="101">
        <v>1</v>
      </c>
      <c r="G179" s="22">
        <v>1</v>
      </c>
      <c r="H179" s="83">
        <v>2</v>
      </c>
      <c r="I179" s="4">
        <v>2</v>
      </c>
      <c r="J179" s="24">
        <v>0</v>
      </c>
      <c r="K179" s="24">
        <v>0</v>
      </c>
      <c r="L179" s="24">
        <v>0</v>
      </c>
      <c r="M179" s="2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</row>
    <row r="180" spans="1:43" ht="12.75">
      <c r="A180" s="22">
        <v>179</v>
      </c>
      <c r="B180" s="112">
        <v>46.09517</v>
      </c>
      <c r="C180" s="112">
        <v>-91.23543</v>
      </c>
      <c r="D180" s="4">
        <v>2.5</v>
      </c>
      <c r="E180" s="4" t="s">
        <v>482</v>
      </c>
      <c r="F180" s="101">
        <v>1</v>
      </c>
      <c r="G180" s="22">
        <v>1</v>
      </c>
      <c r="H180" s="83">
        <v>4</v>
      </c>
      <c r="I180" s="4">
        <v>2</v>
      </c>
      <c r="J180" s="24">
        <v>0</v>
      </c>
      <c r="K180" s="24">
        <v>0</v>
      </c>
      <c r="L180" s="24">
        <v>0</v>
      </c>
      <c r="M180" s="24">
        <v>1</v>
      </c>
      <c r="N180" s="4">
        <v>0</v>
      </c>
      <c r="O180" s="4">
        <v>0</v>
      </c>
      <c r="P180" s="4">
        <v>0</v>
      </c>
      <c r="Q180" s="4">
        <v>1</v>
      </c>
      <c r="R180" s="4">
        <v>0</v>
      </c>
      <c r="S180" s="4">
        <v>0</v>
      </c>
      <c r="T180" s="4">
        <v>2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</row>
    <row r="181" spans="1:43" ht="12.75">
      <c r="A181" s="22">
        <v>180</v>
      </c>
      <c r="B181" s="112">
        <v>46.09518</v>
      </c>
      <c r="C181" s="112">
        <v>-91.23482</v>
      </c>
      <c r="D181" s="4">
        <v>4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2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</row>
    <row r="182" spans="1:43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1</v>
      </c>
      <c r="J182" s="24">
        <v>0</v>
      </c>
      <c r="K182" s="24">
        <v>0</v>
      </c>
      <c r="L182" s="24">
        <v>0</v>
      </c>
      <c r="M182" s="2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</row>
    <row r="183" spans="1:43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1</v>
      </c>
      <c r="H183" s="83">
        <v>1</v>
      </c>
      <c r="I183" s="4">
        <v>1</v>
      </c>
      <c r="J183" s="24">
        <v>0</v>
      </c>
      <c r="K183" s="24">
        <v>0</v>
      </c>
      <c r="L183" s="24">
        <v>0</v>
      </c>
      <c r="M183" s="2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</row>
    <row r="184" spans="1:43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1</v>
      </c>
      <c r="H184" s="83">
        <v>3</v>
      </c>
      <c r="I184" s="4">
        <v>2</v>
      </c>
      <c r="J184" s="24">
        <v>0</v>
      </c>
      <c r="K184" s="24">
        <v>0</v>
      </c>
      <c r="L184" s="24">
        <v>0</v>
      </c>
      <c r="M184" s="2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1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</row>
    <row r="185" spans="1:43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2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</row>
    <row r="186" spans="1:43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2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</row>
    <row r="187" spans="1:43" ht="12.75">
      <c r="A187" s="22">
        <v>186</v>
      </c>
      <c r="B187" s="112">
        <v>46.09522</v>
      </c>
      <c r="C187" s="112">
        <v>-91.23118</v>
      </c>
      <c r="D187" s="4">
        <v>6</v>
      </c>
      <c r="E187" s="4" t="s">
        <v>480</v>
      </c>
      <c r="F187" s="101">
        <v>1</v>
      </c>
      <c r="G187" s="22">
        <v>1</v>
      </c>
      <c r="H187" s="83">
        <v>2</v>
      </c>
      <c r="I187" s="4">
        <v>1</v>
      </c>
      <c r="J187" s="24">
        <v>0</v>
      </c>
      <c r="K187" s="24">
        <v>0</v>
      </c>
      <c r="L187" s="24">
        <v>0</v>
      </c>
      <c r="M187" s="2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1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</row>
    <row r="188" spans="1:43" ht="12.75">
      <c r="A188" s="22">
        <v>187</v>
      </c>
      <c r="B188" s="112">
        <v>46.09549</v>
      </c>
      <c r="C188" s="112">
        <v>-91.24517</v>
      </c>
      <c r="D188" s="4">
        <v>2.5</v>
      </c>
      <c r="E188" s="4" t="s">
        <v>480</v>
      </c>
      <c r="F188" s="101">
        <v>1</v>
      </c>
      <c r="G188" s="22">
        <v>1</v>
      </c>
      <c r="H188" s="83">
        <v>2</v>
      </c>
      <c r="I188" s="4">
        <v>2</v>
      </c>
      <c r="J188" s="24">
        <v>0</v>
      </c>
      <c r="K188" s="24">
        <v>2</v>
      </c>
      <c r="L188" s="24">
        <v>0</v>
      </c>
      <c r="M188" s="2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1</v>
      </c>
      <c r="Y188" s="4">
        <v>4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</row>
    <row r="189" spans="1:43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0</v>
      </c>
      <c r="H189" s="83">
        <v>0</v>
      </c>
      <c r="I189" s="4">
        <v>0</v>
      </c>
      <c r="J189" s="24">
        <v>0</v>
      </c>
      <c r="K189" s="24">
        <v>0</v>
      </c>
      <c r="L189" s="24">
        <v>0</v>
      </c>
      <c r="M189" s="2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4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</row>
    <row r="190" spans="1:43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0</v>
      </c>
      <c r="H190" s="83">
        <v>0</v>
      </c>
      <c r="I190" s="4">
        <v>0</v>
      </c>
      <c r="J190" s="24">
        <v>0</v>
      </c>
      <c r="K190" s="24">
        <v>0</v>
      </c>
      <c r="L190" s="24">
        <v>0</v>
      </c>
      <c r="M190" s="2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</row>
    <row r="191" spans="1:43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0</v>
      </c>
      <c r="H191" s="83">
        <v>0</v>
      </c>
      <c r="I191" s="4">
        <v>0</v>
      </c>
      <c r="J191" s="24">
        <v>0</v>
      </c>
      <c r="K191" s="24">
        <v>0</v>
      </c>
      <c r="L191" s="24">
        <v>0</v>
      </c>
      <c r="M191" s="2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</row>
    <row r="192" spans="1:43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5</v>
      </c>
      <c r="I192" s="4">
        <v>2</v>
      </c>
      <c r="J192" s="24">
        <v>0</v>
      </c>
      <c r="K192" s="24">
        <v>0</v>
      </c>
      <c r="L192" s="24">
        <v>0</v>
      </c>
      <c r="M192" s="2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1</v>
      </c>
      <c r="AB192" s="4">
        <v>1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2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</row>
    <row r="193" spans="1:43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2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</row>
    <row r="194" spans="1:43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2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</row>
    <row r="195" spans="1:43" ht="12.75">
      <c r="A195" s="22">
        <v>194</v>
      </c>
      <c r="B195" s="112">
        <v>46.09554</v>
      </c>
      <c r="C195" s="112">
        <v>-91.24091</v>
      </c>
      <c r="D195" s="4">
        <v>6.5</v>
      </c>
      <c r="E195" s="4" t="s">
        <v>480</v>
      </c>
      <c r="F195" s="101">
        <v>1</v>
      </c>
      <c r="G195" s="22">
        <v>0</v>
      </c>
      <c r="H195" s="83">
        <v>0</v>
      </c>
      <c r="I195" s="4">
        <v>0</v>
      </c>
      <c r="J195" s="24">
        <v>0</v>
      </c>
      <c r="K195" s="24">
        <v>0</v>
      </c>
      <c r="L195" s="24">
        <v>0</v>
      </c>
      <c r="M195" s="2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</row>
    <row r="196" spans="1:43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2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</row>
    <row r="197" spans="1:43" ht="12.75">
      <c r="A197" s="22">
        <v>196</v>
      </c>
      <c r="B197" s="112">
        <v>46.09555</v>
      </c>
      <c r="C197" s="112">
        <v>-91.2397</v>
      </c>
      <c r="D197" s="4">
        <v>6.5</v>
      </c>
      <c r="E197" s="4" t="s">
        <v>480</v>
      </c>
      <c r="F197" s="101">
        <v>1</v>
      </c>
      <c r="G197" s="22">
        <v>1</v>
      </c>
      <c r="H197" s="83">
        <v>1</v>
      </c>
      <c r="I197" s="4">
        <v>1</v>
      </c>
      <c r="J197" s="24">
        <v>0</v>
      </c>
      <c r="K197" s="24">
        <v>0</v>
      </c>
      <c r="L197" s="24">
        <v>0</v>
      </c>
      <c r="M197" s="2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</row>
    <row r="198" spans="1:43" ht="12.75">
      <c r="A198" s="22">
        <v>197</v>
      </c>
      <c r="B198" s="112">
        <v>46.09556</v>
      </c>
      <c r="C198" s="112">
        <v>-91.23909</v>
      </c>
      <c r="D198" s="4">
        <v>6.5</v>
      </c>
      <c r="E198" s="4" t="s">
        <v>480</v>
      </c>
      <c r="F198" s="101">
        <v>1</v>
      </c>
      <c r="G198" s="22">
        <v>1</v>
      </c>
      <c r="H198" s="83">
        <v>1</v>
      </c>
      <c r="I198" s="4">
        <v>1</v>
      </c>
      <c r="J198" s="24">
        <v>0</v>
      </c>
      <c r="K198" s="24">
        <v>0</v>
      </c>
      <c r="L198" s="24">
        <v>0</v>
      </c>
      <c r="M198" s="2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</row>
    <row r="199" spans="1:43" ht="12.75">
      <c r="A199" s="22">
        <v>198</v>
      </c>
      <c r="B199" s="112">
        <v>46.09556</v>
      </c>
      <c r="C199" s="112">
        <v>-91.23848</v>
      </c>
      <c r="D199" s="4">
        <v>6.5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2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</row>
    <row r="200" spans="1:43" ht="12.75">
      <c r="A200" s="22">
        <v>199</v>
      </c>
      <c r="B200" s="112">
        <v>46.09557</v>
      </c>
      <c r="C200" s="112">
        <v>-91.23787</v>
      </c>
      <c r="D200" s="4">
        <v>7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2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</row>
    <row r="201" spans="1:43" ht="12.75">
      <c r="A201" s="22">
        <v>200</v>
      </c>
      <c r="B201" s="112">
        <v>46.09558</v>
      </c>
      <c r="C201" s="112">
        <v>-91.23727</v>
      </c>
      <c r="D201" s="4">
        <v>7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2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</row>
    <row r="202" spans="1:43" ht="12.75">
      <c r="A202" s="22">
        <v>201</v>
      </c>
      <c r="B202" s="112">
        <v>46.09558</v>
      </c>
      <c r="C202" s="112">
        <v>-91.23666</v>
      </c>
      <c r="D202" s="4">
        <v>8</v>
      </c>
      <c r="E202" s="4" t="s">
        <v>480</v>
      </c>
      <c r="F202" s="101">
        <v>1</v>
      </c>
      <c r="G202" s="22">
        <v>0</v>
      </c>
      <c r="H202" s="83">
        <v>0</v>
      </c>
      <c r="I202" s="4">
        <v>0</v>
      </c>
      <c r="J202" s="24">
        <v>0</v>
      </c>
      <c r="K202" s="24">
        <v>0</v>
      </c>
      <c r="L202" s="24">
        <v>0</v>
      </c>
      <c r="M202" s="2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</row>
    <row r="203" spans="1:43" ht="12.75">
      <c r="A203" s="22">
        <v>202</v>
      </c>
      <c r="B203" s="112">
        <v>46.09559</v>
      </c>
      <c r="C203" s="112">
        <v>-91.23605</v>
      </c>
      <c r="D203" s="4">
        <v>7</v>
      </c>
      <c r="E203" s="4" t="s">
        <v>480</v>
      </c>
      <c r="F203" s="101">
        <v>1</v>
      </c>
      <c r="G203" s="22">
        <v>1</v>
      </c>
      <c r="H203" s="83">
        <v>5</v>
      </c>
      <c r="I203" s="4">
        <v>3</v>
      </c>
      <c r="J203" s="24">
        <v>0</v>
      </c>
      <c r="K203" s="24">
        <v>0</v>
      </c>
      <c r="L203" s="24">
        <v>0</v>
      </c>
      <c r="M203" s="2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</v>
      </c>
      <c r="X203" s="4">
        <v>0</v>
      </c>
      <c r="Y203" s="4">
        <v>0</v>
      </c>
      <c r="Z203" s="4">
        <v>0</v>
      </c>
      <c r="AA203" s="4">
        <v>2</v>
      </c>
      <c r="AB203" s="4">
        <v>0</v>
      </c>
      <c r="AC203" s="4">
        <v>0</v>
      </c>
      <c r="AD203" s="4">
        <v>0</v>
      </c>
      <c r="AE203" s="4">
        <v>1</v>
      </c>
      <c r="AF203" s="4">
        <v>0</v>
      </c>
      <c r="AG203" s="4">
        <v>0</v>
      </c>
      <c r="AH203" s="4">
        <v>3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2</v>
      </c>
      <c r="AQ203" s="4">
        <v>0</v>
      </c>
    </row>
    <row r="204" spans="1:43" ht="12.75">
      <c r="A204" s="22">
        <v>203</v>
      </c>
      <c r="B204" s="112">
        <v>46.0956</v>
      </c>
      <c r="C204" s="112">
        <v>-91.23544</v>
      </c>
      <c r="D204" s="4">
        <v>6.5</v>
      </c>
      <c r="E204" s="4" t="s">
        <v>482</v>
      </c>
      <c r="F204" s="101">
        <v>1</v>
      </c>
      <c r="G204" s="22">
        <v>1</v>
      </c>
      <c r="H204" s="83">
        <v>1</v>
      </c>
      <c r="I204" s="4">
        <v>2</v>
      </c>
      <c r="J204" s="24">
        <v>0</v>
      </c>
      <c r="K204" s="24">
        <v>0</v>
      </c>
      <c r="L204" s="24">
        <v>0</v>
      </c>
      <c r="M204" s="24">
        <v>2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</row>
    <row r="205" spans="1:43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1</v>
      </c>
      <c r="H205" s="83">
        <v>3</v>
      </c>
      <c r="I205" s="4">
        <v>1</v>
      </c>
      <c r="J205" s="24">
        <v>0</v>
      </c>
      <c r="K205" s="24">
        <v>0</v>
      </c>
      <c r="L205" s="24">
        <v>0</v>
      </c>
      <c r="M205" s="2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1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</row>
    <row r="206" spans="1:43" ht="12.75">
      <c r="A206" s="22">
        <v>205</v>
      </c>
      <c r="B206" s="112">
        <v>46.09561</v>
      </c>
      <c r="C206" s="112">
        <v>-91.23423</v>
      </c>
      <c r="D206" s="4">
        <v>6.5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2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</row>
    <row r="207" spans="1:43" ht="12.75">
      <c r="A207" s="22">
        <v>206</v>
      </c>
      <c r="B207" s="112">
        <v>46.09562</v>
      </c>
      <c r="C207" s="112">
        <v>-91.23362</v>
      </c>
      <c r="D207" s="4">
        <v>6.5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2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</row>
    <row r="208" spans="1:43" ht="12.75">
      <c r="A208" s="22">
        <v>207</v>
      </c>
      <c r="B208" s="112">
        <v>46.09562</v>
      </c>
      <c r="C208" s="112">
        <v>-91.23301</v>
      </c>
      <c r="D208" s="4">
        <v>6.5</v>
      </c>
      <c r="E208" s="4" t="s">
        <v>480</v>
      </c>
      <c r="F208" s="101">
        <v>1</v>
      </c>
      <c r="G208" s="22">
        <v>1</v>
      </c>
      <c r="H208" s="83">
        <v>1</v>
      </c>
      <c r="I208" s="4">
        <v>1</v>
      </c>
      <c r="J208" s="24">
        <v>0</v>
      </c>
      <c r="K208" s="24">
        <v>0</v>
      </c>
      <c r="L208" s="24">
        <v>0</v>
      </c>
      <c r="M208" s="2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</row>
    <row r="209" spans="1:43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2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</row>
    <row r="210" spans="1:43" ht="12.75">
      <c r="A210" s="22">
        <v>209</v>
      </c>
      <c r="B210" s="112">
        <v>46.09564</v>
      </c>
      <c r="C210" s="112">
        <v>-91.2318</v>
      </c>
      <c r="D210" s="4">
        <v>6.5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2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</row>
    <row r="211" spans="1:43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2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</row>
    <row r="212" spans="1:43" ht="12.75">
      <c r="A212" s="22">
        <v>211</v>
      </c>
      <c r="B212" s="112">
        <v>46.09565</v>
      </c>
      <c r="C212" s="112">
        <v>-91.23058</v>
      </c>
      <c r="D212" s="4">
        <v>7.5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2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</row>
    <row r="213" spans="1:43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2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1</v>
      </c>
      <c r="Z213" s="4">
        <v>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</row>
    <row r="214" spans="1:43" ht="12.75">
      <c r="A214" s="22">
        <v>213</v>
      </c>
      <c r="B214" s="112">
        <v>46.09592</v>
      </c>
      <c r="C214" s="112">
        <v>-91.24457</v>
      </c>
      <c r="D214" s="4">
        <v>5</v>
      </c>
      <c r="E214" s="4" t="s">
        <v>480</v>
      </c>
      <c r="F214" s="101">
        <v>1</v>
      </c>
      <c r="G214" s="22">
        <v>1</v>
      </c>
      <c r="H214" s="83">
        <v>1</v>
      </c>
      <c r="I214" s="4">
        <v>1</v>
      </c>
      <c r="J214" s="24">
        <v>0</v>
      </c>
      <c r="K214" s="24">
        <v>0</v>
      </c>
      <c r="L214" s="24">
        <v>0</v>
      </c>
      <c r="M214" s="2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1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</row>
    <row r="215" spans="1:43" ht="12.75">
      <c r="A215" s="22">
        <v>214</v>
      </c>
      <c r="B215" s="112">
        <v>46.09593</v>
      </c>
      <c r="C215" s="112">
        <v>-91.24396</v>
      </c>
      <c r="D215" s="4">
        <v>6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2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</row>
    <row r="216" spans="1:43" ht="12.75">
      <c r="A216" s="22">
        <v>215</v>
      </c>
      <c r="B216" s="112">
        <v>46.09593</v>
      </c>
      <c r="C216" s="112">
        <v>-91.24336</v>
      </c>
      <c r="D216" s="4">
        <v>6</v>
      </c>
      <c r="E216" s="4" t="s">
        <v>480</v>
      </c>
      <c r="F216" s="101">
        <v>1</v>
      </c>
      <c r="G216" s="22">
        <v>0</v>
      </c>
      <c r="H216" s="83">
        <v>0</v>
      </c>
      <c r="I216" s="4">
        <v>0</v>
      </c>
      <c r="J216" s="24">
        <v>0</v>
      </c>
      <c r="K216" s="24">
        <v>0</v>
      </c>
      <c r="L216" s="24">
        <v>0</v>
      </c>
      <c r="M216" s="2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4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</row>
    <row r="217" spans="1:43" ht="12.75">
      <c r="A217" s="22">
        <v>216</v>
      </c>
      <c r="B217" s="112">
        <v>46.09594</v>
      </c>
      <c r="C217" s="112">
        <v>-91.24275</v>
      </c>
      <c r="D217" s="4">
        <v>6.5</v>
      </c>
      <c r="E217" s="4" t="s">
        <v>480</v>
      </c>
      <c r="F217" s="101">
        <v>1</v>
      </c>
      <c r="G217" s="22">
        <v>0</v>
      </c>
      <c r="H217" s="83">
        <v>0</v>
      </c>
      <c r="I217" s="4">
        <v>0</v>
      </c>
      <c r="J217" s="24">
        <v>0</v>
      </c>
      <c r="K217" s="24">
        <v>0</v>
      </c>
      <c r="L217" s="24">
        <v>0</v>
      </c>
      <c r="M217" s="2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</row>
    <row r="218" spans="1:43" ht="12.75">
      <c r="A218" s="22">
        <v>217</v>
      </c>
      <c r="B218" s="112">
        <v>46.09595</v>
      </c>
      <c r="C218" s="112">
        <v>-91.24214</v>
      </c>
      <c r="D218" s="4">
        <v>6.5</v>
      </c>
      <c r="E218" s="4" t="s">
        <v>480</v>
      </c>
      <c r="F218" s="101">
        <v>1</v>
      </c>
      <c r="G218" s="22">
        <v>0</v>
      </c>
      <c r="H218" s="83">
        <v>0</v>
      </c>
      <c r="I218" s="4">
        <v>0</v>
      </c>
      <c r="J218" s="24">
        <v>0</v>
      </c>
      <c r="K218" s="24">
        <v>0</v>
      </c>
      <c r="L218" s="24">
        <v>0</v>
      </c>
      <c r="M218" s="2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</row>
    <row r="219" spans="1:43" ht="12.75">
      <c r="A219" s="22">
        <v>218</v>
      </c>
      <c r="B219" s="112">
        <v>46.09595</v>
      </c>
      <c r="C219" s="112">
        <v>-91.24153</v>
      </c>
      <c r="D219" s="4">
        <v>7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2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</row>
    <row r="220" spans="1:43" ht="12.75">
      <c r="A220" s="22">
        <v>219</v>
      </c>
      <c r="B220" s="112">
        <v>46.09596</v>
      </c>
      <c r="C220" s="112">
        <v>-91.24092</v>
      </c>
      <c r="D220" s="4">
        <v>7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2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</row>
    <row r="221" spans="1:43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1</v>
      </c>
      <c r="H221" s="83">
        <v>1</v>
      </c>
      <c r="I221" s="4">
        <v>1</v>
      </c>
      <c r="J221" s="24">
        <v>0</v>
      </c>
      <c r="K221" s="24">
        <v>0</v>
      </c>
      <c r="L221" s="24">
        <v>0</v>
      </c>
      <c r="M221" s="2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</row>
    <row r="222" spans="1:43" ht="12.75">
      <c r="A222" s="22">
        <v>221</v>
      </c>
      <c r="B222" s="112">
        <v>46.09597</v>
      </c>
      <c r="C222" s="112">
        <v>-91.23971</v>
      </c>
      <c r="D222" s="4">
        <v>6.5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2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</row>
    <row r="223" spans="1:43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0</v>
      </c>
      <c r="H223" s="83">
        <v>0</v>
      </c>
      <c r="I223" s="4">
        <v>0</v>
      </c>
      <c r="J223" s="24">
        <v>0</v>
      </c>
      <c r="K223" s="24">
        <v>0</v>
      </c>
      <c r="L223" s="24">
        <v>0</v>
      </c>
      <c r="M223" s="2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</row>
    <row r="224" spans="1:43" ht="12.75">
      <c r="A224" s="22">
        <v>223</v>
      </c>
      <c r="B224" s="112">
        <v>46.09599</v>
      </c>
      <c r="C224" s="112">
        <v>-91.23849</v>
      </c>
      <c r="D224" s="4">
        <v>7</v>
      </c>
      <c r="E224" s="4" t="s">
        <v>480</v>
      </c>
      <c r="F224" s="101">
        <v>1</v>
      </c>
      <c r="G224" s="22">
        <v>1</v>
      </c>
      <c r="H224" s="83">
        <v>1</v>
      </c>
      <c r="I224" s="4">
        <v>1</v>
      </c>
      <c r="J224" s="24">
        <v>0</v>
      </c>
      <c r="K224" s="24">
        <v>0</v>
      </c>
      <c r="L224" s="24">
        <v>0</v>
      </c>
      <c r="M224" s="2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</row>
    <row r="225" spans="1:43" ht="12.75">
      <c r="A225" s="22">
        <v>224</v>
      </c>
      <c r="B225" s="112">
        <v>46.09599</v>
      </c>
      <c r="C225" s="112">
        <v>-91.23788</v>
      </c>
      <c r="D225" s="4">
        <v>6.5</v>
      </c>
      <c r="E225" s="4" t="s">
        <v>480</v>
      </c>
      <c r="F225" s="101">
        <v>1</v>
      </c>
      <c r="G225" s="22">
        <v>1</v>
      </c>
      <c r="H225" s="83">
        <v>1</v>
      </c>
      <c r="I225" s="4">
        <v>1</v>
      </c>
      <c r="J225" s="24">
        <v>0</v>
      </c>
      <c r="K225" s="24">
        <v>0</v>
      </c>
      <c r="L225" s="24">
        <v>0</v>
      </c>
      <c r="M225" s="2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1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</row>
    <row r="226" spans="1:43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1</v>
      </c>
      <c r="H226" s="83">
        <v>1</v>
      </c>
      <c r="I226" s="4">
        <v>1</v>
      </c>
      <c r="J226" s="24">
        <v>0</v>
      </c>
      <c r="K226" s="24">
        <v>0</v>
      </c>
      <c r="L226" s="24">
        <v>0</v>
      </c>
      <c r="M226" s="2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</row>
    <row r="227" spans="1:43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2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</row>
    <row r="228" spans="1:43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2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</row>
    <row r="229" spans="1:43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2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</row>
    <row r="230" spans="1:43" ht="12.75">
      <c r="A230" s="22">
        <v>229</v>
      </c>
      <c r="B230" s="112">
        <v>46.09603</v>
      </c>
      <c r="C230" s="112">
        <v>-91.23484</v>
      </c>
      <c r="D230" s="4">
        <v>8</v>
      </c>
      <c r="E230" s="4" t="s">
        <v>480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2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</row>
    <row r="231" spans="1:43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2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</row>
    <row r="232" spans="1:43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1</v>
      </c>
      <c r="H232" s="83">
        <v>1</v>
      </c>
      <c r="I232" s="4">
        <v>1</v>
      </c>
      <c r="J232" s="24">
        <v>0</v>
      </c>
      <c r="K232" s="24">
        <v>0</v>
      </c>
      <c r="L232" s="24">
        <v>0</v>
      </c>
      <c r="M232" s="2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1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</row>
    <row r="233" spans="1:43" ht="12.75">
      <c r="A233" s="22">
        <v>232</v>
      </c>
      <c r="B233" s="112">
        <v>46.09605</v>
      </c>
      <c r="C233" s="112">
        <v>-91.23302</v>
      </c>
      <c r="D233" s="4">
        <v>7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2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</row>
    <row r="234" spans="1:43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2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</row>
    <row r="235" spans="1:43" ht="12.75">
      <c r="A235" s="22">
        <v>234</v>
      </c>
      <c r="B235" s="112">
        <v>46.09606</v>
      </c>
      <c r="C235" s="112">
        <v>-91.2318</v>
      </c>
      <c r="D235" s="4">
        <v>6.5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2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</row>
    <row r="236" spans="1:43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5</v>
      </c>
      <c r="I236" s="4">
        <v>3</v>
      </c>
      <c r="J236" s="24">
        <v>0</v>
      </c>
      <c r="K236" s="24">
        <v>0</v>
      </c>
      <c r="L236" s="24">
        <v>0</v>
      </c>
      <c r="M236" s="24">
        <v>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</v>
      </c>
      <c r="W236" s="4">
        <v>2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1</v>
      </c>
      <c r="AI236" s="4">
        <v>0</v>
      </c>
      <c r="AJ236" s="4">
        <v>0</v>
      </c>
      <c r="AK236" s="4">
        <v>3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</row>
    <row r="237" spans="1:43" ht="12.75">
      <c r="A237" s="22">
        <v>236</v>
      </c>
      <c r="B237" s="112">
        <v>46.09607</v>
      </c>
      <c r="C237" s="112">
        <v>-91.23059</v>
      </c>
      <c r="D237" s="4">
        <v>7</v>
      </c>
      <c r="E237" s="4" t="s">
        <v>480</v>
      </c>
      <c r="F237" s="101">
        <v>1</v>
      </c>
      <c r="G237" s="22">
        <v>1</v>
      </c>
      <c r="H237" s="83">
        <v>2</v>
      </c>
      <c r="I237" s="4">
        <v>1</v>
      </c>
      <c r="J237" s="24">
        <v>0</v>
      </c>
      <c r="K237" s="24">
        <v>0</v>
      </c>
      <c r="L237" s="24">
        <v>0</v>
      </c>
      <c r="M237" s="2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</v>
      </c>
      <c r="W237" s="4">
        <v>0</v>
      </c>
      <c r="X237" s="4">
        <v>0</v>
      </c>
      <c r="Y237" s="4">
        <v>0</v>
      </c>
      <c r="Z237" s="4">
        <v>0</v>
      </c>
      <c r="AA237" s="4">
        <v>4</v>
      </c>
      <c r="AB237" s="4">
        <v>0</v>
      </c>
      <c r="AC237" s="4">
        <v>0</v>
      </c>
      <c r="AD237" s="4">
        <v>0</v>
      </c>
      <c r="AE237" s="4">
        <v>4</v>
      </c>
      <c r="AF237" s="4">
        <v>0</v>
      </c>
      <c r="AG237" s="4">
        <v>0</v>
      </c>
      <c r="AH237" s="4">
        <v>1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</row>
    <row r="238" spans="1:43" ht="12.75">
      <c r="A238" s="22">
        <v>237</v>
      </c>
      <c r="B238" s="112">
        <v>46.09608</v>
      </c>
      <c r="C238" s="112">
        <v>-91.22998</v>
      </c>
      <c r="D238" s="4">
        <v>6.5</v>
      </c>
      <c r="E238" s="4" t="s">
        <v>480</v>
      </c>
      <c r="F238" s="101">
        <v>1</v>
      </c>
      <c r="G238" s="22">
        <v>1</v>
      </c>
      <c r="H238" s="83">
        <v>2</v>
      </c>
      <c r="I238" s="4">
        <v>1</v>
      </c>
      <c r="J238" s="24">
        <v>0</v>
      </c>
      <c r="K238" s="24">
        <v>0</v>
      </c>
      <c r="L238" s="24">
        <v>0</v>
      </c>
      <c r="M238" s="2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</row>
    <row r="239" spans="1:43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5</v>
      </c>
      <c r="I239" s="4">
        <v>3</v>
      </c>
      <c r="J239" s="24">
        <v>0</v>
      </c>
      <c r="K239" s="24">
        <v>0</v>
      </c>
      <c r="L239" s="24">
        <v>0</v>
      </c>
      <c r="M239" s="2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2</v>
      </c>
      <c r="W239" s="4">
        <v>0</v>
      </c>
      <c r="X239" s="4">
        <v>0</v>
      </c>
      <c r="Y239" s="4">
        <v>0</v>
      </c>
      <c r="Z239" s="4">
        <v>0</v>
      </c>
      <c r="AA239" s="4">
        <v>2</v>
      </c>
      <c r="AB239" s="4">
        <v>0</v>
      </c>
      <c r="AC239" s="4">
        <v>0</v>
      </c>
      <c r="AD239" s="4">
        <v>0</v>
      </c>
      <c r="AE239" s="4">
        <v>2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</row>
    <row r="240" spans="1:43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1</v>
      </c>
      <c r="H240" s="83">
        <v>1</v>
      </c>
      <c r="I240" s="4">
        <v>1</v>
      </c>
      <c r="J240" s="24">
        <v>0</v>
      </c>
      <c r="K240" s="24">
        <v>0</v>
      </c>
      <c r="L240" s="24">
        <v>0</v>
      </c>
      <c r="M240" s="2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1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</row>
    <row r="241" spans="1:43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1</v>
      </c>
      <c r="H241" s="83">
        <v>1</v>
      </c>
      <c r="I241" s="4">
        <v>1</v>
      </c>
      <c r="J241" s="24">
        <v>0</v>
      </c>
      <c r="K241" s="24">
        <v>0</v>
      </c>
      <c r="L241" s="24">
        <v>0</v>
      </c>
      <c r="M241" s="2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4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</row>
    <row r="242" spans="1:43" ht="12.75">
      <c r="A242" s="22">
        <v>241</v>
      </c>
      <c r="B242" s="112">
        <v>46.09636</v>
      </c>
      <c r="C242" s="112">
        <v>-91.24336</v>
      </c>
      <c r="D242" s="4">
        <v>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2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</row>
    <row r="243" spans="1:43" ht="12.75">
      <c r="A243" s="22">
        <v>242</v>
      </c>
      <c r="B243" s="112">
        <v>46.09636</v>
      </c>
      <c r="C243" s="112">
        <v>-91.24276</v>
      </c>
      <c r="D243" s="4">
        <v>6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2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</row>
    <row r="244" spans="1:43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1</v>
      </c>
      <c r="H244" s="83">
        <v>2</v>
      </c>
      <c r="I244" s="4">
        <v>1</v>
      </c>
      <c r="J244" s="24">
        <v>0</v>
      </c>
      <c r="K244" s="24">
        <v>0</v>
      </c>
      <c r="L244" s="24">
        <v>0</v>
      </c>
      <c r="M244" s="2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</row>
    <row r="245" spans="1:43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2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</row>
    <row r="246" spans="1:43" ht="12.75">
      <c r="A246" s="22">
        <v>245</v>
      </c>
      <c r="B246" s="112">
        <v>46.09638</v>
      </c>
      <c r="C246" s="112">
        <v>-91.24093</v>
      </c>
      <c r="D246" s="4">
        <v>6.5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2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1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</row>
    <row r="247" spans="1:43" ht="12.75">
      <c r="A247" s="22">
        <v>246</v>
      </c>
      <c r="B247" s="112">
        <v>46.09639</v>
      </c>
      <c r="C247" s="112">
        <v>-91.24033</v>
      </c>
      <c r="D247" s="4">
        <v>6.5</v>
      </c>
      <c r="E247" s="4" t="s">
        <v>480</v>
      </c>
      <c r="F247" s="101">
        <v>1</v>
      </c>
      <c r="G247" s="22">
        <v>1</v>
      </c>
      <c r="H247" s="83">
        <v>1</v>
      </c>
      <c r="I247" s="4">
        <v>1</v>
      </c>
      <c r="J247" s="24">
        <v>0</v>
      </c>
      <c r="K247" s="24">
        <v>0</v>
      </c>
      <c r="L247" s="24">
        <v>0</v>
      </c>
      <c r="M247" s="2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</row>
    <row r="248" spans="1:43" ht="12.75">
      <c r="A248" s="22">
        <v>247</v>
      </c>
      <c r="B248" s="112">
        <v>46.0964</v>
      </c>
      <c r="C248" s="112">
        <v>-91.23972</v>
      </c>
      <c r="D248" s="4">
        <v>5.5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2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</row>
    <row r="249" spans="1:43" ht="12.75">
      <c r="A249" s="22">
        <v>248</v>
      </c>
      <c r="B249" s="112">
        <v>46.0964</v>
      </c>
      <c r="C249" s="112">
        <v>-91.23911</v>
      </c>
      <c r="D249" s="4">
        <v>6.5</v>
      </c>
      <c r="E249" s="4" t="s">
        <v>480</v>
      </c>
      <c r="F249" s="101">
        <v>1</v>
      </c>
      <c r="G249" s="22">
        <v>1</v>
      </c>
      <c r="H249" s="83">
        <v>3</v>
      </c>
      <c r="I249" s="4">
        <v>2</v>
      </c>
      <c r="J249" s="24">
        <v>0</v>
      </c>
      <c r="K249" s="24">
        <v>0</v>
      </c>
      <c r="L249" s="24">
        <v>0</v>
      </c>
      <c r="M249" s="2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2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</row>
    <row r="250" spans="1:43" ht="12.75">
      <c r="A250" s="22">
        <v>249</v>
      </c>
      <c r="B250" s="112">
        <v>46.09641</v>
      </c>
      <c r="C250" s="112">
        <v>-91.2385</v>
      </c>
      <c r="D250" s="4">
        <v>6.5</v>
      </c>
      <c r="E250" s="4" t="s">
        <v>480</v>
      </c>
      <c r="F250" s="101">
        <v>1</v>
      </c>
      <c r="G250" s="22">
        <v>1</v>
      </c>
      <c r="H250" s="83">
        <v>2</v>
      </c>
      <c r="I250" s="4">
        <v>2</v>
      </c>
      <c r="J250" s="24">
        <v>0</v>
      </c>
      <c r="K250" s="24">
        <v>0</v>
      </c>
      <c r="L250" s="24">
        <v>0</v>
      </c>
      <c r="M250" s="2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2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</row>
    <row r="251" spans="1:43" ht="12.75">
      <c r="A251" s="22">
        <v>250</v>
      </c>
      <c r="B251" s="112">
        <v>46.09642</v>
      </c>
      <c r="C251" s="112">
        <v>-91.23789</v>
      </c>
      <c r="D251" s="4">
        <v>6.5</v>
      </c>
      <c r="E251" s="4" t="s">
        <v>480</v>
      </c>
      <c r="F251" s="101">
        <v>1</v>
      </c>
      <c r="G251" s="22">
        <v>1</v>
      </c>
      <c r="H251" s="83">
        <v>2</v>
      </c>
      <c r="I251" s="4">
        <v>1</v>
      </c>
      <c r="J251" s="24">
        <v>0</v>
      </c>
      <c r="K251" s="24">
        <v>0</v>
      </c>
      <c r="L251" s="24">
        <v>0</v>
      </c>
      <c r="M251" s="2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</row>
    <row r="252" spans="1:43" ht="12.75">
      <c r="A252" s="22">
        <v>251</v>
      </c>
      <c r="B252" s="112">
        <v>46.09642</v>
      </c>
      <c r="C252" s="112">
        <v>-91.23728</v>
      </c>
      <c r="D252" s="4">
        <v>6.5</v>
      </c>
      <c r="E252" s="4" t="s">
        <v>480</v>
      </c>
      <c r="F252" s="101">
        <v>1</v>
      </c>
      <c r="G252" s="22">
        <v>1</v>
      </c>
      <c r="H252" s="83">
        <v>1</v>
      </c>
      <c r="I252" s="4">
        <v>1</v>
      </c>
      <c r="J252" s="24">
        <v>0</v>
      </c>
      <c r="K252" s="24">
        <v>0</v>
      </c>
      <c r="L252" s="24">
        <v>0</v>
      </c>
      <c r="M252" s="2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</row>
    <row r="253" spans="1:43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1</v>
      </c>
      <c r="H253" s="83">
        <v>1</v>
      </c>
      <c r="I253" s="4">
        <v>1</v>
      </c>
      <c r="J253" s="24">
        <v>0</v>
      </c>
      <c r="K253" s="24">
        <v>0</v>
      </c>
      <c r="L253" s="24">
        <v>0</v>
      </c>
      <c r="M253" s="2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4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</row>
    <row r="254" spans="1:43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1</v>
      </c>
      <c r="H254" s="83">
        <v>1</v>
      </c>
      <c r="I254" s="4">
        <v>1</v>
      </c>
      <c r="J254" s="24">
        <v>0</v>
      </c>
      <c r="K254" s="24">
        <v>0</v>
      </c>
      <c r="L254" s="24">
        <v>0</v>
      </c>
      <c r="M254" s="2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1</v>
      </c>
      <c r="AB254" s="4">
        <v>4</v>
      </c>
      <c r="AC254" s="4">
        <v>0</v>
      </c>
      <c r="AD254" s="4">
        <v>0</v>
      </c>
      <c r="AE254" s="4">
        <v>4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</row>
    <row r="255" spans="1:43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1</v>
      </c>
      <c r="H255" s="83">
        <v>2</v>
      </c>
      <c r="I255" s="4">
        <v>2</v>
      </c>
      <c r="J255" s="24">
        <v>0</v>
      </c>
      <c r="K255" s="24">
        <v>0</v>
      </c>
      <c r="L255" s="24">
        <v>0</v>
      </c>
      <c r="M255" s="24">
        <v>0</v>
      </c>
      <c r="N255" s="4">
        <v>0</v>
      </c>
      <c r="O255" s="4">
        <v>0</v>
      </c>
      <c r="P255" s="4">
        <v>1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2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</row>
    <row r="256" spans="1:43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2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</row>
    <row r="257" spans="1:43" ht="12.75">
      <c r="A257" s="22">
        <v>256</v>
      </c>
      <c r="B257" s="112">
        <v>46.09646</v>
      </c>
      <c r="C257" s="112">
        <v>-91.23425</v>
      </c>
      <c r="D257" s="4">
        <v>7</v>
      </c>
      <c r="E257" s="4" t="s">
        <v>480</v>
      </c>
      <c r="F257" s="101">
        <v>1</v>
      </c>
      <c r="G257" s="22">
        <v>1</v>
      </c>
      <c r="H257" s="83">
        <v>4</v>
      </c>
      <c r="I257" s="4">
        <v>3</v>
      </c>
      <c r="J257" s="24">
        <v>0</v>
      </c>
      <c r="K257" s="24">
        <v>0</v>
      </c>
      <c r="L257" s="24">
        <v>0</v>
      </c>
      <c r="M257" s="2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</v>
      </c>
      <c r="X257" s="4">
        <v>0</v>
      </c>
      <c r="Y257" s="4">
        <v>0</v>
      </c>
      <c r="Z257" s="4">
        <v>0</v>
      </c>
      <c r="AA257" s="4">
        <v>0</v>
      </c>
      <c r="AB257" s="4">
        <v>1</v>
      </c>
      <c r="AC257" s="4">
        <v>0</v>
      </c>
      <c r="AD257" s="4">
        <v>0</v>
      </c>
      <c r="AE257" s="4">
        <v>2</v>
      </c>
      <c r="AF257" s="4">
        <v>0</v>
      </c>
      <c r="AG257" s="4">
        <v>0</v>
      </c>
      <c r="AH257" s="4">
        <v>3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</row>
    <row r="258" spans="1:43" ht="12.75">
      <c r="A258" s="22">
        <v>257</v>
      </c>
      <c r="B258" s="112">
        <v>46.09646</v>
      </c>
      <c r="C258" s="112">
        <v>-91.23364</v>
      </c>
      <c r="D258" s="4">
        <v>7.5</v>
      </c>
      <c r="E258" s="4" t="s">
        <v>480</v>
      </c>
      <c r="F258" s="101">
        <v>1</v>
      </c>
      <c r="G258" s="22">
        <v>0</v>
      </c>
      <c r="H258" s="83">
        <v>0</v>
      </c>
      <c r="I258" s="4">
        <v>0</v>
      </c>
      <c r="J258" s="24">
        <v>0</v>
      </c>
      <c r="K258" s="24">
        <v>0</v>
      </c>
      <c r="L258" s="24">
        <v>0</v>
      </c>
      <c r="M258" s="2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</row>
    <row r="259" spans="1:43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3</v>
      </c>
      <c r="I259" s="4">
        <v>2</v>
      </c>
      <c r="J259" s="24">
        <v>0</v>
      </c>
      <c r="K259" s="24">
        <v>0</v>
      </c>
      <c r="L259" s="24">
        <v>0</v>
      </c>
      <c r="M259" s="2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1</v>
      </c>
      <c r="W259" s="4">
        <v>2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1</v>
      </c>
      <c r="AQ259" s="4">
        <v>0</v>
      </c>
    </row>
    <row r="260" spans="1:43" ht="12.75">
      <c r="A260" s="22">
        <v>259</v>
      </c>
      <c r="B260" s="112">
        <v>46.09647</v>
      </c>
      <c r="C260" s="112">
        <v>-91.23242</v>
      </c>
      <c r="D260" s="4">
        <v>7</v>
      </c>
      <c r="E260" s="4" t="s">
        <v>480</v>
      </c>
      <c r="F260" s="101">
        <v>1</v>
      </c>
      <c r="G260" s="22">
        <v>0</v>
      </c>
      <c r="H260" s="83">
        <v>0</v>
      </c>
      <c r="I260" s="4">
        <v>0</v>
      </c>
      <c r="J260" s="24">
        <v>0</v>
      </c>
      <c r="K260" s="24">
        <v>0</v>
      </c>
      <c r="L260" s="24">
        <v>0</v>
      </c>
      <c r="M260" s="2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</row>
    <row r="261" spans="1:43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4</v>
      </c>
      <c r="I261" s="4">
        <v>3</v>
      </c>
      <c r="J261" s="24">
        <v>0</v>
      </c>
      <c r="K261" s="24">
        <v>0</v>
      </c>
      <c r="L261" s="24">
        <v>0</v>
      </c>
      <c r="M261" s="2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1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</v>
      </c>
      <c r="AF261" s="4">
        <v>0</v>
      </c>
      <c r="AG261" s="4">
        <v>0</v>
      </c>
      <c r="AH261" s="4">
        <v>2</v>
      </c>
      <c r="AI261" s="4">
        <v>0</v>
      </c>
      <c r="AJ261" s="4">
        <v>0</v>
      </c>
      <c r="AK261" s="4">
        <v>2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</row>
    <row r="262" spans="1:43" ht="12.75">
      <c r="A262" s="22">
        <v>261</v>
      </c>
      <c r="B262" s="112">
        <v>46.09649</v>
      </c>
      <c r="C262" s="112">
        <v>-91.23121</v>
      </c>
      <c r="D262" s="4">
        <v>6.5</v>
      </c>
      <c r="E262" s="4" t="s">
        <v>480</v>
      </c>
      <c r="F262" s="101">
        <v>1</v>
      </c>
      <c r="G262" s="22">
        <v>1</v>
      </c>
      <c r="H262" s="83">
        <v>3</v>
      </c>
      <c r="I262" s="4">
        <v>2</v>
      </c>
      <c r="J262" s="24">
        <v>0</v>
      </c>
      <c r="K262" s="24">
        <v>0</v>
      </c>
      <c r="L262" s="24">
        <v>0</v>
      </c>
      <c r="M262" s="2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1</v>
      </c>
      <c r="AB262" s="4">
        <v>0</v>
      </c>
      <c r="AC262" s="4">
        <v>0</v>
      </c>
      <c r="AD262" s="4">
        <v>0</v>
      </c>
      <c r="AE262" s="4">
        <v>1</v>
      </c>
      <c r="AF262" s="4">
        <v>0</v>
      </c>
      <c r="AG262" s="4">
        <v>0</v>
      </c>
      <c r="AH262" s="4">
        <v>2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</row>
    <row r="263" spans="1:43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1</v>
      </c>
      <c r="H263" s="83">
        <v>2</v>
      </c>
      <c r="I263" s="4">
        <v>3</v>
      </c>
      <c r="J263" s="24">
        <v>0</v>
      </c>
      <c r="K263" s="24">
        <v>0</v>
      </c>
      <c r="L263" s="24">
        <v>0</v>
      </c>
      <c r="M263" s="2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3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</row>
    <row r="264" spans="1:43" ht="12.75">
      <c r="A264" s="22">
        <v>263</v>
      </c>
      <c r="B264" s="112">
        <v>46.0965</v>
      </c>
      <c r="C264" s="112">
        <v>-91.22999</v>
      </c>
      <c r="D264" s="4">
        <v>6</v>
      </c>
      <c r="E264" s="4" t="s">
        <v>480</v>
      </c>
      <c r="F264" s="101">
        <v>1</v>
      </c>
      <c r="G264" s="22">
        <v>1</v>
      </c>
      <c r="H264" s="83">
        <v>1</v>
      </c>
      <c r="I264" s="4">
        <v>1</v>
      </c>
      <c r="J264" s="24">
        <v>0</v>
      </c>
      <c r="K264" s="24">
        <v>0</v>
      </c>
      <c r="L264" s="24">
        <v>0</v>
      </c>
      <c r="M264" s="2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4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</row>
    <row r="265" spans="1:43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1</v>
      </c>
      <c r="I265" s="4">
        <v>1</v>
      </c>
      <c r="J265" s="24">
        <v>0</v>
      </c>
      <c r="K265" s="24">
        <v>0</v>
      </c>
      <c r="L265" s="24">
        <v>0</v>
      </c>
      <c r="M265" s="2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</row>
    <row r="266" spans="1:43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2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</row>
    <row r="267" spans="1:43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1</v>
      </c>
      <c r="J267" s="24">
        <v>0</v>
      </c>
      <c r="K267" s="24">
        <v>0</v>
      </c>
      <c r="L267" s="24">
        <v>0</v>
      </c>
      <c r="M267" s="2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1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</row>
    <row r="268" spans="1:43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4</v>
      </c>
      <c r="I268" s="4">
        <v>2</v>
      </c>
      <c r="J268" s="24">
        <v>0</v>
      </c>
      <c r="K268" s="24">
        <v>2</v>
      </c>
      <c r="L268" s="24">
        <v>0</v>
      </c>
      <c r="M268" s="2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1</v>
      </c>
      <c r="AI268" s="4">
        <v>0</v>
      </c>
      <c r="AJ268" s="4">
        <v>0</v>
      </c>
      <c r="AK268" s="4">
        <v>1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</row>
    <row r="269" spans="1:43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4</v>
      </c>
      <c r="I269" s="4">
        <v>2</v>
      </c>
      <c r="J269" s="24">
        <v>0</v>
      </c>
      <c r="K269" s="24">
        <v>1</v>
      </c>
      <c r="L269" s="24">
        <v>0</v>
      </c>
      <c r="M269" s="2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1</v>
      </c>
      <c r="Z269" s="4">
        <v>0</v>
      </c>
      <c r="AA269" s="4">
        <v>0</v>
      </c>
      <c r="AB269" s="4">
        <v>0</v>
      </c>
      <c r="AC269" s="4">
        <v>0</v>
      </c>
      <c r="AD269" s="4">
        <v>2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2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</row>
    <row r="270" spans="1:43" ht="12.75">
      <c r="A270" s="22">
        <v>269</v>
      </c>
      <c r="B270" s="112">
        <v>46.09654</v>
      </c>
      <c r="C270" s="112">
        <v>-91.22634</v>
      </c>
      <c r="D270" s="4">
        <v>2</v>
      </c>
      <c r="E270" s="4" t="s">
        <v>481</v>
      </c>
      <c r="F270" s="101">
        <v>1</v>
      </c>
      <c r="G270" s="22">
        <v>0</v>
      </c>
      <c r="H270" s="83">
        <v>0</v>
      </c>
      <c r="I270" s="4">
        <v>0</v>
      </c>
      <c r="J270" s="24">
        <v>0</v>
      </c>
      <c r="K270" s="24">
        <v>0</v>
      </c>
      <c r="L270" s="24">
        <v>0</v>
      </c>
      <c r="M270" s="2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</row>
    <row r="271" spans="1:43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1</v>
      </c>
      <c r="H271" s="83">
        <v>2</v>
      </c>
      <c r="I271" s="4">
        <v>1</v>
      </c>
      <c r="J271" s="24">
        <v>0</v>
      </c>
      <c r="K271" s="24">
        <v>0</v>
      </c>
      <c r="L271" s="24">
        <v>0</v>
      </c>
      <c r="M271" s="2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</row>
    <row r="272" spans="1:43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2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</row>
    <row r="273" spans="1:43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2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</row>
    <row r="274" spans="1:43" ht="12.75">
      <c r="A274" s="22">
        <v>273</v>
      </c>
      <c r="B274" s="112">
        <v>46.0968</v>
      </c>
      <c r="C274" s="112">
        <v>-91.24155</v>
      </c>
      <c r="D274" s="4">
        <v>6.5</v>
      </c>
      <c r="E274" s="4" t="s">
        <v>480</v>
      </c>
      <c r="F274" s="101">
        <v>1</v>
      </c>
      <c r="G274" s="22">
        <v>1</v>
      </c>
      <c r="H274" s="83">
        <v>2</v>
      </c>
      <c r="I274" s="4">
        <v>2</v>
      </c>
      <c r="J274" s="24">
        <v>0</v>
      </c>
      <c r="K274" s="24">
        <v>0</v>
      </c>
      <c r="L274" s="24">
        <v>0</v>
      </c>
      <c r="M274" s="2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2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</row>
    <row r="275" spans="1:43" ht="12.75">
      <c r="A275" s="22">
        <v>274</v>
      </c>
      <c r="B275" s="112">
        <v>46.09681</v>
      </c>
      <c r="C275" s="112">
        <v>-91.24094</v>
      </c>
      <c r="D275" s="4">
        <v>6.5</v>
      </c>
      <c r="E275" s="4" t="s">
        <v>480</v>
      </c>
      <c r="F275" s="101">
        <v>1</v>
      </c>
      <c r="G275" s="22">
        <v>1</v>
      </c>
      <c r="H275" s="83">
        <v>2</v>
      </c>
      <c r="I275" s="4">
        <v>1</v>
      </c>
      <c r="J275" s="24">
        <v>0</v>
      </c>
      <c r="K275" s="24">
        <v>0</v>
      </c>
      <c r="L275" s="24">
        <v>0</v>
      </c>
      <c r="M275" s="2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</row>
    <row r="276" spans="1:43" ht="12.75">
      <c r="A276" s="22">
        <v>275</v>
      </c>
      <c r="B276" s="112">
        <v>46.09681</v>
      </c>
      <c r="C276" s="112">
        <v>-91.24033</v>
      </c>
      <c r="D276" s="4">
        <v>6.5</v>
      </c>
      <c r="E276" s="4" t="s">
        <v>480</v>
      </c>
      <c r="F276" s="101">
        <v>1</v>
      </c>
      <c r="G276" s="22">
        <v>0</v>
      </c>
      <c r="H276" s="83">
        <v>0</v>
      </c>
      <c r="I276" s="4">
        <v>0</v>
      </c>
      <c r="J276" s="24">
        <v>0</v>
      </c>
      <c r="K276" s="24">
        <v>0</v>
      </c>
      <c r="L276" s="24">
        <v>0</v>
      </c>
      <c r="M276" s="2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</row>
    <row r="277" spans="1:43" ht="12.75">
      <c r="A277" s="22">
        <v>276</v>
      </c>
      <c r="B277" s="112">
        <v>46.09682</v>
      </c>
      <c r="C277" s="112">
        <v>-91.23973</v>
      </c>
      <c r="D277" s="4">
        <v>6.5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2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</row>
    <row r="278" spans="1:43" ht="12.75">
      <c r="A278" s="22">
        <v>277</v>
      </c>
      <c r="B278" s="112">
        <v>46.09683</v>
      </c>
      <c r="C278" s="112">
        <v>-91.23912</v>
      </c>
      <c r="D278" s="4">
        <v>6.5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2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</row>
    <row r="279" spans="1:43" ht="12.75">
      <c r="A279" s="22">
        <v>278</v>
      </c>
      <c r="B279" s="112">
        <v>46.09683</v>
      </c>
      <c r="C279" s="112">
        <v>-91.23851</v>
      </c>
      <c r="D279" s="4">
        <v>6</v>
      </c>
      <c r="E279" s="4" t="s">
        <v>480</v>
      </c>
      <c r="F279" s="101">
        <v>1</v>
      </c>
      <c r="G279" s="22">
        <v>1</v>
      </c>
      <c r="H279" s="83">
        <v>2</v>
      </c>
      <c r="I279" s="4">
        <v>3</v>
      </c>
      <c r="J279" s="24">
        <v>0</v>
      </c>
      <c r="K279" s="24">
        <v>0</v>
      </c>
      <c r="L279" s="24">
        <v>0</v>
      </c>
      <c r="M279" s="2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1</v>
      </c>
      <c r="W279" s="4">
        <v>0</v>
      </c>
      <c r="X279" s="4">
        <v>0</v>
      </c>
      <c r="Y279" s="4">
        <v>0</v>
      </c>
      <c r="Z279" s="4">
        <v>0</v>
      </c>
      <c r="AA279" s="4">
        <v>3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</row>
    <row r="280" spans="1:43" ht="12.75">
      <c r="A280" s="22">
        <v>279</v>
      </c>
      <c r="B280" s="112">
        <v>46.09684</v>
      </c>
      <c r="C280" s="112">
        <v>-91.2379</v>
      </c>
      <c r="D280" s="4">
        <v>7</v>
      </c>
      <c r="E280" s="4" t="s">
        <v>480</v>
      </c>
      <c r="F280" s="101">
        <v>1</v>
      </c>
      <c r="G280" s="22">
        <v>1</v>
      </c>
      <c r="H280" s="83">
        <v>1</v>
      </c>
      <c r="I280" s="4">
        <v>1</v>
      </c>
      <c r="J280" s="24">
        <v>0</v>
      </c>
      <c r="K280" s="24">
        <v>0</v>
      </c>
      <c r="L280" s="24">
        <v>0</v>
      </c>
      <c r="M280" s="2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1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</row>
    <row r="281" spans="1:43" ht="12.75">
      <c r="A281" s="22">
        <v>280</v>
      </c>
      <c r="B281" s="112">
        <v>46.09685</v>
      </c>
      <c r="C281" s="112">
        <v>-91.23729</v>
      </c>
      <c r="D281" s="4">
        <v>6.5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2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</row>
    <row r="282" spans="1:43" ht="12.75">
      <c r="A282" s="22">
        <v>281</v>
      </c>
      <c r="B282" s="112">
        <v>46.09685</v>
      </c>
      <c r="C282" s="112">
        <v>-91.23669</v>
      </c>
      <c r="D282" s="4">
        <v>7</v>
      </c>
      <c r="E282" s="4" t="s">
        <v>480</v>
      </c>
      <c r="F282" s="101">
        <v>1</v>
      </c>
      <c r="G282" s="22">
        <v>1</v>
      </c>
      <c r="H282" s="83">
        <v>1</v>
      </c>
      <c r="I282" s="4">
        <v>1</v>
      </c>
      <c r="J282" s="24">
        <v>0</v>
      </c>
      <c r="K282" s="24">
        <v>0</v>
      </c>
      <c r="L282" s="24">
        <v>0</v>
      </c>
      <c r="M282" s="2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1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</row>
    <row r="283" spans="1:43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2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</row>
    <row r="284" spans="1:43" ht="12.75">
      <c r="A284" s="22">
        <v>283</v>
      </c>
      <c r="B284" s="112">
        <v>46.09686</v>
      </c>
      <c r="C284" s="112">
        <v>-91.23547</v>
      </c>
      <c r="D284" s="4">
        <v>7.5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2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</row>
    <row r="285" spans="1:43" ht="12.75">
      <c r="A285" s="22">
        <v>284</v>
      </c>
      <c r="B285" s="112">
        <v>46.09687</v>
      </c>
      <c r="C285" s="112">
        <v>-91.23486</v>
      </c>
      <c r="D285" s="4">
        <v>8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2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</row>
    <row r="286" spans="1:43" ht="12.75">
      <c r="A286" s="22">
        <v>285</v>
      </c>
      <c r="B286" s="112">
        <v>46.09688</v>
      </c>
      <c r="C286" s="112">
        <v>-91.23426</v>
      </c>
      <c r="D286" s="4">
        <v>6.5</v>
      </c>
      <c r="E286" s="4" t="s">
        <v>480</v>
      </c>
      <c r="F286" s="101">
        <v>1</v>
      </c>
      <c r="G286" s="22">
        <v>1</v>
      </c>
      <c r="H286" s="83">
        <v>1</v>
      </c>
      <c r="I286" s="4">
        <v>1</v>
      </c>
      <c r="J286" s="24">
        <v>0</v>
      </c>
      <c r="K286" s="24">
        <v>0</v>
      </c>
      <c r="L286" s="24">
        <v>0</v>
      </c>
      <c r="M286" s="2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1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</row>
    <row r="287" spans="1:43" ht="12.75">
      <c r="A287" s="22">
        <v>286</v>
      </c>
      <c r="B287" s="112">
        <v>46.09689</v>
      </c>
      <c r="C287" s="112">
        <v>-91.23365</v>
      </c>
      <c r="D287" s="4">
        <v>7</v>
      </c>
      <c r="E287" s="4" t="s">
        <v>480</v>
      </c>
      <c r="F287" s="101">
        <v>1</v>
      </c>
      <c r="G287" s="22">
        <v>1</v>
      </c>
      <c r="H287" s="83">
        <v>3</v>
      </c>
      <c r="I287" s="4">
        <v>3</v>
      </c>
      <c r="J287" s="24">
        <v>0</v>
      </c>
      <c r="K287" s="24">
        <v>0</v>
      </c>
      <c r="L287" s="24">
        <v>0</v>
      </c>
      <c r="M287" s="2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2</v>
      </c>
      <c r="AF287" s="4">
        <v>0</v>
      </c>
      <c r="AG287" s="4">
        <v>0</v>
      </c>
      <c r="AH287" s="4">
        <v>3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</row>
    <row r="288" spans="1:43" ht="12.75">
      <c r="A288" s="22">
        <v>287</v>
      </c>
      <c r="B288" s="112">
        <v>46.09689</v>
      </c>
      <c r="C288" s="112">
        <v>-91.23304</v>
      </c>
      <c r="D288" s="4">
        <v>7</v>
      </c>
      <c r="E288" s="4" t="s">
        <v>480</v>
      </c>
      <c r="F288" s="101">
        <v>1</v>
      </c>
      <c r="G288" s="22">
        <v>1</v>
      </c>
      <c r="H288" s="83">
        <v>2</v>
      </c>
      <c r="I288" s="4">
        <v>1</v>
      </c>
      <c r="J288" s="24">
        <v>0</v>
      </c>
      <c r="K288" s="24">
        <v>0</v>
      </c>
      <c r="L288" s="24">
        <v>0</v>
      </c>
      <c r="M288" s="24">
        <v>1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1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</row>
    <row r="289" spans="1:43" ht="12.75">
      <c r="A289" s="22">
        <v>288</v>
      </c>
      <c r="B289" s="112">
        <v>46.0969</v>
      </c>
      <c r="C289" s="112">
        <v>-91.23243</v>
      </c>
      <c r="D289" s="4">
        <v>6.5</v>
      </c>
      <c r="E289" s="4" t="s">
        <v>480</v>
      </c>
      <c r="F289" s="101">
        <v>1</v>
      </c>
      <c r="G289" s="22">
        <v>1</v>
      </c>
      <c r="H289" s="83">
        <v>3</v>
      </c>
      <c r="I289" s="4">
        <v>3</v>
      </c>
      <c r="J289" s="24">
        <v>0</v>
      </c>
      <c r="K289" s="24">
        <v>0</v>
      </c>
      <c r="L289" s="24">
        <v>0</v>
      </c>
      <c r="M289" s="2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2</v>
      </c>
      <c r="AC289" s="4">
        <v>0</v>
      </c>
      <c r="AD289" s="4">
        <v>0</v>
      </c>
      <c r="AE289" s="4">
        <v>1</v>
      </c>
      <c r="AF289" s="4">
        <v>0</v>
      </c>
      <c r="AG289" s="4">
        <v>0</v>
      </c>
      <c r="AH289" s="4">
        <v>3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</row>
    <row r="290" spans="1:43" ht="12.75">
      <c r="A290" s="22">
        <v>289</v>
      </c>
      <c r="B290" s="112">
        <v>46.0969</v>
      </c>
      <c r="C290" s="112">
        <v>-91.23182</v>
      </c>
      <c r="D290" s="4">
        <v>6.5</v>
      </c>
      <c r="E290" s="4" t="s">
        <v>480</v>
      </c>
      <c r="F290" s="101">
        <v>1</v>
      </c>
      <c r="G290" s="22">
        <v>1</v>
      </c>
      <c r="H290" s="83">
        <v>3</v>
      </c>
      <c r="I290" s="4">
        <v>2</v>
      </c>
      <c r="J290" s="24">
        <v>0</v>
      </c>
      <c r="K290" s="24">
        <v>0</v>
      </c>
      <c r="L290" s="24">
        <v>0</v>
      </c>
      <c r="M290" s="2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1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2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</row>
    <row r="291" spans="1:43" ht="12.75">
      <c r="A291" s="22">
        <v>290</v>
      </c>
      <c r="B291" s="112">
        <v>46.09691</v>
      </c>
      <c r="C291" s="112">
        <v>-91.23122</v>
      </c>
      <c r="D291" s="4">
        <v>7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2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</row>
    <row r="292" spans="1:43" ht="12.75">
      <c r="A292" s="22">
        <v>291</v>
      </c>
      <c r="B292" s="112">
        <v>46.09692</v>
      </c>
      <c r="C292" s="112">
        <v>-91.23061</v>
      </c>
      <c r="D292" s="4">
        <v>8</v>
      </c>
      <c r="E292" s="4" t="s">
        <v>480</v>
      </c>
      <c r="F292" s="101">
        <v>1</v>
      </c>
      <c r="G292" s="22">
        <v>1</v>
      </c>
      <c r="H292" s="83">
        <v>3</v>
      </c>
      <c r="I292" s="4">
        <v>2</v>
      </c>
      <c r="J292" s="24">
        <v>0</v>
      </c>
      <c r="K292" s="24">
        <v>0</v>
      </c>
      <c r="L292" s="24">
        <v>0</v>
      </c>
      <c r="M292" s="2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1</v>
      </c>
      <c r="AB292" s="4">
        <v>1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</row>
    <row r="293" spans="1:43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6</v>
      </c>
      <c r="I293" s="4">
        <v>3</v>
      </c>
      <c r="J293" s="24">
        <v>0</v>
      </c>
      <c r="K293" s="24">
        <v>0</v>
      </c>
      <c r="L293" s="24">
        <v>0</v>
      </c>
      <c r="M293" s="2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1</v>
      </c>
      <c r="X293" s="4">
        <v>0</v>
      </c>
      <c r="Y293" s="4">
        <v>0</v>
      </c>
      <c r="Z293" s="4">
        <v>0</v>
      </c>
      <c r="AA293" s="4">
        <v>2</v>
      </c>
      <c r="AB293" s="4">
        <v>1</v>
      </c>
      <c r="AC293" s="4">
        <v>0</v>
      </c>
      <c r="AD293" s="4">
        <v>0</v>
      </c>
      <c r="AE293" s="4">
        <v>2</v>
      </c>
      <c r="AF293" s="4">
        <v>0</v>
      </c>
      <c r="AG293" s="4">
        <v>0</v>
      </c>
      <c r="AH293" s="4">
        <v>3</v>
      </c>
      <c r="AI293" s="4">
        <v>0</v>
      </c>
      <c r="AJ293" s="4">
        <v>0</v>
      </c>
      <c r="AK293" s="4">
        <v>1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</row>
    <row r="294" spans="1:43" ht="12.75">
      <c r="A294" s="22">
        <v>293</v>
      </c>
      <c r="B294" s="112">
        <v>46.09693</v>
      </c>
      <c r="C294" s="112">
        <v>-91.22939</v>
      </c>
      <c r="D294" s="4">
        <v>8</v>
      </c>
      <c r="E294" s="4" t="s">
        <v>480</v>
      </c>
      <c r="F294" s="101">
        <v>1</v>
      </c>
      <c r="G294" s="22">
        <v>1</v>
      </c>
      <c r="H294" s="83">
        <v>2</v>
      </c>
      <c r="I294" s="4">
        <v>3</v>
      </c>
      <c r="J294" s="24">
        <v>0</v>
      </c>
      <c r="K294" s="24">
        <v>0</v>
      </c>
      <c r="L294" s="24">
        <v>0</v>
      </c>
      <c r="M294" s="2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3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1</v>
      </c>
      <c r="AQ294" s="4">
        <v>0</v>
      </c>
    </row>
    <row r="295" spans="1:43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0</v>
      </c>
      <c r="H295" s="83">
        <v>0</v>
      </c>
      <c r="I295" s="4">
        <v>0</v>
      </c>
      <c r="J295" s="24">
        <v>0</v>
      </c>
      <c r="K295" s="24">
        <v>0</v>
      </c>
      <c r="L295" s="24">
        <v>0</v>
      </c>
      <c r="M295" s="2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</row>
    <row r="296" spans="1:43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2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</row>
    <row r="297" spans="1:43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2</v>
      </c>
      <c r="I297" s="4">
        <v>3</v>
      </c>
      <c r="J297" s="24">
        <v>0</v>
      </c>
      <c r="K297" s="24">
        <v>0</v>
      </c>
      <c r="L297" s="24">
        <v>0</v>
      </c>
      <c r="M297" s="2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2</v>
      </c>
      <c r="W297" s="4">
        <v>0</v>
      </c>
      <c r="X297" s="4">
        <v>0</v>
      </c>
      <c r="Y297" s="4">
        <v>0</v>
      </c>
      <c r="Z297" s="4">
        <v>0</v>
      </c>
      <c r="AA297" s="4">
        <v>4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3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</row>
    <row r="298" spans="1:43" ht="12.75">
      <c r="A298" s="22">
        <v>297</v>
      </c>
      <c r="B298" s="112">
        <v>46.09696</v>
      </c>
      <c r="C298" s="112">
        <v>-91.22696</v>
      </c>
      <c r="D298" s="4">
        <v>6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2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</row>
    <row r="299" spans="1:43" ht="12.75">
      <c r="A299" s="22">
        <v>298</v>
      </c>
      <c r="B299" s="112">
        <v>46.09696</v>
      </c>
      <c r="C299" s="112">
        <v>-91.22635</v>
      </c>
      <c r="D299" s="4">
        <v>2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2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</row>
    <row r="300" spans="1:43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3</v>
      </c>
      <c r="I300" s="4">
        <v>2</v>
      </c>
      <c r="J300" s="24">
        <v>0</v>
      </c>
      <c r="K300" s="24">
        <v>0</v>
      </c>
      <c r="L300" s="24">
        <v>0</v>
      </c>
      <c r="M300" s="24">
        <v>1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1</v>
      </c>
      <c r="U300" s="4">
        <v>2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</row>
    <row r="301" spans="1:43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480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2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</row>
    <row r="302" spans="1:43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3</v>
      </c>
      <c r="I302" s="4">
        <v>1</v>
      </c>
      <c r="J302" s="24">
        <v>0</v>
      </c>
      <c r="K302" s="24">
        <v>0</v>
      </c>
      <c r="L302" s="24">
        <v>0</v>
      </c>
      <c r="M302" s="2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1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1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1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</row>
    <row r="303" spans="1:43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1</v>
      </c>
      <c r="H303" s="83">
        <v>1</v>
      </c>
      <c r="I303" s="4">
        <v>1</v>
      </c>
      <c r="J303" s="24">
        <v>0</v>
      </c>
      <c r="K303" s="24">
        <v>0</v>
      </c>
      <c r="L303" s="24">
        <v>0</v>
      </c>
      <c r="M303" s="2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1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</row>
    <row r="304" spans="1:43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1</v>
      </c>
      <c r="H304" s="83">
        <v>2</v>
      </c>
      <c r="I304" s="4">
        <v>1</v>
      </c>
      <c r="J304" s="24">
        <v>0</v>
      </c>
      <c r="K304" s="24">
        <v>0</v>
      </c>
      <c r="L304" s="24">
        <v>0</v>
      </c>
      <c r="M304" s="2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1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</row>
    <row r="305" spans="1:43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2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</row>
    <row r="306" spans="1:43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2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</row>
    <row r="307" spans="1:43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2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</row>
    <row r="308" spans="1:43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0</v>
      </c>
      <c r="H308" s="83">
        <v>0</v>
      </c>
      <c r="I308" s="4">
        <v>0</v>
      </c>
      <c r="J308" s="24">
        <v>0</v>
      </c>
      <c r="K308" s="24">
        <v>0</v>
      </c>
      <c r="L308" s="24">
        <v>0</v>
      </c>
      <c r="M308" s="2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</row>
    <row r="309" spans="1:43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2</v>
      </c>
      <c r="J309" s="24">
        <v>0</v>
      </c>
      <c r="K309" s="24">
        <v>0</v>
      </c>
      <c r="L309" s="24">
        <v>0</v>
      </c>
      <c r="M309" s="2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2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</row>
    <row r="310" spans="1:43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1</v>
      </c>
      <c r="H310" s="83">
        <v>2</v>
      </c>
      <c r="I310" s="4">
        <v>1</v>
      </c>
      <c r="J310" s="24">
        <v>0</v>
      </c>
      <c r="K310" s="24">
        <v>0</v>
      </c>
      <c r="L310" s="24">
        <v>0</v>
      </c>
      <c r="M310" s="2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</row>
    <row r="311" spans="1:43" ht="12.75">
      <c r="A311" s="22">
        <v>310</v>
      </c>
      <c r="B311" s="112">
        <v>46.09728</v>
      </c>
      <c r="C311" s="112">
        <v>-91.2367</v>
      </c>
      <c r="D311" s="4">
        <v>6</v>
      </c>
      <c r="E311" s="4" t="s">
        <v>480</v>
      </c>
      <c r="F311" s="101">
        <v>1</v>
      </c>
      <c r="G311" s="22">
        <v>1</v>
      </c>
      <c r="H311" s="83">
        <v>2</v>
      </c>
      <c r="I311" s="4">
        <v>1</v>
      </c>
      <c r="J311" s="24">
        <v>0</v>
      </c>
      <c r="K311" s="24">
        <v>0</v>
      </c>
      <c r="L311" s="24">
        <v>0</v>
      </c>
      <c r="M311" s="2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1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1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</row>
    <row r="312" spans="1:43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2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</row>
    <row r="313" spans="1:43" ht="12.75">
      <c r="A313" s="22">
        <v>312</v>
      </c>
      <c r="B313" s="112">
        <v>46.09729</v>
      </c>
      <c r="C313" s="112">
        <v>-91.23548</v>
      </c>
      <c r="D313" s="4">
        <v>7.5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2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</row>
    <row r="314" spans="1:43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2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</row>
    <row r="315" spans="1:43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2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</row>
    <row r="316" spans="1:43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3</v>
      </c>
      <c r="I316" s="4">
        <v>2</v>
      </c>
      <c r="J316" s="24">
        <v>0</v>
      </c>
      <c r="K316" s="24">
        <v>0</v>
      </c>
      <c r="L316" s="24">
        <v>0</v>
      </c>
      <c r="M316" s="2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1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1</v>
      </c>
      <c r="AI316" s="4">
        <v>0</v>
      </c>
      <c r="AJ316" s="4">
        <v>0</v>
      </c>
      <c r="AK316" s="4">
        <v>2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</row>
    <row r="317" spans="1:43" ht="12.75">
      <c r="A317" s="22">
        <v>316</v>
      </c>
      <c r="B317" s="112">
        <v>46.09731</v>
      </c>
      <c r="C317" s="112">
        <v>-91.23305</v>
      </c>
      <c r="D317" s="4">
        <v>6</v>
      </c>
      <c r="E317" s="4" t="s">
        <v>480</v>
      </c>
      <c r="F317" s="101">
        <v>1</v>
      </c>
      <c r="G317" s="22">
        <v>1</v>
      </c>
      <c r="H317" s="83">
        <v>4</v>
      </c>
      <c r="I317" s="4">
        <v>3</v>
      </c>
      <c r="J317" s="24">
        <v>0</v>
      </c>
      <c r="K317" s="24">
        <v>0</v>
      </c>
      <c r="L317" s="24">
        <v>0</v>
      </c>
      <c r="M317" s="24">
        <v>1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1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4</v>
      </c>
      <c r="AC317" s="4">
        <v>0</v>
      </c>
      <c r="AD317" s="4">
        <v>0</v>
      </c>
      <c r="AE317" s="4">
        <v>1</v>
      </c>
      <c r="AF317" s="4">
        <v>0</v>
      </c>
      <c r="AG317" s="4">
        <v>0</v>
      </c>
      <c r="AH317" s="4">
        <v>3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</row>
    <row r="318" spans="1:43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1</v>
      </c>
      <c r="J318" s="24">
        <v>0</v>
      </c>
      <c r="K318" s="24">
        <v>0</v>
      </c>
      <c r="L318" s="24">
        <v>0</v>
      </c>
      <c r="M318" s="2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1</v>
      </c>
      <c r="W318" s="4">
        <v>0</v>
      </c>
      <c r="X318" s="4">
        <v>0</v>
      </c>
      <c r="Y318" s="4">
        <v>0</v>
      </c>
      <c r="Z318" s="4">
        <v>0</v>
      </c>
      <c r="AA318" s="4">
        <v>1</v>
      </c>
      <c r="AB318" s="4">
        <v>0</v>
      </c>
      <c r="AC318" s="4">
        <v>0</v>
      </c>
      <c r="AD318" s="4">
        <v>0</v>
      </c>
      <c r="AE318" s="4">
        <v>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</row>
    <row r="319" spans="1:43" ht="12.75">
      <c r="A319" s="22">
        <v>318</v>
      </c>
      <c r="B319" s="112">
        <v>46.09733</v>
      </c>
      <c r="C319" s="112">
        <v>-91.23183</v>
      </c>
      <c r="D319" s="4">
        <v>6.5</v>
      </c>
      <c r="E319" s="4" t="s">
        <v>480</v>
      </c>
      <c r="F319" s="101">
        <v>1</v>
      </c>
      <c r="G319" s="22">
        <v>1</v>
      </c>
      <c r="H319" s="83">
        <v>1</v>
      </c>
      <c r="I319" s="4">
        <v>1</v>
      </c>
      <c r="J319" s="24">
        <v>0</v>
      </c>
      <c r="K319" s="24">
        <v>0</v>
      </c>
      <c r="L319" s="24">
        <v>0</v>
      </c>
      <c r="M319" s="2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1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</row>
    <row r="320" spans="1:43" ht="12.75">
      <c r="A320" s="22">
        <v>319</v>
      </c>
      <c r="B320" s="112">
        <v>46.09733</v>
      </c>
      <c r="C320" s="112">
        <v>-91.23122</v>
      </c>
      <c r="D320" s="4">
        <v>8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2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1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1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</row>
    <row r="321" spans="1:43" ht="12.75">
      <c r="A321" s="22">
        <v>320</v>
      </c>
      <c r="B321" s="112">
        <v>46.09734</v>
      </c>
      <c r="C321" s="112">
        <v>-91.23062</v>
      </c>
      <c r="D321" s="4">
        <v>6</v>
      </c>
      <c r="E321" s="4" t="s">
        <v>480</v>
      </c>
      <c r="F321" s="101">
        <v>1</v>
      </c>
      <c r="G321" s="22">
        <v>1</v>
      </c>
      <c r="H321" s="83">
        <v>9</v>
      </c>
      <c r="I321" s="4">
        <v>3</v>
      </c>
      <c r="J321" s="24">
        <v>0</v>
      </c>
      <c r="K321" s="24">
        <v>0</v>
      </c>
      <c r="L321" s="24">
        <v>0</v>
      </c>
      <c r="M321" s="24">
        <v>1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1</v>
      </c>
      <c r="W321" s="4">
        <v>1</v>
      </c>
      <c r="X321" s="4">
        <v>0</v>
      </c>
      <c r="Y321" s="4">
        <v>0</v>
      </c>
      <c r="Z321" s="4">
        <v>0</v>
      </c>
      <c r="AA321" s="4">
        <v>1</v>
      </c>
      <c r="AB321" s="4">
        <v>3</v>
      </c>
      <c r="AC321" s="4">
        <v>1</v>
      </c>
      <c r="AD321" s="4">
        <v>0</v>
      </c>
      <c r="AE321" s="4">
        <v>0</v>
      </c>
      <c r="AF321" s="4">
        <v>0</v>
      </c>
      <c r="AG321" s="4">
        <v>0</v>
      </c>
      <c r="AH321" s="4">
        <v>1</v>
      </c>
      <c r="AI321" s="4">
        <v>0</v>
      </c>
      <c r="AJ321" s="4">
        <v>0</v>
      </c>
      <c r="AK321" s="4">
        <v>1</v>
      </c>
      <c r="AL321" s="4">
        <v>0</v>
      </c>
      <c r="AM321" s="4">
        <v>0</v>
      </c>
      <c r="AN321" s="4">
        <v>0</v>
      </c>
      <c r="AO321" s="4">
        <v>0</v>
      </c>
      <c r="AP321" s="4">
        <v>1</v>
      </c>
      <c r="AQ321" s="4">
        <v>0</v>
      </c>
    </row>
    <row r="322" spans="1:43" ht="12.75">
      <c r="A322" s="22">
        <v>321</v>
      </c>
      <c r="B322" s="112">
        <v>46.09735</v>
      </c>
      <c r="C322" s="112">
        <v>-91.23001</v>
      </c>
      <c r="D322" s="4">
        <v>20</v>
      </c>
      <c r="E322" s="4">
        <v>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2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</row>
    <row r="323" spans="1:43" ht="12.75">
      <c r="A323" s="22">
        <v>322</v>
      </c>
      <c r="B323" s="112">
        <v>46.09735</v>
      </c>
      <c r="C323" s="112">
        <v>-91.2294</v>
      </c>
      <c r="D323" s="4">
        <v>15</v>
      </c>
      <c r="E323" s="4" t="s">
        <v>481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2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</row>
    <row r="324" spans="1:43" ht="12.75">
      <c r="A324" s="22">
        <v>323</v>
      </c>
      <c r="B324" s="112">
        <v>46.09736</v>
      </c>
      <c r="C324" s="112">
        <v>-91.22879</v>
      </c>
      <c r="D324" s="4">
        <v>3</v>
      </c>
      <c r="E324" s="4" t="s">
        <v>482</v>
      </c>
      <c r="F324" s="101">
        <v>1</v>
      </c>
      <c r="G324" s="22">
        <v>1</v>
      </c>
      <c r="H324" s="83">
        <v>2</v>
      </c>
      <c r="I324" s="4">
        <v>1</v>
      </c>
      <c r="J324" s="24">
        <v>0</v>
      </c>
      <c r="K324" s="24">
        <v>0</v>
      </c>
      <c r="L324" s="24">
        <v>0</v>
      </c>
      <c r="M324" s="2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</row>
    <row r="325" spans="1:43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0</v>
      </c>
      <c r="H325" s="83">
        <v>0</v>
      </c>
      <c r="I325" s="4">
        <v>0</v>
      </c>
      <c r="J325" s="24">
        <v>0</v>
      </c>
      <c r="K325" s="24">
        <v>0</v>
      </c>
      <c r="L325" s="24">
        <v>0</v>
      </c>
      <c r="M325" s="2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</row>
    <row r="326" spans="1:43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480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2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</row>
    <row r="327" spans="1:43" ht="12.75">
      <c r="A327" s="22">
        <v>326</v>
      </c>
      <c r="B327" s="112">
        <v>46.09763</v>
      </c>
      <c r="C327" s="112">
        <v>-91.24279</v>
      </c>
      <c r="D327" s="4">
        <v>4</v>
      </c>
      <c r="E327" s="4" t="s">
        <v>480</v>
      </c>
      <c r="F327" s="101">
        <v>1</v>
      </c>
      <c r="G327" s="22">
        <v>0</v>
      </c>
      <c r="H327" s="83">
        <v>0</v>
      </c>
      <c r="I327" s="4">
        <v>0</v>
      </c>
      <c r="J327" s="24">
        <v>0</v>
      </c>
      <c r="K327" s="24">
        <v>0</v>
      </c>
      <c r="L327" s="24">
        <v>0</v>
      </c>
      <c r="M327" s="2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</row>
    <row r="328" spans="1:43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2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4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</row>
    <row r="329" spans="1:43" ht="12.75">
      <c r="A329" s="22">
        <v>328</v>
      </c>
      <c r="B329" s="112">
        <v>46.09765</v>
      </c>
      <c r="C329" s="112">
        <v>-91.24157</v>
      </c>
      <c r="D329" s="4">
        <v>6</v>
      </c>
      <c r="E329" s="4" t="s">
        <v>480</v>
      </c>
      <c r="F329" s="101">
        <v>1</v>
      </c>
      <c r="G329" s="22">
        <v>1</v>
      </c>
      <c r="H329" s="83">
        <v>3</v>
      </c>
      <c r="I329" s="4">
        <v>1</v>
      </c>
      <c r="J329" s="24">
        <v>0</v>
      </c>
      <c r="K329" s="24">
        <v>0</v>
      </c>
      <c r="L329" s="24">
        <v>0</v>
      </c>
      <c r="M329" s="2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1</v>
      </c>
      <c r="AI329" s="4">
        <v>0</v>
      </c>
      <c r="AJ329" s="4">
        <v>0</v>
      </c>
      <c r="AK329" s="4">
        <v>1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</row>
    <row r="330" spans="1:43" ht="12.75">
      <c r="A330" s="22">
        <v>329</v>
      </c>
      <c r="B330" s="112">
        <v>46.09765</v>
      </c>
      <c r="C330" s="112">
        <v>-91.24096</v>
      </c>
      <c r="D330" s="4">
        <v>6</v>
      </c>
      <c r="E330" s="4" t="s">
        <v>480</v>
      </c>
      <c r="F330" s="101">
        <v>1</v>
      </c>
      <c r="G330" s="22">
        <v>1</v>
      </c>
      <c r="H330" s="83">
        <v>2</v>
      </c>
      <c r="I330" s="4">
        <v>2</v>
      </c>
      <c r="J330" s="24">
        <v>0</v>
      </c>
      <c r="K330" s="24">
        <v>0</v>
      </c>
      <c r="L330" s="24">
        <v>0</v>
      </c>
      <c r="M330" s="2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2</v>
      </c>
      <c r="W330" s="4">
        <v>0</v>
      </c>
      <c r="X330" s="4">
        <v>0</v>
      </c>
      <c r="Y330" s="4">
        <v>0</v>
      </c>
      <c r="Z330" s="4">
        <v>0</v>
      </c>
      <c r="AA330" s="4">
        <v>1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</row>
    <row r="331" spans="1:43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1</v>
      </c>
      <c r="H331" s="83">
        <v>1</v>
      </c>
      <c r="I331" s="4">
        <v>1</v>
      </c>
      <c r="J331" s="24">
        <v>0</v>
      </c>
      <c r="K331" s="24">
        <v>0</v>
      </c>
      <c r="L331" s="24">
        <v>0</v>
      </c>
      <c r="M331" s="2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</row>
    <row r="332" spans="1:43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1</v>
      </c>
      <c r="H332" s="83">
        <v>1</v>
      </c>
      <c r="I332" s="4">
        <v>1</v>
      </c>
      <c r="J332" s="24">
        <v>0</v>
      </c>
      <c r="K332" s="24">
        <v>0</v>
      </c>
      <c r="L332" s="24">
        <v>0</v>
      </c>
      <c r="M332" s="2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1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</row>
    <row r="333" spans="1:43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1</v>
      </c>
      <c r="H333" s="83">
        <v>1</v>
      </c>
      <c r="I333" s="4">
        <v>2</v>
      </c>
      <c r="J333" s="24">
        <v>0</v>
      </c>
      <c r="K333" s="24">
        <v>0</v>
      </c>
      <c r="L333" s="24">
        <v>0</v>
      </c>
      <c r="M333" s="2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2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</row>
    <row r="334" spans="1:43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2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</row>
    <row r="335" spans="1:43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3</v>
      </c>
      <c r="I335" s="4">
        <v>2</v>
      </c>
      <c r="J335" s="24">
        <v>0</v>
      </c>
      <c r="K335" s="24">
        <v>0</v>
      </c>
      <c r="L335" s="24">
        <v>0</v>
      </c>
      <c r="M335" s="2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1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2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</row>
    <row r="336" spans="1:43" ht="12.75">
      <c r="A336" s="22">
        <v>335</v>
      </c>
      <c r="B336" s="112">
        <v>46.09769</v>
      </c>
      <c r="C336" s="112">
        <v>-91.23731</v>
      </c>
      <c r="D336" s="4">
        <v>6</v>
      </c>
      <c r="E336" s="4" t="s">
        <v>480</v>
      </c>
      <c r="F336" s="101">
        <v>1</v>
      </c>
      <c r="G336" s="22">
        <v>1</v>
      </c>
      <c r="H336" s="83">
        <v>2</v>
      </c>
      <c r="I336" s="4">
        <v>1</v>
      </c>
      <c r="J336" s="24">
        <v>0</v>
      </c>
      <c r="K336" s="24">
        <v>0</v>
      </c>
      <c r="L336" s="24">
        <v>0</v>
      </c>
      <c r="M336" s="2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1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</row>
    <row r="337" spans="1:43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1</v>
      </c>
      <c r="H337" s="83">
        <v>2</v>
      </c>
      <c r="I337" s="4">
        <v>1</v>
      </c>
      <c r="J337" s="24">
        <v>0</v>
      </c>
      <c r="K337" s="24">
        <v>0</v>
      </c>
      <c r="L337" s="24">
        <v>0</v>
      </c>
      <c r="M337" s="2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1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</row>
    <row r="338" spans="1:43" ht="12.75">
      <c r="A338" s="22">
        <v>337</v>
      </c>
      <c r="B338" s="112">
        <v>46.09771</v>
      </c>
      <c r="C338" s="112">
        <v>-91.2361</v>
      </c>
      <c r="D338" s="4">
        <v>6.5</v>
      </c>
      <c r="E338" s="4" t="s">
        <v>480</v>
      </c>
      <c r="F338" s="101">
        <v>1</v>
      </c>
      <c r="G338" s="22">
        <v>1</v>
      </c>
      <c r="H338" s="83">
        <v>1</v>
      </c>
      <c r="I338" s="4">
        <v>1</v>
      </c>
      <c r="J338" s="24">
        <v>0</v>
      </c>
      <c r="K338" s="24">
        <v>0</v>
      </c>
      <c r="L338" s="24">
        <v>0</v>
      </c>
      <c r="M338" s="2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4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1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</row>
    <row r="339" spans="1:43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2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</row>
    <row r="340" spans="1:43" ht="12.75">
      <c r="A340" s="22">
        <v>339</v>
      </c>
      <c r="B340" s="112">
        <v>46.09772</v>
      </c>
      <c r="C340" s="112">
        <v>-91.23488</v>
      </c>
      <c r="D340" s="4">
        <v>7.5</v>
      </c>
      <c r="E340" s="4" t="s">
        <v>480</v>
      </c>
      <c r="F340" s="101">
        <v>1</v>
      </c>
      <c r="G340" s="22">
        <v>1</v>
      </c>
      <c r="H340" s="83">
        <v>2</v>
      </c>
      <c r="I340" s="4">
        <v>3</v>
      </c>
      <c r="J340" s="24">
        <v>0</v>
      </c>
      <c r="K340" s="24">
        <v>0</v>
      </c>
      <c r="L340" s="24">
        <v>0</v>
      </c>
      <c r="M340" s="2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4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3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1</v>
      </c>
      <c r="AQ340" s="4">
        <v>0</v>
      </c>
    </row>
    <row r="341" spans="1:43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2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</row>
    <row r="342" spans="1:43" ht="12.75">
      <c r="A342" s="22">
        <v>341</v>
      </c>
      <c r="B342" s="112">
        <v>46.09773</v>
      </c>
      <c r="C342" s="112">
        <v>-91.23367</v>
      </c>
      <c r="D342" s="4">
        <v>6</v>
      </c>
      <c r="E342" s="4" t="s">
        <v>480</v>
      </c>
      <c r="F342" s="101">
        <v>1</v>
      </c>
      <c r="G342" s="22">
        <v>1</v>
      </c>
      <c r="H342" s="83">
        <v>3</v>
      </c>
      <c r="I342" s="4">
        <v>2</v>
      </c>
      <c r="J342" s="24">
        <v>0</v>
      </c>
      <c r="K342" s="24">
        <v>0</v>
      </c>
      <c r="L342" s="24">
        <v>0</v>
      </c>
      <c r="M342" s="2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4</v>
      </c>
      <c r="AB342" s="4">
        <v>2</v>
      </c>
      <c r="AC342" s="4">
        <v>0</v>
      </c>
      <c r="AD342" s="4">
        <v>0</v>
      </c>
      <c r="AE342" s="4">
        <v>1</v>
      </c>
      <c r="AF342" s="4">
        <v>0</v>
      </c>
      <c r="AG342" s="4">
        <v>0</v>
      </c>
      <c r="AH342" s="4">
        <v>1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</row>
    <row r="343" spans="1:43" ht="12.75">
      <c r="A343" s="22">
        <v>342</v>
      </c>
      <c r="B343" s="112">
        <v>46.09774</v>
      </c>
      <c r="C343" s="112">
        <v>-91.23306</v>
      </c>
      <c r="D343" s="4">
        <v>8.5</v>
      </c>
      <c r="E343" s="4" t="s">
        <v>480</v>
      </c>
      <c r="F343" s="101">
        <v>1</v>
      </c>
      <c r="G343" s="22">
        <v>1</v>
      </c>
      <c r="H343" s="83">
        <v>2</v>
      </c>
      <c r="I343" s="4">
        <v>2</v>
      </c>
      <c r="J343" s="24">
        <v>0</v>
      </c>
      <c r="K343" s="24">
        <v>0</v>
      </c>
      <c r="L343" s="24">
        <v>0</v>
      </c>
      <c r="M343" s="2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0</v>
      </c>
      <c r="Z343" s="4">
        <v>0</v>
      </c>
      <c r="AA343" s="4">
        <v>2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</row>
    <row r="344" spans="1:43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4</v>
      </c>
      <c r="I344" s="4">
        <v>3</v>
      </c>
      <c r="J344" s="24">
        <v>0</v>
      </c>
      <c r="K344" s="24">
        <v>0</v>
      </c>
      <c r="L344" s="24">
        <v>0</v>
      </c>
      <c r="M344" s="2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1</v>
      </c>
      <c r="AB344" s="4">
        <v>0</v>
      </c>
      <c r="AC344" s="4">
        <v>0</v>
      </c>
      <c r="AD344" s="4">
        <v>0</v>
      </c>
      <c r="AE344" s="4">
        <v>1</v>
      </c>
      <c r="AF344" s="4">
        <v>0</v>
      </c>
      <c r="AG344" s="4">
        <v>0</v>
      </c>
      <c r="AH344" s="4">
        <v>3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1</v>
      </c>
      <c r="AQ344" s="4">
        <v>0</v>
      </c>
    </row>
    <row r="345" spans="1:43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7</v>
      </c>
      <c r="I345" s="4">
        <v>3</v>
      </c>
      <c r="J345" s="24">
        <v>1</v>
      </c>
      <c r="K345" s="24">
        <v>0</v>
      </c>
      <c r="L345" s="24">
        <v>0</v>
      </c>
      <c r="M345" s="2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1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2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1</v>
      </c>
      <c r="AH345" s="4">
        <v>3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2</v>
      </c>
      <c r="AQ345" s="4">
        <v>0</v>
      </c>
    </row>
    <row r="346" spans="1:43" ht="12.75">
      <c r="A346" s="22">
        <v>345</v>
      </c>
      <c r="B346" s="112">
        <v>46.09776</v>
      </c>
      <c r="C346" s="112">
        <v>-91.23124</v>
      </c>
      <c r="D346" s="4">
        <v>12.5</v>
      </c>
      <c r="E346" s="4" t="s">
        <v>480</v>
      </c>
      <c r="F346" s="101">
        <v>1</v>
      </c>
      <c r="G346" s="22">
        <v>1</v>
      </c>
      <c r="H346" s="83">
        <v>2</v>
      </c>
      <c r="I346" s="4">
        <v>3</v>
      </c>
      <c r="J346" s="24">
        <v>0</v>
      </c>
      <c r="K346" s="24">
        <v>0</v>
      </c>
      <c r="L346" s="24">
        <v>0</v>
      </c>
      <c r="M346" s="2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1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3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</row>
    <row r="347" spans="1:43" ht="12.75">
      <c r="A347" s="22">
        <v>346</v>
      </c>
      <c r="B347" s="112">
        <v>46.09776</v>
      </c>
      <c r="C347" s="112">
        <v>-91.23063</v>
      </c>
      <c r="D347" s="4">
        <v>23.5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2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</row>
    <row r="348" spans="1:43" ht="12.75">
      <c r="A348" s="22">
        <v>347</v>
      </c>
      <c r="B348" s="112">
        <v>46.09777</v>
      </c>
      <c r="C348" s="112">
        <v>-91.23002</v>
      </c>
      <c r="D348" s="4">
        <v>23.5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2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</row>
    <row r="349" spans="1:43" ht="12.75">
      <c r="A349" s="22">
        <v>348</v>
      </c>
      <c r="B349" s="112">
        <v>46.09779</v>
      </c>
      <c r="C349" s="112">
        <v>-91.22819</v>
      </c>
      <c r="D349" s="22">
        <v>-99</v>
      </c>
      <c r="E349" s="22">
        <v>-99</v>
      </c>
      <c r="F349" s="22">
        <v>-99</v>
      </c>
      <c r="G349" s="22">
        <v>-99</v>
      </c>
      <c r="H349" s="22">
        <v>-99</v>
      </c>
      <c r="I349" s="22">
        <v>-99</v>
      </c>
      <c r="J349" s="22">
        <v>-99</v>
      </c>
      <c r="K349" s="22">
        <v>-99</v>
      </c>
      <c r="L349" s="22">
        <v>-99</v>
      </c>
      <c r="M349" s="22">
        <v>-99</v>
      </c>
      <c r="N349" s="22">
        <v>-99</v>
      </c>
      <c r="O349" s="22">
        <v>-99</v>
      </c>
      <c r="P349" s="22">
        <v>-99</v>
      </c>
      <c r="Q349" s="22">
        <v>-99</v>
      </c>
      <c r="R349" s="22">
        <v>-99</v>
      </c>
      <c r="S349" s="22">
        <v>-99</v>
      </c>
      <c r="T349" s="22">
        <v>-99</v>
      </c>
      <c r="U349" s="22">
        <v>-99</v>
      </c>
      <c r="V349" s="22">
        <v>-99</v>
      </c>
      <c r="W349" s="22">
        <v>-99</v>
      </c>
      <c r="X349" s="22">
        <v>-99</v>
      </c>
      <c r="Y349" s="22">
        <v>-99</v>
      </c>
      <c r="Z349" s="22">
        <v>-99</v>
      </c>
      <c r="AA349" s="22">
        <v>-99</v>
      </c>
      <c r="AB349" s="22">
        <v>-99</v>
      </c>
      <c r="AC349" s="22">
        <v>-99</v>
      </c>
      <c r="AD349" s="22">
        <v>-99</v>
      </c>
      <c r="AE349" s="22">
        <v>-99</v>
      </c>
      <c r="AF349" s="22">
        <v>-99</v>
      </c>
      <c r="AG349" s="22">
        <v>-99</v>
      </c>
      <c r="AH349" s="22">
        <v>-99</v>
      </c>
      <c r="AI349" s="22">
        <v>-99</v>
      </c>
      <c r="AJ349" s="22">
        <v>-99</v>
      </c>
      <c r="AK349" s="22">
        <v>-99</v>
      </c>
      <c r="AL349" s="22">
        <v>-99</v>
      </c>
      <c r="AM349" s="22">
        <v>-99</v>
      </c>
      <c r="AN349" s="22">
        <v>-99</v>
      </c>
      <c r="AO349" s="22">
        <v>-99</v>
      </c>
      <c r="AP349" s="22">
        <v>-99</v>
      </c>
      <c r="AQ349" s="22">
        <v>-99</v>
      </c>
    </row>
    <row r="350" spans="1:43" ht="12.75">
      <c r="A350" s="22">
        <v>349</v>
      </c>
      <c r="B350" s="112">
        <v>46.09805</v>
      </c>
      <c r="C350" s="112">
        <v>-91.24279</v>
      </c>
      <c r="D350" s="4">
        <v>2.5</v>
      </c>
      <c r="E350" s="4" t="s">
        <v>480</v>
      </c>
      <c r="F350" s="101">
        <v>1</v>
      </c>
      <c r="G350" s="22">
        <v>1</v>
      </c>
      <c r="H350" s="83">
        <v>4</v>
      </c>
      <c r="I350" s="4">
        <v>3</v>
      </c>
      <c r="J350" s="24">
        <v>4</v>
      </c>
      <c r="K350" s="24">
        <v>1</v>
      </c>
      <c r="L350" s="24">
        <v>0</v>
      </c>
      <c r="M350" s="2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1</v>
      </c>
      <c r="W350" s="4">
        <v>0</v>
      </c>
      <c r="X350" s="4">
        <v>0</v>
      </c>
      <c r="Y350" s="4">
        <v>0</v>
      </c>
      <c r="Z350" s="4">
        <v>4</v>
      </c>
      <c r="AA350" s="4">
        <v>0</v>
      </c>
      <c r="AB350" s="4">
        <v>0</v>
      </c>
      <c r="AC350" s="4">
        <v>0</v>
      </c>
      <c r="AD350" s="4">
        <v>3</v>
      </c>
      <c r="AE350" s="4">
        <v>0</v>
      </c>
      <c r="AF350" s="4">
        <v>4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2</v>
      </c>
      <c r="AQ350" s="4">
        <v>0</v>
      </c>
    </row>
    <row r="351" spans="1:43" ht="12.75">
      <c r="A351" s="22">
        <v>350</v>
      </c>
      <c r="B351" s="112">
        <v>46.09806</v>
      </c>
      <c r="C351" s="112">
        <v>-91.24219</v>
      </c>
      <c r="D351" s="4">
        <v>4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2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</row>
    <row r="352" spans="1:43" ht="12.75">
      <c r="A352" s="22">
        <v>351</v>
      </c>
      <c r="B352" s="112">
        <v>46.09807</v>
      </c>
      <c r="C352" s="112">
        <v>-91.24158</v>
      </c>
      <c r="D352" s="4">
        <v>5.5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2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</row>
    <row r="353" spans="1:43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1</v>
      </c>
      <c r="H353" s="83">
        <v>2</v>
      </c>
      <c r="I353" s="4">
        <v>1</v>
      </c>
      <c r="J353" s="24">
        <v>0</v>
      </c>
      <c r="K353" s="24">
        <v>0</v>
      </c>
      <c r="L353" s="24">
        <v>0</v>
      </c>
      <c r="M353" s="2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1</v>
      </c>
      <c r="AC353" s="4">
        <v>0</v>
      </c>
      <c r="AD353" s="4">
        <v>0</v>
      </c>
      <c r="AE353" s="4">
        <v>1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</row>
    <row r="354" spans="1:43" ht="12.75">
      <c r="A354" s="22">
        <v>353</v>
      </c>
      <c r="B354" s="112">
        <v>46.09808</v>
      </c>
      <c r="C354" s="112">
        <v>-91.24036</v>
      </c>
      <c r="D354" s="4">
        <v>6</v>
      </c>
      <c r="E354" s="4" t="s">
        <v>480</v>
      </c>
      <c r="F354" s="101">
        <v>1</v>
      </c>
      <c r="G354" s="22">
        <v>1</v>
      </c>
      <c r="H354" s="83">
        <v>2</v>
      </c>
      <c r="I354" s="4">
        <v>2</v>
      </c>
      <c r="J354" s="24">
        <v>0</v>
      </c>
      <c r="K354" s="24">
        <v>0</v>
      </c>
      <c r="L354" s="24">
        <v>0</v>
      </c>
      <c r="M354" s="2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2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1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</row>
    <row r="355" spans="1:43" ht="12.75">
      <c r="A355" s="22">
        <v>354</v>
      </c>
      <c r="B355" s="112">
        <v>46.09809</v>
      </c>
      <c r="C355" s="112">
        <v>-91.23975</v>
      </c>
      <c r="D355" s="4">
        <v>5.5</v>
      </c>
      <c r="E355" s="4" t="s">
        <v>480</v>
      </c>
      <c r="F355" s="101">
        <v>1</v>
      </c>
      <c r="G355" s="22">
        <v>1</v>
      </c>
      <c r="H355" s="83">
        <v>4</v>
      </c>
      <c r="I355" s="4">
        <v>3</v>
      </c>
      <c r="J355" s="24">
        <v>0</v>
      </c>
      <c r="K355" s="24">
        <v>0</v>
      </c>
      <c r="L355" s="24">
        <v>0</v>
      </c>
      <c r="M355" s="2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3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1</v>
      </c>
      <c r="AQ355" s="4">
        <v>0</v>
      </c>
    </row>
    <row r="356" spans="1:43" ht="12.75">
      <c r="A356" s="22">
        <v>355</v>
      </c>
      <c r="B356" s="112">
        <v>46.0981</v>
      </c>
      <c r="C356" s="112">
        <v>-91.23915</v>
      </c>
      <c r="D356" s="4">
        <v>6.5</v>
      </c>
      <c r="E356" s="4" t="s">
        <v>480</v>
      </c>
      <c r="F356" s="101">
        <v>1</v>
      </c>
      <c r="G356" s="22">
        <v>1</v>
      </c>
      <c r="H356" s="83">
        <v>2</v>
      </c>
      <c r="I356" s="4">
        <v>1</v>
      </c>
      <c r="J356" s="24">
        <v>0</v>
      </c>
      <c r="K356" s="24">
        <v>0</v>
      </c>
      <c r="L356" s="24">
        <v>0</v>
      </c>
      <c r="M356" s="2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1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1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</row>
    <row r="357" spans="1:43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1</v>
      </c>
      <c r="H357" s="83">
        <v>2</v>
      </c>
      <c r="I357" s="4">
        <v>1</v>
      </c>
      <c r="J357" s="24">
        <v>0</v>
      </c>
      <c r="K357" s="24">
        <v>0</v>
      </c>
      <c r="L357" s="24">
        <v>0</v>
      </c>
      <c r="M357" s="2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1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</row>
    <row r="358" spans="1:43" ht="12.75">
      <c r="A358" s="22">
        <v>357</v>
      </c>
      <c r="B358" s="112">
        <v>46.09811</v>
      </c>
      <c r="C358" s="112">
        <v>-91.23793</v>
      </c>
      <c r="D358" s="4">
        <v>6</v>
      </c>
      <c r="E358" s="4" t="s">
        <v>480</v>
      </c>
      <c r="F358" s="101">
        <v>1</v>
      </c>
      <c r="G358" s="22">
        <v>1</v>
      </c>
      <c r="H358" s="83">
        <v>1</v>
      </c>
      <c r="I358" s="4">
        <v>1</v>
      </c>
      <c r="J358" s="24">
        <v>0</v>
      </c>
      <c r="K358" s="24">
        <v>0</v>
      </c>
      <c r="L358" s="24">
        <v>0</v>
      </c>
      <c r="M358" s="2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1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</row>
    <row r="359" spans="1:43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2</v>
      </c>
      <c r="I359" s="4">
        <v>1</v>
      </c>
      <c r="J359" s="24">
        <v>0</v>
      </c>
      <c r="K359" s="24">
        <v>0</v>
      </c>
      <c r="L359" s="24">
        <v>0</v>
      </c>
      <c r="M359" s="2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1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</row>
    <row r="360" spans="1:43" ht="12.75">
      <c r="A360" s="22">
        <v>359</v>
      </c>
      <c r="B360" s="112">
        <v>46.09812</v>
      </c>
      <c r="C360" s="112">
        <v>-91.23672</v>
      </c>
      <c r="D360" s="4">
        <v>6.5</v>
      </c>
      <c r="E360" s="4" t="s">
        <v>480</v>
      </c>
      <c r="F360" s="101">
        <v>1</v>
      </c>
      <c r="G360" s="22">
        <v>1</v>
      </c>
      <c r="H360" s="83">
        <v>2</v>
      </c>
      <c r="I360" s="4">
        <v>1</v>
      </c>
      <c r="J360" s="24">
        <v>0</v>
      </c>
      <c r="K360" s="24">
        <v>0</v>
      </c>
      <c r="L360" s="24">
        <v>0</v>
      </c>
      <c r="M360" s="2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1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4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</row>
    <row r="361" spans="1:43" ht="12.75">
      <c r="A361" s="22">
        <v>360</v>
      </c>
      <c r="B361" s="112">
        <v>46.09813</v>
      </c>
      <c r="C361" s="112">
        <v>-91.23611</v>
      </c>
      <c r="D361" s="4">
        <v>7</v>
      </c>
      <c r="E361" s="4" t="s">
        <v>480</v>
      </c>
      <c r="F361" s="101">
        <v>1</v>
      </c>
      <c r="G361" s="22">
        <v>1</v>
      </c>
      <c r="H361" s="83">
        <v>1</v>
      </c>
      <c r="I361" s="4">
        <v>1</v>
      </c>
      <c r="J361" s="24">
        <v>0</v>
      </c>
      <c r="K361" s="24">
        <v>0</v>
      </c>
      <c r="L361" s="24">
        <v>0</v>
      </c>
      <c r="M361" s="2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</row>
    <row r="362" spans="1:43" ht="12.75">
      <c r="A362" s="22">
        <v>361</v>
      </c>
      <c r="B362" s="112">
        <v>46.09813</v>
      </c>
      <c r="C362" s="112">
        <v>-91.2355</v>
      </c>
      <c r="D362" s="4">
        <v>7.5</v>
      </c>
      <c r="E362" s="4" t="s">
        <v>480</v>
      </c>
      <c r="F362" s="101">
        <v>1</v>
      </c>
      <c r="G362" s="22">
        <v>0</v>
      </c>
      <c r="H362" s="83">
        <v>0</v>
      </c>
      <c r="I362" s="4">
        <v>0</v>
      </c>
      <c r="J362" s="24">
        <v>0</v>
      </c>
      <c r="K362" s="24">
        <v>0</v>
      </c>
      <c r="L362" s="24">
        <v>0</v>
      </c>
      <c r="M362" s="2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</row>
    <row r="363" spans="1:43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0</v>
      </c>
      <c r="H363" s="83">
        <v>0</v>
      </c>
      <c r="I363" s="4">
        <v>0</v>
      </c>
      <c r="J363" s="24">
        <v>0</v>
      </c>
      <c r="K363" s="24">
        <v>0</v>
      </c>
      <c r="L363" s="24">
        <v>0</v>
      </c>
      <c r="M363" s="2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</row>
    <row r="364" spans="1:43" ht="12.75">
      <c r="A364" s="22">
        <v>363</v>
      </c>
      <c r="B364" s="112">
        <v>46.09815</v>
      </c>
      <c r="C364" s="112">
        <v>-91.23428</v>
      </c>
      <c r="D364" s="4">
        <v>8</v>
      </c>
      <c r="E364" s="4" t="s">
        <v>480</v>
      </c>
      <c r="F364" s="101">
        <v>1</v>
      </c>
      <c r="G364" s="22">
        <v>0</v>
      </c>
      <c r="H364" s="83">
        <v>0</v>
      </c>
      <c r="I364" s="4">
        <v>0</v>
      </c>
      <c r="J364" s="24">
        <v>0</v>
      </c>
      <c r="K364" s="24">
        <v>0</v>
      </c>
      <c r="L364" s="24">
        <v>0</v>
      </c>
      <c r="M364" s="2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</row>
    <row r="365" spans="1:43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3</v>
      </c>
      <c r="I365" s="4">
        <v>1</v>
      </c>
      <c r="J365" s="24">
        <v>0</v>
      </c>
      <c r="K365" s="24">
        <v>0</v>
      </c>
      <c r="L365" s="24">
        <v>0</v>
      </c>
      <c r="M365" s="2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1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1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</row>
    <row r="366" spans="1:43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5</v>
      </c>
      <c r="I366" s="4">
        <v>2</v>
      </c>
      <c r="J366" s="24">
        <v>0</v>
      </c>
      <c r="K366" s="24">
        <v>0</v>
      </c>
      <c r="L366" s="24">
        <v>0</v>
      </c>
      <c r="M366" s="2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1</v>
      </c>
      <c r="AC366" s="4">
        <v>0</v>
      </c>
      <c r="AD366" s="4">
        <v>0</v>
      </c>
      <c r="AE366" s="4">
        <v>1</v>
      </c>
      <c r="AF366" s="4">
        <v>0</v>
      </c>
      <c r="AG366" s="4">
        <v>0</v>
      </c>
      <c r="AH366" s="4">
        <v>2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1</v>
      </c>
      <c r="AQ366" s="4">
        <v>0</v>
      </c>
    </row>
    <row r="367" spans="1:43" ht="12.75">
      <c r="A367" s="22">
        <v>366</v>
      </c>
      <c r="B367" s="112">
        <v>46.09817</v>
      </c>
      <c r="C367" s="112">
        <v>-91.23246</v>
      </c>
      <c r="D367" s="4">
        <v>12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2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2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</row>
    <row r="368" spans="1:43" ht="12.75">
      <c r="A368" s="22">
        <v>367</v>
      </c>
      <c r="B368" s="112">
        <v>46.09817</v>
      </c>
      <c r="C368" s="112">
        <v>-91.23185</v>
      </c>
      <c r="D368" s="4">
        <v>17</v>
      </c>
      <c r="E368" s="4" t="s">
        <v>480</v>
      </c>
      <c r="F368" s="101">
        <v>1</v>
      </c>
      <c r="G368" s="22">
        <v>1</v>
      </c>
      <c r="H368" s="83">
        <v>3</v>
      </c>
      <c r="I368" s="4">
        <v>1</v>
      </c>
      <c r="J368" s="24">
        <v>0</v>
      </c>
      <c r="K368" s="24">
        <v>0</v>
      </c>
      <c r="L368" s="24">
        <v>0</v>
      </c>
      <c r="M368" s="24">
        <v>1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1</v>
      </c>
      <c r="AI368" s="4">
        <v>1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</row>
    <row r="369" spans="1:43" ht="12.75">
      <c r="A369" s="22">
        <v>368</v>
      </c>
      <c r="B369" s="112">
        <v>46.09818</v>
      </c>
      <c r="C369" s="112">
        <v>-91.23124</v>
      </c>
      <c r="D369" s="4">
        <v>24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2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</row>
    <row r="370" spans="1:43" ht="12.75">
      <c r="A370" s="22">
        <v>369</v>
      </c>
      <c r="B370" s="112">
        <v>46.09819</v>
      </c>
      <c r="C370" s="112">
        <v>-91.23064</v>
      </c>
      <c r="D370" s="4">
        <v>27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2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</row>
    <row r="371" spans="1:43" ht="12.75">
      <c r="A371" s="22">
        <v>370</v>
      </c>
      <c r="B371" s="112">
        <v>46.09819</v>
      </c>
      <c r="C371" s="112">
        <v>-91.23003</v>
      </c>
      <c r="D371" s="4">
        <v>10</v>
      </c>
      <c r="E371" s="4" t="s">
        <v>480</v>
      </c>
      <c r="F371" s="101">
        <v>1</v>
      </c>
      <c r="G371" s="22">
        <v>1</v>
      </c>
      <c r="H371" s="83">
        <v>2</v>
      </c>
      <c r="I371" s="4">
        <v>2</v>
      </c>
      <c r="J371" s="24">
        <v>0</v>
      </c>
      <c r="K371" s="24">
        <v>0</v>
      </c>
      <c r="L371" s="24">
        <v>0</v>
      </c>
      <c r="M371" s="2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2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</row>
    <row r="372" spans="1:43" ht="12.75">
      <c r="A372" s="22">
        <v>371</v>
      </c>
      <c r="B372" s="112">
        <v>46.09848</v>
      </c>
      <c r="C372" s="112">
        <v>-91.2422</v>
      </c>
      <c r="D372" s="4">
        <v>2</v>
      </c>
      <c r="E372" s="4" t="s">
        <v>481</v>
      </c>
      <c r="F372" s="101">
        <v>1</v>
      </c>
      <c r="G372" s="22">
        <v>1</v>
      </c>
      <c r="H372" s="83">
        <v>3</v>
      </c>
      <c r="I372" s="4">
        <v>3</v>
      </c>
      <c r="J372" s="24">
        <v>0</v>
      </c>
      <c r="K372" s="24">
        <v>0</v>
      </c>
      <c r="L372" s="24">
        <v>0</v>
      </c>
      <c r="M372" s="2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3</v>
      </c>
      <c r="T372" s="4">
        <v>0</v>
      </c>
      <c r="U372" s="4">
        <v>1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</row>
    <row r="373" spans="1:43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480</v>
      </c>
      <c r="F373" s="101">
        <v>1</v>
      </c>
      <c r="G373" s="22">
        <v>1</v>
      </c>
      <c r="H373" s="83">
        <v>1</v>
      </c>
      <c r="I373" s="4">
        <v>1</v>
      </c>
      <c r="J373" s="24">
        <v>0</v>
      </c>
      <c r="K373" s="24">
        <v>0</v>
      </c>
      <c r="L373" s="24">
        <v>0</v>
      </c>
      <c r="M373" s="2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1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</row>
    <row r="374" spans="1:43" ht="12.75">
      <c r="A374" s="22">
        <v>373</v>
      </c>
      <c r="B374" s="112">
        <v>46.0985</v>
      </c>
      <c r="C374" s="112">
        <v>-91.24098</v>
      </c>
      <c r="D374" s="4">
        <v>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2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</row>
    <row r="375" spans="1:43" ht="12.75">
      <c r="A375" s="22">
        <v>374</v>
      </c>
      <c r="B375" s="112">
        <v>46.0985</v>
      </c>
      <c r="C375" s="112">
        <v>-91.24037</v>
      </c>
      <c r="D375" s="4">
        <v>6</v>
      </c>
      <c r="E375" s="4" t="s">
        <v>480</v>
      </c>
      <c r="F375" s="101">
        <v>1</v>
      </c>
      <c r="G375" s="22">
        <v>1</v>
      </c>
      <c r="H375" s="83">
        <v>2</v>
      </c>
      <c r="I375" s="4">
        <v>2</v>
      </c>
      <c r="J375" s="24">
        <v>0</v>
      </c>
      <c r="K375" s="24">
        <v>0</v>
      </c>
      <c r="L375" s="24">
        <v>0</v>
      </c>
      <c r="M375" s="2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2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</row>
    <row r="376" spans="1:43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2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</row>
    <row r="377" spans="1:43" ht="12.75">
      <c r="A377" s="22">
        <v>376</v>
      </c>
      <c r="B377" s="112">
        <v>46.09852</v>
      </c>
      <c r="C377" s="112">
        <v>-91.23916</v>
      </c>
      <c r="D377" s="4">
        <v>6</v>
      </c>
      <c r="E377" s="4" t="s">
        <v>480</v>
      </c>
      <c r="F377" s="101">
        <v>1</v>
      </c>
      <c r="G377" s="22">
        <v>1</v>
      </c>
      <c r="H377" s="83">
        <v>1</v>
      </c>
      <c r="I377" s="4">
        <v>1</v>
      </c>
      <c r="J377" s="24">
        <v>0</v>
      </c>
      <c r="K377" s="24">
        <v>0</v>
      </c>
      <c r="L377" s="24">
        <v>0</v>
      </c>
      <c r="M377" s="2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4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</row>
    <row r="378" spans="1:43" ht="12.75">
      <c r="A378" s="22">
        <v>377</v>
      </c>
      <c r="B378" s="112">
        <v>46.09852</v>
      </c>
      <c r="C378" s="112">
        <v>-91.23855</v>
      </c>
      <c r="D378" s="4">
        <v>6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2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4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</row>
    <row r="379" spans="1:43" ht="12.75">
      <c r="A379" s="22">
        <v>378</v>
      </c>
      <c r="B379" s="112">
        <v>46.09853</v>
      </c>
      <c r="C379" s="112">
        <v>-91.23794</v>
      </c>
      <c r="D379" s="4">
        <v>7</v>
      </c>
      <c r="E379" s="4" t="s">
        <v>480</v>
      </c>
      <c r="F379" s="101">
        <v>1</v>
      </c>
      <c r="G379" s="22">
        <v>1</v>
      </c>
      <c r="H379" s="83">
        <v>1</v>
      </c>
      <c r="I379" s="4">
        <v>1</v>
      </c>
      <c r="J379" s="24">
        <v>0</v>
      </c>
      <c r="K379" s="24">
        <v>0</v>
      </c>
      <c r="L379" s="24">
        <v>0</v>
      </c>
      <c r="M379" s="2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</row>
    <row r="380" spans="1:43" ht="12.75">
      <c r="A380" s="22">
        <v>379</v>
      </c>
      <c r="B380" s="112">
        <v>46.09854</v>
      </c>
      <c r="C380" s="112">
        <v>-91.23733</v>
      </c>
      <c r="D380" s="4">
        <v>6</v>
      </c>
      <c r="E380" s="4" t="s">
        <v>480</v>
      </c>
      <c r="F380" s="101">
        <v>1</v>
      </c>
      <c r="G380" s="22">
        <v>1</v>
      </c>
      <c r="H380" s="83">
        <v>3</v>
      </c>
      <c r="I380" s="4">
        <v>2</v>
      </c>
      <c r="J380" s="24">
        <v>0</v>
      </c>
      <c r="K380" s="24">
        <v>0</v>
      </c>
      <c r="L380" s="24">
        <v>0</v>
      </c>
      <c r="M380" s="24">
        <v>1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2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4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1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</row>
    <row r="381" spans="1:43" ht="12.75">
      <c r="A381" s="22">
        <v>380</v>
      </c>
      <c r="B381" s="112">
        <v>46.09854</v>
      </c>
      <c r="C381" s="112">
        <v>-91.23673</v>
      </c>
      <c r="D381" s="4">
        <v>5</v>
      </c>
      <c r="E381" s="4" t="s">
        <v>480</v>
      </c>
      <c r="F381" s="101">
        <v>1</v>
      </c>
      <c r="G381" s="22">
        <v>1</v>
      </c>
      <c r="H381" s="83">
        <v>3</v>
      </c>
      <c r="I381" s="4">
        <v>3</v>
      </c>
      <c r="J381" s="24">
        <v>0</v>
      </c>
      <c r="K381" s="24">
        <v>0</v>
      </c>
      <c r="L381" s="24">
        <v>0</v>
      </c>
      <c r="M381" s="2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1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3</v>
      </c>
      <c r="AI381" s="4">
        <v>0</v>
      </c>
      <c r="AJ381" s="4">
        <v>0</v>
      </c>
      <c r="AK381" s="4">
        <v>1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</row>
    <row r="382" spans="1:43" ht="12.75">
      <c r="A382" s="22">
        <v>381</v>
      </c>
      <c r="B382" s="112">
        <v>46.09855</v>
      </c>
      <c r="C382" s="112">
        <v>-91.23612</v>
      </c>
      <c r="D382" s="4">
        <v>8</v>
      </c>
      <c r="E382" s="4" t="s">
        <v>480</v>
      </c>
      <c r="F382" s="101">
        <v>1</v>
      </c>
      <c r="G382" s="22">
        <v>1</v>
      </c>
      <c r="H382" s="83">
        <v>2</v>
      </c>
      <c r="I382" s="4">
        <v>3</v>
      </c>
      <c r="J382" s="24">
        <v>0</v>
      </c>
      <c r="K382" s="24">
        <v>0</v>
      </c>
      <c r="L382" s="24">
        <v>0</v>
      </c>
      <c r="M382" s="2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3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</row>
    <row r="383" spans="1:43" ht="12.75">
      <c r="A383" s="22">
        <v>382</v>
      </c>
      <c r="B383" s="112">
        <v>46.09856</v>
      </c>
      <c r="C383" s="112">
        <v>-91.23551</v>
      </c>
      <c r="D383" s="4">
        <v>12.5</v>
      </c>
      <c r="E383" s="4" t="s">
        <v>480</v>
      </c>
      <c r="F383" s="101">
        <v>1</v>
      </c>
      <c r="G383" s="22">
        <v>1</v>
      </c>
      <c r="H383" s="83">
        <v>1</v>
      </c>
      <c r="I383" s="4">
        <v>3</v>
      </c>
      <c r="J383" s="24">
        <v>0</v>
      </c>
      <c r="K383" s="24">
        <v>0</v>
      </c>
      <c r="L383" s="24">
        <v>0</v>
      </c>
      <c r="M383" s="2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3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</row>
    <row r="384" spans="1:43" ht="12.75">
      <c r="A384" s="22">
        <v>383</v>
      </c>
      <c r="B384" s="112">
        <v>46.09856</v>
      </c>
      <c r="C384" s="112">
        <v>-91.2349</v>
      </c>
      <c r="D384" s="4">
        <v>11.5</v>
      </c>
      <c r="E384" s="4" t="s">
        <v>480</v>
      </c>
      <c r="F384" s="101">
        <v>1</v>
      </c>
      <c r="G384" s="22">
        <v>1</v>
      </c>
      <c r="H384" s="83">
        <v>2</v>
      </c>
      <c r="I384" s="4">
        <v>2</v>
      </c>
      <c r="J384" s="24">
        <v>0</v>
      </c>
      <c r="K384" s="24">
        <v>0</v>
      </c>
      <c r="L384" s="24">
        <v>0</v>
      </c>
      <c r="M384" s="2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2</v>
      </c>
      <c r="AF384" s="4">
        <v>0</v>
      </c>
      <c r="AG384" s="4">
        <v>0</v>
      </c>
      <c r="AH384" s="4">
        <v>1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</row>
    <row r="385" spans="1:43" ht="12.75">
      <c r="A385" s="22">
        <v>384</v>
      </c>
      <c r="B385" s="112">
        <v>46.09857</v>
      </c>
      <c r="C385" s="112">
        <v>-91.23429</v>
      </c>
      <c r="D385" s="4">
        <v>14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2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3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</row>
    <row r="386" spans="1:43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1</v>
      </c>
      <c r="J386" s="24">
        <v>0</v>
      </c>
      <c r="K386" s="24">
        <v>0</v>
      </c>
      <c r="L386" s="24">
        <v>0</v>
      </c>
      <c r="M386" s="2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1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</row>
    <row r="387" spans="1:43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0</v>
      </c>
      <c r="G387" s="22">
        <v>0</v>
      </c>
      <c r="H387" s="83">
        <v>0</v>
      </c>
      <c r="I387" s="4">
        <v>0</v>
      </c>
      <c r="J387" s="24">
        <v>0</v>
      </c>
      <c r="K387" s="24">
        <v>0</v>
      </c>
      <c r="L387" s="24">
        <v>0</v>
      </c>
      <c r="M387" s="2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</row>
    <row r="388" spans="1:43" ht="12.75">
      <c r="A388" s="22">
        <v>387</v>
      </c>
      <c r="B388" s="112">
        <v>46.09859</v>
      </c>
      <c r="C388" s="112">
        <v>-91.23247</v>
      </c>
      <c r="D388" s="4">
        <v>20</v>
      </c>
      <c r="E388" s="4" t="s">
        <v>480</v>
      </c>
      <c r="F388" s="101">
        <v>0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2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</row>
    <row r="389" spans="1:43" ht="12.75">
      <c r="A389" s="22">
        <v>388</v>
      </c>
      <c r="B389" s="112">
        <v>46.0986</v>
      </c>
      <c r="C389" s="112">
        <v>-91.23186</v>
      </c>
      <c r="D389" s="4">
        <v>24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2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</row>
    <row r="390" spans="1:43" ht="12.75">
      <c r="A390" s="22">
        <v>389</v>
      </c>
      <c r="B390" s="112">
        <v>46.0986</v>
      </c>
      <c r="C390" s="112">
        <v>-91.23125</v>
      </c>
      <c r="D390" s="4">
        <v>24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2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</row>
    <row r="391" spans="1:43" ht="12.75">
      <c r="A391" s="22">
        <v>390</v>
      </c>
      <c r="B391" s="112">
        <v>46.09861</v>
      </c>
      <c r="C391" s="112">
        <v>-91.23065</v>
      </c>
      <c r="D391" s="4">
        <v>15.5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2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2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</row>
    <row r="392" spans="1:43" ht="12.75">
      <c r="A392" s="22">
        <v>391</v>
      </c>
      <c r="B392" s="112">
        <v>46.09862</v>
      </c>
      <c r="C392" s="112">
        <v>-91.23004</v>
      </c>
      <c r="D392" s="4">
        <v>6.5</v>
      </c>
      <c r="E392" s="4" t="s">
        <v>480</v>
      </c>
      <c r="F392" s="101">
        <v>1</v>
      </c>
      <c r="G392" s="22">
        <v>1</v>
      </c>
      <c r="H392" s="83">
        <v>3</v>
      </c>
      <c r="I392" s="4">
        <v>2</v>
      </c>
      <c r="J392" s="24">
        <v>0</v>
      </c>
      <c r="K392" s="24">
        <v>0</v>
      </c>
      <c r="L392" s="24">
        <v>0</v>
      </c>
      <c r="M392" s="2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2</v>
      </c>
      <c r="X392" s="4">
        <v>0</v>
      </c>
      <c r="Y392" s="4">
        <v>0</v>
      </c>
      <c r="Z392" s="4">
        <v>0</v>
      </c>
      <c r="AA392" s="4">
        <v>1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1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</row>
    <row r="393" spans="1:43" ht="12.75">
      <c r="A393" s="22">
        <v>392</v>
      </c>
      <c r="B393" s="112">
        <v>46.09862</v>
      </c>
      <c r="C393" s="112">
        <v>-91.22943</v>
      </c>
      <c r="D393" s="4">
        <v>2</v>
      </c>
      <c r="E393" s="4" t="s">
        <v>481</v>
      </c>
      <c r="F393" s="101">
        <v>1</v>
      </c>
      <c r="G393" s="22">
        <v>1</v>
      </c>
      <c r="H393" s="83">
        <v>3</v>
      </c>
      <c r="I393" s="4">
        <v>2</v>
      </c>
      <c r="J393" s="24">
        <v>0</v>
      </c>
      <c r="K393" s="24">
        <v>0</v>
      </c>
      <c r="L393" s="24">
        <v>0</v>
      </c>
      <c r="M393" s="2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2</v>
      </c>
      <c r="T393" s="4">
        <v>0</v>
      </c>
      <c r="U393" s="4">
        <v>2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</row>
    <row r="394" spans="1:43" ht="12.75">
      <c r="A394" s="22">
        <v>393</v>
      </c>
      <c r="B394" s="112">
        <v>46.09893</v>
      </c>
      <c r="C394" s="112">
        <v>-91.23977</v>
      </c>
      <c r="D394" s="4">
        <v>6</v>
      </c>
      <c r="E394" s="4" t="s">
        <v>480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0</v>
      </c>
      <c r="M394" s="24">
        <v>1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</row>
    <row r="395" spans="1:43" ht="12.75">
      <c r="A395" s="22">
        <v>394</v>
      </c>
      <c r="B395" s="112">
        <v>46.09894</v>
      </c>
      <c r="C395" s="112">
        <v>-91.23917</v>
      </c>
      <c r="D395" s="4">
        <v>6.5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2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</row>
    <row r="396" spans="1:43" ht="12.75">
      <c r="A396" s="22">
        <v>395</v>
      </c>
      <c r="B396" s="112">
        <v>46.09895</v>
      </c>
      <c r="C396" s="112">
        <v>-91.23856</v>
      </c>
      <c r="D396" s="4">
        <v>6</v>
      </c>
      <c r="E396" s="4" t="s">
        <v>480</v>
      </c>
      <c r="F396" s="101">
        <v>1</v>
      </c>
      <c r="G396" s="22">
        <v>1</v>
      </c>
      <c r="H396" s="83">
        <v>2</v>
      </c>
      <c r="I396" s="4">
        <v>1</v>
      </c>
      <c r="J396" s="24">
        <v>0</v>
      </c>
      <c r="K396" s="24">
        <v>0</v>
      </c>
      <c r="L396" s="24">
        <v>0</v>
      </c>
      <c r="M396" s="2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1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</row>
    <row r="397" spans="1:43" ht="12.75">
      <c r="A397" s="22">
        <v>396</v>
      </c>
      <c r="B397" s="112">
        <v>46.09895</v>
      </c>
      <c r="C397" s="112">
        <v>-91.23795</v>
      </c>
      <c r="D397" s="4">
        <v>6.5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2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1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</row>
    <row r="398" spans="1:43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2</v>
      </c>
      <c r="I398" s="4">
        <v>1</v>
      </c>
      <c r="J398" s="24">
        <v>0</v>
      </c>
      <c r="K398" s="24">
        <v>0</v>
      </c>
      <c r="L398" s="24">
        <v>0</v>
      </c>
      <c r="M398" s="2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1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</row>
    <row r="399" spans="1:43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0</v>
      </c>
      <c r="H399" s="83">
        <v>0</v>
      </c>
      <c r="I399" s="4">
        <v>0</v>
      </c>
      <c r="J399" s="24">
        <v>0</v>
      </c>
      <c r="K399" s="24">
        <v>0</v>
      </c>
      <c r="L399" s="24">
        <v>0</v>
      </c>
      <c r="M399" s="2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</row>
    <row r="400" spans="1:43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4</v>
      </c>
      <c r="I400" s="4">
        <v>3</v>
      </c>
      <c r="J400" s="24">
        <v>0</v>
      </c>
      <c r="K400" s="24">
        <v>0</v>
      </c>
      <c r="L400" s="24">
        <v>0</v>
      </c>
      <c r="M400" s="2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1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3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1</v>
      </c>
      <c r="AQ400" s="4">
        <v>0</v>
      </c>
    </row>
    <row r="401" spans="1:43" ht="12.75">
      <c r="A401" s="22">
        <v>400</v>
      </c>
      <c r="B401" s="112">
        <v>46.09898</v>
      </c>
      <c r="C401" s="112">
        <v>-91.23552</v>
      </c>
      <c r="D401" s="4">
        <v>13</v>
      </c>
      <c r="E401" s="4" t="s">
        <v>480</v>
      </c>
      <c r="F401" s="101">
        <v>1</v>
      </c>
      <c r="G401" s="22">
        <v>1</v>
      </c>
      <c r="H401" s="83">
        <v>1</v>
      </c>
      <c r="I401" s="4">
        <v>3</v>
      </c>
      <c r="J401" s="24">
        <v>0</v>
      </c>
      <c r="K401" s="24">
        <v>0</v>
      </c>
      <c r="L401" s="24">
        <v>0</v>
      </c>
      <c r="M401" s="2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3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</row>
    <row r="402" spans="1:43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0</v>
      </c>
      <c r="G402" s="22">
        <v>0</v>
      </c>
      <c r="H402" s="83">
        <v>0</v>
      </c>
      <c r="I402" s="4">
        <v>0</v>
      </c>
      <c r="J402" s="24">
        <v>0</v>
      </c>
      <c r="K402" s="24">
        <v>0</v>
      </c>
      <c r="L402" s="24">
        <v>0</v>
      </c>
      <c r="M402" s="2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</row>
    <row r="403" spans="1:43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2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</row>
    <row r="404" spans="1:43" ht="12.75">
      <c r="A404" s="22">
        <v>403</v>
      </c>
      <c r="B404" s="112">
        <v>46.099</v>
      </c>
      <c r="C404" s="112">
        <v>-91.2337</v>
      </c>
      <c r="D404" s="4">
        <v>21.5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2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</row>
    <row r="405" spans="1:43" ht="12.75">
      <c r="A405" s="22">
        <v>404</v>
      </c>
      <c r="B405" s="112">
        <v>46.09901</v>
      </c>
      <c r="C405" s="112">
        <v>-91.23309</v>
      </c>
      <c r="D405" s="4">
        <v>21.5</v>
      </c>
      <c r="E405" s="4" t="s">
        <v>480</v>
      </c>
      <c r="F405" s="101">
        <v>0</v>
      </c>
      <c r="G405" s="22">
        <v>0</v>
      </c>
      <c r="H405" s="83">
        <v>0</v>
      </c>
      <c r="I405" s="4">
        <v>0</v>
      </c>
      <c r="J405" s="24">
        <v>0</v>
      </c>
      <c r="K405" s="24">
        <v>0</v>
      </c>
      <c r="L405" s="24">
        <v>0</v>
      </c>
      <c r="M405" s="2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</row>
    <row r="406" spans="1:43" ht="12.75">
      <c r="A406" s="22">
        <v>405</v>
      </c>
      <c r="B406" s="112">
        <v>46.09901</v>
      </c>
      <c r="C406" s="112">
        <v>-91.23248</v>
      </c>
      <c r="D406" s="4">
        <v>20.5</v>
      </c>
      <c r="E406" s="4" t="s">
        <v>480</v>
      </c>
      <c r="F406" s="101">
        <v>0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2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</row>
    <row r="407" spans="1:43" ht="12.75">
      <c r="A407" s="22">
        <v>406</v>
      </c>
      <c r="B407" s="112">
        <v>46.09902</v>
      </c>
      <c r="C407" s="112">
        <v>-91.23187</v>
      </c>
      <c r="D407" s="4">
        <v>18</v>
      </c>
      <c r="E407" s="4" t="s">
        <v>480</v>
      </c>
      <c r="F407" s="101">
        <v>1</v>
      </c>
      <c r="G407" s="22">
        <v>1</v>
      </c>
      <c r="H407" s="83">
        <v>1</v>
      </c>
      <c r="I407" s="4">
        <v>1</v>
      </c>
      <c r="J407" s="24">
        <v>0</v>
      </c>
      <c r="K407" s="24">
        <v>0</v>
      </c>
      <c r="L407" s="24">
        <v>0</v>
      </c>
      <c r="M407" s="2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</row>
    <row r="408" spans="1:43" ht="12.75">
      <c r="A408" s="22">
        <v>407</v>
      </c>
      <c r="B408" s="112">
        <v>46.09903</v>
      </c>
      <c r="C408" s="112">
        <v>-91.23126</v>
      </c>
      <c r="D408" s="4">
        <v>9</v>
      </c>
      <c r="E408" s="4" t="s">
        <v>480</v>
      </c>
      <c r="F408" s="101">
        <v>1</v>
      </c>
      <c r="G408" s="22">
        <v>1</v>
      </c>
      <c r="H408" s="83">
        <v>3</v>
      </c>
      <c r="I408" s="4">
        <v>3</v>
      </c>
      <c r="J408" s="24">
        <v>0</v>
      </c>
      <c r="K408" s="24">
        <v>0</v>
      </c>
      <c r="L408" s="24">
        <v>0</v>
      </c>
      <c r="M408" s="2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3</v>
      </c>
      <c r="AI408" s="4">
        <v>0</v>
      </c>
      <c r="AJ408" s="4">
        <v>0</v>
      </c>
      <c r="AK408" s="4">
        <v>1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</row>
    <row r="409" spans="1:43" ht="12.75">
      <c r="A409" s="22">
        <v>408</v>
      </c>
      <c r="B409" s="112">
        <v>46.09905</v>
      </c>
      <c r="C409" s="112">
        <v>-91.22944</v>
      </c>
      <c r="D409" s="4">
        <v>3</v>
      </c>
      <c r="E409" s="4" t="s">
        <v>481</v>
      </c>
      <c r="F409" s="101">
        <v>1</v>
      </c>
      <c r="G409" s="22">
        <v>1</v>
      </c>
      <c r="H409" s="83">
        <v>1</v>
      </c>
      <c r="I409" s="4">
        <v>3</v>
      </c>
      <c r="J409" s="24">
        <v>0</v>
      </c>
      <c r="K409" s="24">
        <v>0</v>
      </c>
      <c r="L409" s="24">
        <v>0</v>
      </c>
      <c r="M409" s="2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3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4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</row>
    <row r="410" spans="1:43" ht="12.75">
      <c r="A410" s="22">
        <v>409</v>
      </c>
      <c r="B410" s="112">
        <v>46.09936</v>
      </c>
      <c r="C410" s="112">
        <v>-91.23918</v>
      </c>
      <c r="D410" s="4">
        <v>5</v>
      </c>
      <c r="E410" s="4" t="s">
        <v>480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24">
        <v>1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</row>
    <row r="411" spans="1:43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2</v>
      </c>
      <c r="I411" s="4">
        <v>2</v>
      </c>
      <c r="J411" s="24">
        <v>0</v>
      </c>
      <c r="K411" s="24">
        <v>0</v>
      </c>
      <c r="L411" s="24">
        <v>0</v>
      </c>
      <c r="M411" s="2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2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</row>
    <row r="412" spans="1:43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2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</row>
    <row r="413" spans="1:43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2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</row>
    <row r="414" spans="1:43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2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</row>
    <row r="415" spans="1:43" ht="12.75">
      <c r="A415" s="22">
        <v>414</v>
      </c>
      <c r="B415" s="112">
        <v>46.0994</v>
      </c>
      <c r="C415" s="112">
        <v>-91.23614</v>
      </c>
      <c r="D415" s="4">
        <v>6</v>
      </c>
      <c r="E415" s="4" t="s">
        <v>480</v>
      </c>
      <c r="F415" s="101">
        <v>1</v>
      </c>
      <c r="G415" s="22">
        <v>1</v>
      </c>
      <c r="H415" s="83">
        <v>1</v>
      </c>
      <c r="I415" s="4">
        <v>1</v>
      </c>
      <c r="J415" s="24">
        <v>0</v>
      </c>
      <c r="K415" s="24">
        <v>0</v>
      </c>
      <c r="L415" s="24">
        <v>0</v>
      </c>
      <c r="M415" s="2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1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</row>
    <row r="416" spans="1:43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4</v>
      </c>
      <c r="I416" s="4">
        <v>1</v>
      </c>
      <c r="J416" s="24">
        <v>0</v>
      </c>
      <c r="K416" s="24">
        <v>0</v>
      </c>
      <c r="L416" s="24">
        <v>0</v>
      </c>
      <c r="M416" s="2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1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</v>
      </c>
      <c r="AC416" s="4">
        <v>0</v>
      </c>
      <c r="AD416" s="4">
        <v>0</v>
      </c>
      <c r="AE416" s="4">
        <v>1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</row>
    <row r="417" spans="1:43" ht="12.75">
      <c r="A417" s="22">
        <v>416</v>
      </c>
      <c r="B417" s="112">
        <v>46.09941</v>
      </c>
      <c r="C417" s="112">
        <v>-91.23492</v>
      </c>
      <c r="D417" s="4">
        <v>6</v>
      </c>
      <c r="E417" s="4" t="s">
        <v>480</v>
      </c>
      <c r="F417" s="101">
        <v>1</v>
      </c>
      <c r="G417" s="22">
        <v>1</v>
      </c>
      <c r="H417" s="83">
        <v>3</v>
      </c>
      <c r="I417" s="4">
        <v>3</v>
      </c>
      <c r="J417" s="24">
        <v>0</v>
      </c>
      <c r="K417" s="24">
        <v>0</v>
      </c>
      <c r="L417" s="24">
        <v>0</v>
      </c>
      <c r="M417" s="2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4</v>
      </c>
      <c r="AB417" s="4">
        <v>1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3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2</v>
      </c>
      <c r="AQ417" s="4">
        <v>0</v>
      </c>
    </row>
    <row r="418" spans="1:43" ht="12.75">
      <c r="A418" s="22">
        <v>417</v>
      </c>
      <c r="B418" s="112">
        <v>46.09942</v>
      </c>
      <c r="C418" s="112">
        <v>-91.23431</v>
      </c>
      <c r="D418" s="4">
        <v>16</v>
      </c>
      <c r="E418" s="4" t="s">
        <v>480</v>
      </c>
      <c r="F418" s="101">
        <v>1</v>
      </c>
      <c r="G418" s="22">
        <v>1</v>
      </c>
      <c r="H418" s="83">
        <v>2</v>
      </c>
      <c r="I418" s="4">
        <v>3</v>
      </c>
      <c r="J418" s="24">
        <v>0</v>
      </c>
      <c r="K418" s="24">
        <v>0</v>
      </c>
      <c r="L418" s="24">
        <v>0</v>
      </c>
      <c r="M418" s="24">
        <v>1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3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</row>
    <row r="419" spans="1:43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2</v>
      </c>
      <c r="I419" s="4">
        <v>3</v>
      </c>
      <c r="J419" s="24">
        <v>0</v>
      </c>
      <c r="K419" s="24">
        <v>0</v>
      </c>
      <c r="L419" s="24">
        <v>0</v>
      </c>
      <c r="M419" s="2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3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</row>
    <row r="420" spans="1:43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2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</row>
    <row r="421" spans="1:43" ht="12.75">
      <c r="A421" s="22">
        <v>420</v>
      </c>
      <c r="B421" s="112">
        <v>46.09944</v>
      </c>
      <c r="C421" s="112">
        <v>-91.23249</v>
      </c>
      <c r="D421" s="4">
        <v>7.5</v>
      </c>
      <c r="E421" s="4" t="s">
        <v>480</v>
      </c>
      <c r="F421" s="101">
        <v>1</v>
      </c>
      <c r="G421" s="22">
        <v>1</v>
      </c>
      <c r="H421" s="83">
        <v>5</v>
      </c>
      <c r="I421" s="4">
        <v>3</v>
      </c>
      <c r="J421" s="24">
        <v>1</v>
      </c>
      <c r="K421" s="24">
        <v>0</v>
      </c>
      <c r="L421" s="24">
        <v>0</v>
      </c>
      <c r="M421" s="2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1</v>
      </c>
      <c r="AB421" s="4">
        <v>0</v>
      </c>
      <c r="AC421" s="4">
        <v>0</v>
      </c>
      <c r="AD421" s="4">
        <v>0</v>
      </c>
      <c r="AE421" s="4">
        <v>3</v>
      </c>
      <c r="AF421" s="4">
        <v>0</v>
      </c>
      <c r="AG421" s="4">
        <v>0</v>
      </c>
      <c r="AH421" s="4">
        <v>2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1</v>
      </c>
      <c r="AQ421" s="4">
        <v>0</v>
      </c>
    </row>
    <row r="422" spans="1:43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6</v>
      </c>
      <c r="I422" s="4">
        <v>3</v>
      </c>
      <c r="J422" s="24">
        <v>0</v>
      </c>
      <c r="K422" s="24">
        <v>0</v>
      </c>
      <c r="L422" s="24">
        <v>0</v>
      </c>
      <c r="M422" s="24">
        <v>2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1</v>
      </c>
      <c r="X422" s="4">
        <v>0</v>
      </c>
      <c r="Y422" s="4">
        <v>0</v>
      </c>
      <c r="Z422" s="4">
        <v>0</v>
      </c>
      <c r="AA422" s="4">
        <v>1</v>
      </c>
      <c r="AB422" s="4">
        <v>1</v>
      </c>
      <c r="AC422" s="4">
        <v>0</v>
      </c>
      <c r="AD422" s="4">
        <v>0</v>
      </c>
      <c r="AE422" s="4">
        <v>4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2</v>
      </c>
      <c r="AL422" s="4">
        <v>0</v>
      </c>
      <c r="AM422" s="4">
        <v>0</v>
      </c>
      <c r="AN422" s="4">
        <v>0</v>
      </c>
      <c r="AO422" s="4">
        <v>0</v>
      </c>
      <c r="AP422" s="4">
        <v>1</v>
      </c>
      <c r="AQ422" s="4">
        <v>0</v>
      </c>
    </row>
    <row r="423" spans="1:43" ht="12.75">
      <c r="A423" s="22">
        <v>422</v>
      </c>
      <c r="B423" s="112">
        <v>46.09947</v>
      </c>
      <c r="C423" s="112">
        <v>-91.22945</v>
      </c>
      <c r="D423" s="4">
        <v>0.5</v>
      </c>
      <c r="E423" s="4" t="s">
        <v>480</v>
      </c>
      <c r="F423" s="101">
        <v>1</v>
      </c>
      <c r="G423" s="22">
        <v>1</v>
      </c>
      <c r="H423" s="83">
        <v>1</v>
      </c>
      <c r="I423" s="4">
        <v>3</v>
      </c>
      <c r="J423" s="24">
        <v>0</v>
      </c>
      <c r="K423" s="24">
        <v>4</v>
      </c>
      <c r="L423" s="24">
        <v>4</v>
      </c>
      <c r="M423" s="2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4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4</v>
      </c>
      <c r="AP423" s="4">
        <v>0</v>
      </c>
      <c r="AQ423" s="4">
        <v>3</v>
      </c>
    </row>
    <row r="424" spans="1:43" ht="12.75">
      <c r="A424" s="22">
        <v>423</v>
      </c>
      <c r="B424" s="112">
        <v>46.09981</v>
      </c>
      <c r="C424" s="112">
        <v>-91.23736</v>
      </c>
      <c r="D424" s="4">
        <v>3.5</v>
      </c>
      <c r="E424" s="4" t="s">
        <v>481</v>
      </c>
      <c r="F424" s="101">
        <v>1</v>
      </c>
      <c r="G424" s="22">
        <v>0</v>
      </c>
      <c r="H424" s="83">
        <v>0</v>
      </c>
      <c r="I424" s="4">
        <v>0</v>
      </c>
      <c r="J424" s="24">
        <v>0</v>
      </c>
      <c r="K424" s="24">
        <v>0</v>
      </c>
      <c r="L424" s="24">
        <v>0</v>
      </c>
      <c r="M424" s="2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</row>
    <row r="425" spans="1:43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1</v>
      </c>
      <c r="H425" s="83">
        <v>1</v>
      </c>
      <c r="I425" s="4">
        <v>1</v>
      </c>
      <c r="J425" s="24">
        <v>0</v>
      </c>
      <c r="K425" s="24">
        <v>0</v>
      </c>
      <c r="L425" s="24">
        <v>0</v>
      </c>
      <c r="M425" s="2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</row>
    <row r="426" spans="1:43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480</v>
      </c>
      <c r="F426" s="101">
        <v>1</v>
      </c>
      <c r="G426" s="22">
        <v>1</v>
      </c>
      <c r="H426" s="83">
        <v>2</v>
      </c>
      <c r="I426" s="4">
        <v>3</v>
      </c>
      <c r="J426" s="24">
        <v>0</v>
      </c>
      <c r="K426" s="24">
        <v>0</v>
      </c>
      <c r="L426" s="24">
        <v>0</v>
      </c>
      <c r="M426" s="2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1</v>
      </c>
      <c r="AF426" s="4">
        <v>0</v>
      </c>
      <c r="AG426" s="4">
        <v>0</v>
      </c>
      <c r="AH426" s="4">
        <v>3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</row>
    <row r="427" spans="1:43" ht="12.75">
      <c r="A427" s="22">
        <v>426</v>
      </c>
      <c r="B427" s="112">
        <v>46.09983</v>
      </c>
      <c r="C427" s="112">
        <v>-91.23554</v>
      </c>
      <c r="D427" s="4">
        <v>6</v>
      </c>
      <c r="E427" s="4" t="s">
        <v>480</v>
      </c>
      <c r="F427" s="101">
        <v>1</v>
      </c>
      <c r="G427" s="22">
        <v>1</v>
      </c>
      <c r="H427" s="83">
        <v>1</v>
      </c>
      <c r="I427" s="4">
        <v>1</v>
      </c>
      <c r="J427" s="24">
        <v>0</v>
      </c>
      <c r="K427" s="24">
        <v>0</v>
      </c>
      <c r="L427" s="24">
        <v>0</v>
      </c>
      <c r="M427" s="2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1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</row>
    <row r="428" spans="1:43" ht="12.75">
      <c r="A428" s="22">
        <v>427</v>
      </c>
      <c r="B428" s="112">
        <v>46.09983</v>
      </c>
      <c r="C428" s="112">
        <v>-91.23493</v>
      </c>
      <c r="D428" s="4">
        <v>5</v>
      </c>
      <c r="E428" s="4" t="s">
        <v>480</v>
      </c>
      <c r="F428" s="101">
        <v>1</v>
      </c>
      <c r="G428" s="22">
        <v>1</v>
      </c>
      <c r="H428" s="83">
        <v>1</v>
      </c>
      <c r="I428" s="4">
        <v>1</v>
      </c>
      <c r="J428" s="24">
        <v>0</v>
      </c>
      <c r="K428" s="24">
        <v>0</v>
      </c>
      <c r="L428" s="24">
        <v>0</v>
      </c>
      <c r="M428" s="2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1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</row>
    <row r="429" spans="1:43" ht="12.75">
      <c r="A429" s="22">
        <v>428</v>
      </c>
      <c r="B429" s="112">
        <v>46.09984</v>
      </c>
      <c r="C429" s="112">
        <v>-91.23432</v>
      </c>
      <c r="D429" s="4">
        <v>5.5</v>
      </c>
      <c r="E429" s="4" t="s">
        <v>480</v>
      </c>
      <c r="F429" s="101">
        <v>1</v>
      </c>
      <c r="G429" s="22">
        <v>1</v>
      </c>
      <c r="H429" s="83">
        <v>3</v>
      </c>
      <c r="I429" s="4">
        <v>2</v>
      </c>
      <c r="J429" s="24">
        <v>0</v>
      </c>
      <c r="K429" s="24">
        <v>0</v>
      </c>
      <c r="L429" s="24">
        <v>0</v>
      </c>
      <c r="M429" s="2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1</v>
      </c>
      <c r="W429" s="4">
        <v>0</v>
      </c>
      <c r="X429" s="4">
        <v>0</v>
      </c>
      <c r="Y429" s="4">
        <v>0</v>
      </c>
      <c r="Z429" s="4">
        <v>0</v>
      </c>
      <c r="AA429" s="4">
        <v>2</v>
      </c>
      <c r="AB429" s="4">
        <v>0</v>
      </c>
      <c r="AC429" s="4">
        <v>0</v>
      </c>
      <c r="AD429" s="4">
        <v>0</v>
      </c>
      <c r="AE429" s="4">
        <v>1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</row>
    <row r="430" spans="1:43" ht="12.75">
      <c r="A430" s="22">
        <v>429</v>
      </c>
      <c r="B430" s="112">
        <v>46.09985</v>
      </c>
      <c r="C430" s="112">
        <v>-91.23371</v>
      </c>
      <c r="D430" s="4">
        <v>7</v>
      </c>
      <c r="E430" s="4" t="s">
        <v>480</v>
      </c>
      <c r="F430" s="101">
        <v>1</v>
      </c>
      <c r="G430" s="22">
        <v>1</v>
      </c>
      <c r="H430" s="83">
        <v>5</v>
      </c>
      <c r="I430" s="4">
        <v>3</v>
      </c>
      <c r="J430" s="24">
        <v>0</v>
      </c>
      <c r="K430" s="24">
        <v>0</v>
      </c>
      <c r="L430" s="24">
        <v>0</v>
      </c>
      <c r="M430" s="2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2</v>
      </c>
      <c r="X430" s="4">
        <v>0</v>
      </c>
      <c r="Y430" s="4">
        <v>0</v>
      </c>
      <c r="Z430" s="4">
        <v>0</v>
      </c>
      <c r="AA430" s="4">
        <v>1</v>
      </c>
      <c r="AB430" s="4">
        <v>1</v>
      </c>
      <c r="AC430" s="4">
        <v>0</v>
      </c>
      <c r="AD430" s="4">
        <v>0</v>
      </c>
      <c r="AE430" s="4">
        <v>1</v>
      </c>
      <c r="AF430" s="4">
        <v>0</v>
      </c>
      <c r="AG430" s="4">
        <v>0</v>
      </c>
      <c r="AH430" s="4">
        <v>2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</row>
    <row r="431" spans="1:43" ht="12.75">
      <c r="A431" s="22">
        <v>430</v>
      </c>
      <c r="B431" s="112">
        <v>46.09985</v>
      </c>
      <c r="C431" s="112">
        <v>-91.23311</v>
      </c>
      <c r="D431" s="4">
        <v>7.5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2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</row>
    <row r="432" spans="1:43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3</v>
      </c>
      <c r="I432" s="4">
        <v>2</v>
      </c>
      <c r="J432" s="24">
        <v>0</v>
      </c>
      <c r="K432" s="24">
        <v>0</v>
      </c>
      <c r="L432" s="24">
        <v>0</v>
      </c>
      <c r="M432" s="2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1</v>
      </c>
      <c r="W432" s="4">
        <v>0</v>
      </c>
      <c r="X432" s="4">
        <v>0</v>
      </c>
      <c r="Y432" s="4">
        <v>0</v>
      </c>
      <c r="Z432" s="4">
        <v>0</v>
      </c>
      <c r="AA432" s="4">
        <v>1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2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</row>
    <row r="433" spans="1:43" ht="12.75">
      <c r="A433" s="22">
        <v>432</v>
      </c>
      <c r="B433" s="112">
        <v>46.09987</v>
      </c>
      <c r="C433" s="112">
        <v>-91.23189</v>
      </c>
      <c r="D433" s="4">
        <v>6.5</v>
      </c>
      <c r="E433" s="4" t="s">
        <v>480</v>
      </c>
      <c r="F433" s="101">
        <v>1</v>
      </c>
      <c r="G433" s="22">
        <v>1</v>
      </c>
      <c r="H433" s="83">
        <v>1</v>
      </c>
      <c r="I433" s="4">
        <v>1</v>
      </c>
      <c r="J433" s="24">
        <v>0</v>
      </c>
      <c r="K433" s="24">
        <v>0</v>
      </c>
      <c r="L433" s="24">
        <v>0</v>
      </c>
      <c r="M433" s="2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1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</row>
    <row r="434" spans="1:43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3</v>
      </c>
      <c r="J434" s="24">
        <v>0</v>
      </c>
      <c r="K434" s="24">
        <v>0</v>
      </c>
      <c r="L434" s="24">
        <v>0</v>
      </c>
      <c r="M434" s="2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3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</row>
    <row r="435" spans="1:43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4</v>
      </c>
      <c r="I435" s="4">
        <v>3</v>
      </c>
      <c r="J435" s="24">
        <v>0</v>
      </c>
      <c r="K435" s="24">
        <v>0</v>
      </c>
      <c r="L435" s="24">
        <v>0</v>
      </c>
      <c r="M435" s="2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4</v>
      </c>
      <c r="T435" s="4">
        <v>1</v>
      </c>
      <c r="U435" s="4">
        <v>1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1</v>
      </c>
      <c r="AK435" s="4">
        <v>0</v>
      </c>
      <c r="AL435" s="4">
        <v>0</v>
      </c>
      <c r="AM435" s="4">
        <v>0</v>
      </c>
      <c r="AN435" s="4">
        <v>3</v>
      </c>
      <c r="AO435" s="4">
        <v>0</v>
      </c>
      <c r="AP435" s="4">
        <v>0</v>
      </c>
      <c r="AQ435" s="4">
        <v>0</v>
      </c>
    </row>
    <row r="436" spans="1:43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480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2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</row>
    <row r="437" spans="1:43" ht="12.75">
      <c r="A437" s="22">
        <v>436</v>
      </c>
      <c r="B437" s="112">
        <v>46.10025</v>
      </c>
      <c r="C437" s="112">
        <v>-91.23555</v>
      </c>
      <c r="D437" s="4">
        <v>4.5</v>
      </c>
      <c r="E437" s="4" t="s">
        <v>481</v>
      </c>
      <c r="F437" s="101">
        <v>1</v>
      </c>
      <c r="G437" s="22">
        <v>1</v>
      </c>
      <c r="H437" s="83">
        <v>3</v>
      </c>
      <c r="I437" s="4">
        <v>2</v>
      </c>
      <c r="J437" s="24">
        <v>0</v>
      </c>
      <c r="K437" s="24">
        <v>0</v>
      </c>
      <c r="L437" s="24">
        <v>0</v>
      </c>
      <c r="M437" s="24">
        <v>1</v>
      </c>
      <c r="N437" s="4">
        <v>0</v>
      </c>
      <c r="O437" s="4">
        <v>0</v>
      </c>
      <c r="P437" s="4">
        <v>2</v>
      </c>
      <c r="Q437" s="4">
        <v>0</v>
      </c>
      <c r="R437" s="4">
        <v>0</v>
      </c>
      <c r="S437" s="4">
        <v>0</v>
      </c>
      <c r="T437" s="4">
        <v>0</v>
      </c>
      <c r="U437" s="4">
        <v>1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</row>
    <row r="438" spans="1:43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0</v>
      </c>
      <c r="H438" s="83">
        <v>0</v>
      </c>
      <c r="I438" s="4">
        <v>0</v>
      </c>
      <c r="J438" s="24">
        <v>0</v>
      </c>
      <c r="K438" s="24">
        <v>0</v>
      </c>
      <c r="L438" s="24">
        <v>0</v>
      </c>
      <c r="M438" s="2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4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</row>
    <row r="439" spans="1:43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2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1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4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</row>
    <row r="440" spans="1:43" ht="12.75">
      <c r="A440" s="22">
        <v>439</v>
      </c>
      <c r="B440" s="112">
        <v>46.10027</v>
      </c>
      <c r="C440" s="112">
        <v>-91.23372</v>
      </c>
      <c r="D440" s="4">
        <v>6</v>
      </c>
      <c r="E440" s="4" t="s">
        <v>480</v>
      </c>
      <c r="F440" s="101">
        <v>1</v>
      </c>
      <c r="G440" s="22">
        <v>1</v>
      </c>
      <c r="H440" s="83">
        <v>1</v>
      </c>
      <c r="I440" s="4">
        <v>2</v>
      </c>
      <c r="J440" s="24">
        <v>0</v>
      </c>
      <c r="K440" s="24">
        <v>0</v>
      </c>
      <c r="L440" s="24">
        <v>0</v>
      </c>
      <c r="M440" s="2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2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</row>
    <row r="441" spans="1:43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1</v>
      </c>
      <c r="H441" s="83">
        <v>1</v>
      </c>
      <c r="I441" s="4">
        <v>3</v>
      </c>
      <c r="J441" s="24">
        <v>0</v>
      </c>
      <c r="K441" s="24">
        <v>0</v>
      </c>
      <c r="L441" s="24">
        <v>0</v>
      </c>
      <c r="M441" s="2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3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</row>
    <row r="442" spans="1:43" ht="12.75">
      <c r="A442" s="22">
        <v>441</v>
      </c>
      <c r="B442" s="112">
        <v>46.10028</v>
      </c>
      <c r="C442" s="112">
        <v>-91.23251</v>
      </c>
      <c r="D442" s="4">
        <v>7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2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1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</row>
    <row r="443" spans="1:43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2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</row>
    <row r="444" spans="1:43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3</v>
      </c>
      <c r="I444" s="4">
        <v>2</v>
      </c>
      <c r="J444" s="24">
        <v>0</v>
      </c>
      <c r="K444" s="24">
        <v>0</v>
      </c>
      <c r="L444" s="24">
        <v>0</v>
      </c>
      <c r="M444" s="24">
        <v>2</v>
      </c>
      <c r="N444" s="4">
        <v>0</v>
      </c>
      <c r="O444" s="4">
        <v>0</v>
      </c>
      <c r="P444" s="4">
        <v>1</v>
      </c>
      <c r="Q444" s="4">
        <v>0</v>
      </c>
      <c r="R444" s="4">
        <v>0</v>
      </c>
      <c r="S444" s="4">
        <v>0</v>
      </c>
      <c r="T444" s="4">
        <v>0</v>
      </c>
      <c r="U444" s="4">
        <v>1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</row>
    <row r="445" spans="1:43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2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</row>
    <row r="446" spans="1:43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2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</row>
    <row r="447" spans="1:43" ht="12.75">
      <c r="A447" s="22">
        <v>446</v>
      </c>
      <c r="B447" s="112">
        <v>46.10069</v>
      </c>
      <c r="C447" s="112">
        <v>-91.23434</v>
      </c>
      <c r="D447" s="4">
        <v>5.5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2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</row>
    <row r="448" spans="1:43" ht="12.75">
      <c r="A448" s="22">
        <v>447</v>
      </c>
      <c r="B448" s="112">
        <v>46.10069</v>
      </c>
      <c r="C448" s="112">
        <v>-91.23373</v>
      </c>
      <c r="D448" s="4">
        <v>5</v>
      </c>
      <c r="E448" s="4" t="s">
        <v>480</v>
      </c>
      <c r="F448" s="101">
        <v>1</v>
      </c>
      <c r="G448" s="22">
        <v>1</v>
      </c>
      <c r="H448" s="83">
        <v>2</v>
      </c>
      <c r="I448" s="4">
        <v>2</v>
      </c>
      <c r="J448" s="24">
        <v>0</v>
      </c>
      <c r="K448" s="24">
        <v>0</v>
      </c>
      <c r="L448" s="24">
        <v>0</v>
      </c>
      <c r="M448" s="2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2</v>
      </c>
      <c r="W448" s="4">
        <v>0</v>
      </c>
      <c r="X448" s="4">
        <v>0</v>
      </c>
      <c r="Y448" s="4">
        <v>0</v>
      </c>
      <c r="Z448" s="4">
        <v>0</v>
      </c>
      <c r="AA448" s="4">
        <v>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</row>
    <row r="449" spans="1:43" ht="12.75">
      <c r="A449" s="22">
        <v>448</v>
      </c>
      <c r="B449" s="112">
        <v>46.1007</v>
      </c>
      <c r="C449" s="112">
        <v>-91.23312</v>
      </c>
      <c r="D449" s="4">
        <v>4</v>
      </c>
      <c r="E449" s="4" t="s">
        <v>482</v>
      </c>
      <c r="F449" s="101">
        <v>1</v>
      </c>
      <c r="G449" s="22">
        <v>1</v>
      </c>
      <c r="H449" s="83">
        <v>1</v>
      </c>
      <c r="I449" s="4">
        <v>1</v>
      </c>
      <c r="J449" s="24">
        <v>0</v>
      </c>
      <c r="K449" s="24">
        <v>0</v>
      </c>
      <c r="L449" s="24">
        <v>0</v>
      </c>
      <c r="M449" s="2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1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</row>
    <row r="450" spans="1:43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481</v>
      </c>
      <c r="F450" s="101">
        <v>1</v>
      </c>
      <c r="G450" s="22">
        <v>1</v>
      </c>
      <c r="H450" s="83">
        <v>2</v>
      </c>
      <c r="I450" s="4">
        <v>3</v>
      </c>
      <c r="J450" s="24">
        <v>0</v>
      </c>
      <c r="K450" s="24">
        <v>0</v>
      </c>
      <c r="L450" s="24">
        <v>0</v>
      </c>
      <c r="M450" s="2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3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</row>
    <row r="451" spans="1:43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1</v>
      </c>
      <c r="H451" s="83">
        <v>2</v>
      </c>
      <c r="I451" s="4">
        <v>2</v>
      </c>
      <c r="J451" s="24">
        <v>0</v>
      </c>
      <c r="K451" s="24">
        <v>1</v>
      </c>
      <c r="L451" s="24">
        <v>0</v>
      </c>
      <c r="M451" s="2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4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</row>
    <row r="452" spans="1:43" ht="12.75">
      <c r="A452" s="22">
        <v>451</v>
      </c>
      <c r="B452" s="112">
        <v>46.1011</v>
      </c>
      <c r="C452" s="112">
        <v>-91.23496</v>
      </c>
      <c r="D452" s="4">
        <v>2.5</v>
      </c>
      <c r="E452" s="4" t="s">
        <v>481</v>
      </c>
      <c r="F452" s="101">
        <v>1</v>
      </c>
      <c r="G452" s="22">
        <v>1</v>
      </c>
      <c r="H452" s="83">
        <v>6</v>
      </c>
      <c r="I452" s="4">
        <v>3</v>
      </c>
      <c r="J452" s="24">
        <v>0</v>
      </c>
      <c r="K452" s="24">
        <v>0</v>
      </c>
      <c r="L452" s="24">
        <v>0</v>
      </c>
      <c r="M452" s="2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1</v>
      </c>
      <c r="T452" s="4">
        <v>1</v>
      </c>
      <c r="U452" s="4">
        <v>0</v>
      </c>
      <c r="V452" s="4">
        <v>2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2</v>
      </c>
      <c r="AO452" s="4">
        <v>0</v>
      </c>
      <c r="AP452" s="4">
        <v>1</v>
      </c>
      <c r="AQ452" s="4">
        <v>0</v>
      </c>
    </row>
    <row r="453" spans="1:43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4</v>
      </c>
      <c r="I453" s="4">
        <v>3</v>
      </c>
      <c r="J453" s="24">
        <v>0</v>
      </c>
      <c r="K453" s="24">
        <v>0</v>
      </c>
      <c r="L453" s="24">
        <v>0</v>
      </c>
      <c r="M453" s="24">
        <v>2</v>
      </c>
      <c r="N453" s="4">
        <v>0</v>
      </c>
      <c r="O453" s="4">
        <v>0</v>
      </c>
      <c r="P453" s="4">
        <v>1</v>
      </c>
      <c r="Q453" s="4">
        <v>0</v>
      </c>
      <c r="R453" s="4">
        <v>0</v>
      </c>
      <c r="S453" s="4">
        <v>2</v>
      </c>
      <c r="T453" s="4">
        <v>0</v>
      </c>
      <c r="U453" s="4">
        <v>0</v>
      </c>
      <c r="V453" s="4">
        <v>1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4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</row>
    <row r="454" spans="1:43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2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</row>
    <row r="455" spans="1:43" ht="12.75">
      <c r="A455" s="22">
        <v>454</v>
      </c>
      <c r="B455" s="112">
        <v>46.10153</v>
      </c>
      <c r="C455" s="112">
        <v>-91.23436</v>
      </c>
      <c r="D455" s="4">
        <v>4</v>
      </c>
      <c r="E455" s="4" t="s">
        <v>480</v>
      </c>
      <c r="F455" s="101">
        <v>1</v>
      </c>
      <c r="G455" s="22">
        <v>1</v>
      </c>
      <c r="H455" s="83">
        <v>5</v>
      </c>
      <c r="I455" s="4">
        <v>3</v>
      </c>
      <c r="J455" s="24">
        <v>0</v>
      </c>
      <c r="K455" s="24">
        <v>1</v>
      </c>
      <c r="L455" s="24">
        <v>0</v>
      </c>
      <c r="M455" s="2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1</v>
      </c>
      <c r="W455" s="4">
        <v>0</v>
      </c>
      <c r="X455" s="4">
        <v>0</v>
      </c>
      <c r="Y455" s="4">
        <v>3</v>
      </c>
      <c r="Z455" s="4">
        <v>0</v>
      </c>
      <c r="AA455" s="4">
        <v>0</v>
      </c>
      <c r="AB455" s="4">
        <v>0</v>
      </c>
      <c r="AC455" s="4">
        <v>0</v>
      </c>
      <c r="AD455" s="4">
        <v>1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2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56:AS65536">
      <formula1>1</formula1>
      <formula2>1</formula2>
    </dataValidation>
    <dataValidation type="list" allowBlank="1" showInputMessage="1" showErrorMessage="1" sqref="I456:L65536 I1 K1">
      <formula1>"V,v,1,2,3"</formula1>
    </dataValidation>
    <dataValidation type="decimal" allowBlank="1" showInputMessage="1" showErrorMessage="1" error="Is your depth really more than 99 feet?" sqref="D2:D348 D350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list" allowBlank="1" showInputMessage="1" showErrorMessage="1" error="Please enter a rake fullness rating of 1, 2, 3 or V (visual).  If species not found, leave cell blank." sqref="AR2:AS455 J2:AQ348 J350:AQ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56"/>
  <sheetViews>
    <sheetView zoomScalePageLayoutView="0" workbookViewId="0" topLeftCell="A1">
      <pane xSplit="10" ySplit="1" topLeftCell="K44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455" sqref="A2:IV455"/>
    </sheetView>
  </sheetViews>
  <sheetFormatPr defaultColWidth="5.7109375" defaultRowHeight="12.75"/>
  <cols>
    <col min="1" max="1" width="11.57421875" style="4" bestFit="1" customWidth="1"/>
    <col min="2" max="2" width="4.421875" style="99" customWidth="1"/>
    <col min="3" max="4" width="7.8515625" style="99" customWidth="1"/>
    <col min="5" max="6" width="7.00390625" style="99" customWidth="1"/>
    <col min="7" max="8" width="4.421875" style="99" customWidth="1"/>
    <col min="9" max="9" width="15.7109375" style="103" customWidth="1"/>
    <col min="10" max="10" width="5.00390625" style="24" bestFit="1" customWidth="1"/>
    <col min="11" max="11" width="11.00390625" style="4" customWidth="1"/>
    <col min="12" max="12" width="13.28125" style="4" customWidth="1"/>
    <col min="13" max="15" width="5.7109375" style="4" customWidth="1"/>
    <col min="16" max="16" width="24.8515625" style="4" bestFit="1" customWidth="1"/>
    <col min="17" max="17" width="5.7109375" style="4" customWidth="1"/>
    <col min="18" max="19" width="6.7109375" style="4" customWidth="1"/>
    <col min="20" max="23" width="5.7109375" style="20" customWidth="1"/>
    <col min="24" max="155" width="5.7109375" style="4" customWidth="1"/>
    <col min="156" max="156" width="5.7109375" style="20" customWidth="1"/>
    <col min="157" max="16384" width="5.7109375" style="4" customWidth="1"/>
  </cols>
  <sheetData>
    <row r="1" spans="1:169" s="3" customFormat="1" ht="189.75" customHeight="1">
      <c r="A1" s="57" t="s">
        <v>15</v>
      </c>
      <c r="B1" s="80" t="s">
        <v>21</v>
      </c>
      <c r="C1" s="80" t="s">
        <v>30</v>
      </c>
      <c r="D1" s="80" t="s">
        <v>31</v>
      </c>
      <c r="E1" s="81" t="s">
        <v>29</v>
      </c>
      <c r="F1" s="81" t="s">
        <v>329</v>
      </c>
      <c r="G1" s="82" t="s">
        <v>18</v>
      </c>
      <c r="H1" s="100" t="s">
        <v>19</v>
      </c>
      <c r="I1" s="58"/>
      <c r="J1" s="102" t="s">
        <v>0</v>
      </c>
      <c r="K1" s="5" t="s">
        <v>43</v>
      </c>
      <c r="L1" s="3" t="s">
        <v>22</v>
      </c>
      <c r="M1" s="21" t="s">
        <v>42</v>
      </c>
      <c r="N1" s="3" t="s">
        <v>330</v>
      </c>
      <c r="O1" s="3" t="s">
        <v>17</v>
      </c>
      <c r="P1" s="7" t="s">
        <v>4</v>
      </c>
      <c r="Q1" s="7" t="s">
        <v>476</v>
      </c>
      <c r="R1" s="17" t="s">
        <v>331</v>
      </c>
      <c r="S1" s="17" t="s">
        <v>40</v>
      </c>
      <c r="T1" s="86" t="s">
        <v>332</v>
      </c>
      <c r="U1" s="86" t="s">
        <v>327</v>
      </c>
      <c r="V1" s="86" t="s">
        <v>473</v>
      </c>
      <c r="W1" s="86" t="s">
        <v>328</v>
      </c>
      <c r="X1" s="6" t="s">
        <v>333</v>
      </c>
      <c r="Y1" s="6" t="s">
        <v>334</v>
      </c>
      <c r="Z1" s="6" t="s">
        <v>335</v>
      </c>
      <c r="AA1" s="6" t="s">
        <v>336</v>
      </c>
      <c r="AB1" s="6" t="s">
        <v>337</v>
      </c>
      <c r="AC1" s="6" t="s">
        <v>338</v>
      </c>
      <c r="AD1" s="6" t="s">
        <v>339</v>
      </c>
      <c r="AE1" s="6" t="s">
        <v>340</v>
      </c>
      <c r="AF1" s="6" t="s">
        <v>341</v>
      </c>
      <c r="AG1" s="6" t="s">
        <v>475</v>
      </c>
      <c r="AH1" s="6" t="s">
        <v>342</v>
      </c>
      <c r="AI1" s="6" t="s">
        <v>343</v>
      </c>
      <c r="AJ1" s="6" t="s">
        <v>344</v>
      </c>
      <c r="AK1" s="6" t="s">
        <v>345</v>
      </c>
      <c r="AL1" s="6" t="s">
        <v>346</v>
      </c>
      <c r="AM1" s="6" t="s">
        <v>347</v>
      </c>
      <c r="AN1" s="6" t="s">
        <v>348</v>
      </c>
      <c r="AO1" s="6" t="s">
        <v>349</v>
      </c>
      <c r="AP1" s="6" t="s">
        <v>350</v>
      </c>
      <c r="AQ1" s="6" t="s">
        <v>351</v>
      </c>
      <c r="AR1" s="6" t="s">
        <v>352</v>
      </c>
      <c r="AS1" s="6" t="s">
        <v>353</v>
      </c>
      <c r="AT1" s="6" t="s">
        <v>354</v>
      </c>
      <c r="AU1" s="6" t="s">
        <v>355</v>
      </c>
      <c r="AV1" s="6" t="s">
        <v>356</v>
      </c>
      <c r="AW1" s="6" t="s">
        <v>357</v>
      </c>
      <c r="AX1" s="6" t="s">
        <v>358</v>
      </c>
      <c r="AY1" s="6" t="s">
        <v>359</v>
      </c>
      <c r="AZ1" s="6" t="s">
        <v>360</v>
      </c>
      <c r="BA1" s="6" t="s">
        <v>361</v>
      </c>
      <c r="BB1" s="6" t="s">
        <v>362</v>
      </c>
      <c r="BC1" s="6" t="s">
        <v>363</v>
      </c>
      <c r="BD1" s="6" t="s">
        <v>364</v>
      </c>
      <c r="BE1" s="6" t="s">
        <v>365</v>
      </c>
      <c r="BF1" s="6" t="s">
        <v>366</v>
      </c>
      <c r="BG1" s="6" t="s">
        <v>367</v>
      </c>
      <c r="BH1" s="6" t="s">
        <v>368</v>
      </c>
      <c r="BI1" s="6" t="s">
        <v>369</v>
      </c>
      <c r="BJ1" s="6" t="s">
        <v>370</v>
      </c>
      <c r="BK1" s="6" t="s">
        <v>371</v>
      </c>
      <c r="BL1" s="6" t="s">
        <v>372</v>
      </c>
      <c r="BM1" s="6" t="s">
        <v>373</v>
      </c>
      <c r="BN1" s="6" t="s">
        <v>374</v>
      </c>
      <c r="BO1" s="6" t="s">
        <v>375</v>
      </c>
      <c r="BP1" s="6" t="s">
        <v>376</v>
      </c>
      <c r="BQ1" s="6" t="s">
        <v>377</v>
      </c>
      <c r="BR1" s="6" t="s">
        <v>378</v>
      </c>
      <c r="BS1" s="6" t="s">
        <v>379</v>
      </c>
      <c r="BT1" s="6" t="s">
        <v>380</v>
      </c>
      <c r="BU1" s="6" t="s">
        <v>381</v>
      </c>
      <c r="BV1" s="6" t="s">
        <v>382</v>
      </c>
      <c r="BW1" s="6" t="s">
        <v>383</v>
      </c>
      <c r="BX1" s="6" t="s">
        <v>384</v>
      </c>
      <c r="BY1" s="6" t="s">
        <v>385</v>
      </c>
      <c r="BZ1" s="6" t="s">
        <v>386</v>
      </c>
      <c r="CA1" s="6" t="s">
        <v>387</v>
      </c>
      <c r="CB1" s="6" t="s">
        <v>388</v>
      </c>
      <c r="CC1" s="6" t="s">
        <v>389</v>
      </c>
      <c r="CD1" s="6" t="s">
        <v>390</v>
      </c>
      <c r="CE1" s="6" t="s">
        <v>391</v>
      </c>
      <c r="CF1" s="6" t="s">
        <v>392</v>
      </c>
      <c r="CG1" s="6" t="s">
        <v>393</v>
      </c>
      <c r="CH1" s="6" t="s">
        <v>394</v>
      </c>
      <c r="CI1" s="6" t="s">
        <v>395</v>
      </c>
      <c r="CJ1" s="6" t="s">
        <v>396</v>
      </c>
      <c r="CK1" s="6" t="s">
        <v>397</v>
      </c>
      <c r="CL1" s="6" t="s">
        <v>398</v>
      </c>
      <c r="CM1" s="6" t="s">
        <v>399</v>
      </c>
      <c r="CN1" s="6" t="s">
        <v>400</v>
      </c>
      <c r="CO1" s="6" t="s">
        <v>401</v>
      </c>
      <c r="CP1" s="6" t="s">
        <v>402</v>
      </c>
      <c r="CQ1" s="6" t="s">
        <v>403</v>
      </c>
      <c r="CR1" s="6" t="s">
        <v>404</v>
      </c>
      <c r="CS1" s="6" t="s">
        <v>405</v>
      </c>
      <c r="CT1" s="6" t="s">
        <v>406</v>
      </c>
      <c r="CU1" s="6" t="s">
        <v>407</v>
      </c>
      <c r="CV1" s="6" t="s">
        <v>408</v>
      </c>
      <c r="CW1" s="6" t="s">
        <v>409</v>
      </c>
      <c r="CX1" s="6" t="s">
        <v>410</v>
      </c>
      <c r="CY1" s="6" t="s">
        <v>411</v>
      </c>
      <c r="CZ1" s="6" t="s">
        <v>412</v>
      </c>
      <c r="DA1" s="6" t="s">
        <v>413</v>
      </c>
      <c r="DB1" s="6" t="s">
        <v>414</v>
      </c>
      <c r="DC1" s="6" t="s">
        <v>415</v>
      </c>
      <c r="DD1" s="6" t="s">
        <v>416</v>
      </c>
      <c r="DE1" s="6" t="s">
        <v>417</v>
      </c>
      <c r="DF1" s="6" t="s">
        <v>418</v>
      </c>
      <c r="DG1" s="6" t="s">
        <v>419</v>
      </c>
      <c r="DH1" s="6" t="s">
        <v>420</v>
      </c>
      <c r="DI1" s="6" t="s">
        <v>421</v>
      </c>
      <c r="DJ1" s="6" t="s">
        <v>422</v>
      </c>
      <c r="DK1" s="6" t="s">
        <v>423</v>
      </c>
      <c r="DL1" s="6" t="s">
        <v>424</v>
      </c>
      <c r="DM1" s="6" t="s">
        <v>425</v>
      </c>
      <c r="DN1" s="6" t="s">
        <v>426</v>
      </c>
      <c r="DO1" s="6" t="s">
        <v>427</v>
      </c>
      <c r="DP1" s="6" t="s">
        <v>428</v>
      </c>
      <c r="DQ1" s="6" t="s">
        <v>429</v>
      </c>
      <c r="DR1" s="6" t="s">
        <v>430</v>
      </c>
      <c r="DS1" s="6" t="s">
        <v>431</v>
      </c>
      <c r="DT1" s="6" t="s">
        <v>432</v>
      </c>
      <c r="DU1" s="6" t="s">
        <v>433</v>
      </c>
      <c r="DV1" s="6" t="s">
        <v>434</v>
      </c>
      <c r="DW1" s="6" t="s">
        <v>435</v>
      </c>
      <c r="DX1" s="6" t="s">
        <v>436</v>
      </c>
      <c r="DY1" s="6" t="s">
        <v>437</v>
      </c>
      <c r="DZ1" s="6" t="s">
        <v>438</v>
      </c>
      <c r="EA1" s="6" t="s">
        <v>439</v>
      </c>
      <c r="EB1" s="6" t="s">
        <v>440</v>
      </c>
      <c r="EC1" s="6" t="s">
        <v>441</v>
      </c>
      <c r="ED1" s="6" t="s">
        <v>442</v>
      </c>
      <c r="EE1" s="6" t="s">
        <v>443</v>
      </c>
      <c r="EF1" s="6" t="s">
        <v>444</v>
      </c>
      <c r="EG1" s="6" t="s">
        <v>445</v>
      </c>
      <c r="EH1" s="6" t="s">
        <v>446</v>
      </c>
      <c r="EI1" s="6" t="s">
        <v>447</v>
      </c>
      <c r="EJ1" s="6" t="s">
        <v>448</v>
      </c>
      <c r="EK1" s="6" t="s">
        <v>449</v>
      </c>
      <c r="EL1" s="6" t="s">
        <v>450</v>
      </c>
      <c r="EM1" s="6" t="s">
        <v>451</v>
      </c>
      <c r="EN1" s="6" t="s">
        <v>452</v>
      </c>
      <c r="EO1" s="6" t="s">
        <v>453</v>
      </c>
      <c r="EP1" s="6" t="s">
        <v>454</v>
      </c>
      <c r="EQ1" s="6" t="s">
        <v>455</v>
      </c>
      <c r="ER1" s="6" t="s">
        <v>456</v>
      </c>
      <c r="ES1" s="6" t="s">
        <v>457</v>
      </c>
      <c r="ET1" s="6" t="s">
        <v>458</v>
      </c>
      <c r="EU1" s="6" t="s">
        <v>459</v>
      </c>
      <c r="EV1" s="6" t="s">
        <v>460</v>
      </c>
      <c r="EW1" s="6" t="s">
        <v>461</v>
      </c>
      <c r="EX1" s="6" t="s">
        <v>462</v>
      </c>
      <c r="EY1" s="6" t="s">
        <v>463</v>
      </c>
      <c r="EZ1" s="95" t="s">
        <v>319</v>
      </c>
      <c r="FA1" s="96" t="s">
        <v>320</v>
      </c>
      <c r="FB1" s="96" t="s">
        <v>318</v>
      </c>
      <c r="FC1" s="97" t="s">
        <v>464</v>
      </c>
      <c r="FD1" s="97" t="s">
        <v>465</v>
      </c>
      <c r="FE1" s="114" t="s">
        <v>484</v>
      </c>
      <c r="FF1" s="3" t="s">
        <v>50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0" ht="12.75">
      <c r="A2" s="59" t="s">
        <v>45</v>
      </c>
      <c r="B2" s="83">
        <f aca="true" t="shared" si="0" ref="B2:B65">COUNT(R2:EY2,FE2:FM2)</f>
        <v>2</v>
      </c>
      <c r="C2" s="83">
        <f aca="true" t="shared" si="1" ref="C2:C65">IF(COUNT(R2:EY2,FE2:FM2)&gt;0,COUNT(R2:EY2,FE2:FM2),"")</f>
        <v>2</v>
      </c>
      <c r="D2" s="83">
        <f aca="true" t="shared" si="2" ref="D2:D65">IF(COUNT(T2:BJ2,BL2:BT2,BV2:CB2,CD2:EY2,FE2:FM2)&gt;0,COUNT(T2:BJ2,BL2:BT2,BV2:CB2,CD2:EY2,FE2:FM2),"")</f>
        <v>2</v>
      </c>
      <c r="E2" s="83">
        <f aca="true" t="shared" si="3" ref="E2:E65">IF(H2=1,COUNT(R2:EY2,FE2:FM2),"")</f>
        <v>2</v>
      </c>
      <c r="F2" s="83">
        <f aca="true" t="shared" si="4" ref="F2:F65">IF(H2=1,COUNT(T2:BJ2,BL2:BT2,BV2:CB2,CD2:EY2,FE2:FM2),"")</f>
        <v>2</v>
      </c>
      <c r="G2" s="83">
        <f aca="true" t="shared" si="5" ref="G2:G65">IF($B2&gt;=1,$M2,"")</f>
        <v>2</v>
      </c>
      <c r="H2" s="101">
        <f>IF(AND(M2&gt;0,M2&lt;=STATS!$C$22),1,"")</f>
        <v>1</v>
      </c>
      <c r="I2" s="111" t="s">
        <v>477</v>
      </c>
      <c r="J2" s="22">
        <v>1</v>
      </c>
      <c r="K2" s="112">
        <v>46.0896</v>
      </c>
      <c r="L2" s="112">
        <v>-91.242</v>
      </c>
      <c r="M2" s="4">
        <v>2</v>
      </c>
      <c r="N2" s="4" t="s">
        <v>480</v>
      </c>
      <c r="O2" s="4" t="s">
        <v>562</v>
      </c>
      <c r="Q2" s="4">
        <v>2</v>
      </c>
      <c r="R2" s="8"/>
      <c r="S2" s="8"/>
      <c r="T2" s="24"/>
      <c r="U2" s="24"/>
      <c r="V2" s="24"/>
      <c r="W2" s="24"/>
      <c r="X2" s="24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BR2" s="4" t="s">
        <v>483</v>
      </c>
      <c r="CB2" s="4">
        <v>1</v>
      </c>
      <c r="EZ2" s="98"/>
      <c r="FA2" s="98"/>
      <c r="FB2" s="98"/>
      <c r="FC2" s="98"/>
      <c r="FD2" s="98"/>
    </row>
    <row r="3" spans="1:160" ht="12.75">
      <c r="A3" s="59" t="s">
        <v>25</v>
      </c>
      <c r="B3" s="83">
        <f t="shared" si="0"/>
        <v>2</v>
      </c>
      <c r="C3" s="83">
        <f t="shared" si="1"/>
        <v>2</v>
      </c>
      <c r="D3" s="83">
        <f t="shared" si="2"/>
        <v>2</v>
      </c>
      <c r="E3" s="83">
        <f t="shared" si="3"/>
        <v>2</v>
      </c>
      <c r="F3" s="83">
        <f t="shared" si="4"/>
        <v>2</v>
      </c>
      <c r="G3" s="83">
        <f t="shared" si="5"/>
        <v>2</v>
      </c>
      <c r="H3" s="101">
        <f>IF(AND(M3&gt;0,M3&lt;=STATS!$C$22),1,"")</f>
        <v>1</v>
      </c>
      <c r="I3" s="111" t="s">
        <v>478</v>
      </c>
      <c r="J3" s="22">
        <v>2</v>
      </c>
      <c r="K3" s="112">
        <v>46.08961</v>
      </c>
      <c r="L3" s="112">
        <v>-91.24139</v>
      </c>
      <c r="M3" s="4">
        <v>2</v>
      </c>
      <c r="N3" s="4" t="s">
        <v>480</v>
      </c>
      <c r="O3" s="4" t="s">
        <v>562</v>
      </c>
      <c r="Q3" s="4">
        <v>1</v>
      </c>
      <c r="R3" s="8"/>
      <c r="S3" s="8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CB3" s="4">
        <v>1</v>
      </c>
      <c r="CS3" s="4">
        <v>1</v>
      </c>
      <c r="DT3" s="4" t="s">
        <v>483</v>
      </c>
      <c r="EZ3" s="98"/>
      <c r="FA3" s="98"/>
      <c r="FB3" s="98"/>
      <c r="FC3" s="98"/>
      <c r="FD3" s="98"/>
    </row>
    <row r="4" spans="1:160" ht="12.75">
      <c r="A4" s="59" t="s">
        <v>26</v>
      </c>
      <c r="B4" s="83">
        <f t="shared" si="0"/>
        <v>3</v>
      </c>
      <c r="C4" s="83">
        <f t="shared" si="1"/>
        <v>3</v>
      </c>
      <c r="D4" s="83">
        <f t="shared" si="2"/>
        <v>3</v>
      </c>
      <c r="E4" s="83">
        <f t="shared" si="3"/>
        <v>3</v>
      </c>
      <c r="F4" s="83">
        <f t="shared" si="4"/>
        <v>3</v>
      </c>
      <c r="G4" s="83">
        <f t="shared" si="5"/>
        <v>2</v>
      </c>
      <c r="H4" s="101">
        <f>IF(AND(M4&gt;0,M4&lt;=STATS!$C$22),1,"")</f>
        <v>1</v>
      </c>
      <c r="I4" s="111">
        <v>2435800</v>
      </c>
      <c r="J4" s="22">
        <v>3</v>
      </c>
      <c r="K4" s="112">
        <v>46.08962</v>
      </c>
      <c r="L4" s="112">
        <v>-91.24078</v>
      </c>
      <c r="M4" s="4">
        <v>2</v>
      </c>
      <c r="N4" s="4" t="s">
        <v>480</v>
      </c>
      <c r="O4" s="4" t="s">
        <v>562</v>
      </c>
      <c r="Q4" s="4">
        <v>3</v>
      </c>
      <c r="R4" s="8"/>
      <c r="S4" s="8"/>
      <c r="T4" s="24"/>
      <c r="U4" s="24"/>
      <c r="V4" s="24"/>
      <c r="W4" s="24"/>
      <c r="X4" s="24">
        <v>3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CB4" s="4">
        <v>1</v>
      </c>
      <c r="DT4" s="4">
        <v>2</v>
      </c>
      <c r="EZ4" s="98"/>
      <c r="FA4" s="98"/>
      <c r="FB4" s="98"/>
      <c r="FC4" s="98"/>
      <c r="FD4" s="98"/>
    </row>
    <row r="5" spans="1:160" ht="12.75">
      <c r="A5" s="75" t="s">
        <v>46</v>
      </c>
      <c r="B5" s="83">
        <f t="shared" si="0"/>
        <v>2</v>
      </c>
      <c r="C5" s="83">
        <f t="shared" si="1"/>
        <v>2</v>
      </c>
      <c r="D5" s="83">
        <f t="shared" si="2"/>
        <v>2</v>
      </c>
      <c r="E5" s="83">
        <f t="shared" si="3"/>
        <v>2</v>
      </c>
      <c r="F5" s="83">
        <f t="shared" si="4"/>
        <v>2</v>
      </c>
      <c r="G5" s="83">
        <f t="shared" si="5"/>
        <v>2.5</v>
      </c>
      <c r="H5" s="101">
        <f>IF(AND(M5&gt;0,M5&lt;=STATS!$C$22),1,"")</f>
        <v>1</v>
      </c>
      <c r="I5" s="109" t="s">
        <v>552</v>
      </c>
      <c r="J5" s="22">
        <v>4</v>
      </c>
      <c r="K5" s="112">
        <v>46.08962</v>
      </c>
      <c r="L5" s="112">
        <v>-91.24017</v>
      </c>
      <c r="M5" s="4">
        <v>2.5</v>
      </c>
      <c r="N5" s="4" t="s">
        <v>480</v>
      </c>
      <c r="O5" s="4" t="s">
        <v>562</v>
      </c>
      <c r="Q5" s="4">
        <v>2</v>
      </c>
      <c r="R5" s="8"/>
      <c r="S5" s="8"/>
      <c r="T5" s="24"/>
      <c r="U5" s="24"/>
      <c r="V5" s="24"/>
      <c r="W5" s="24"/>
      <c r="X5" s="24">
        <v>1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DT5" s="4">
        <v>2</v>
      </c>
      <c r="EZ5" s="98"/>
      <c r="FA5" s="98"/>
      <c r="FB5" s="98"/>
      <c r="FC5" s="98"/>
      <c r="FD5" s="98"/>
    </row>
    <row r="6" spans="1:160" ht="12.75">
      <c r="A6" s="59" t="s">
        <v>47</v>
      </c>
      <c r="B6" s="83">
        <f t="shared" si="0"/>
        <v>3</v>
      </c>
      <c r="C6" s="83">
        <f t="shared" si="1"/>
        <v>3</v>
      </c>
      <c r="D6" s="83">
        <f t="shared" si="2"/>
        <v>3</v>
      </c>
      <c r="E6" s="83">
        <f t="shared" si="3"/>
        <v>3</v>
      </c>
      <c r="F6" s="83">
        <f t="shared" si="4"/>
        <v>3</v>
      </c>
      <c r="G6" s="83">
        <f t="shared" si="5"/>
        <v>2.5</v>
      </c>
      <c r="H6" s="101">
        <f>IF(AND(M6&gt;0,M6&lt;=STATS!$C$22),1,"")</f>
        <v>1</v>
      </c>
      <c r="I6" s="108" t="s">
        <v>326</v>
      </c>
      <c r="J6" s="22">
        <v>5</v>
      </c>
      <c r="K6" s="112">
        <v>46.08963</v>
      </c>
      <c r="L6" s="112">
        <v>-91.23956</v>
      </c>
      <c r="M6" s="4">
        <v>2.5</v>
      </c>
      <c r="N6" s="4" t="s">
        <v>480</v>
      </c>
      <c r="O6" s="4" t="s">
        <v>562</v>
      </c>
      <c r="Q6" s="4">
        <v>1</v>
      </c>
      <c r="R6" s="8"/>
      <c r="S6" s="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>
        <v>1</v>
      </c>
      <c r="AH6" s="24"/>
      <c r="BR6" s="4">
        <v>1</v>
      </c>
      <c r="DK6" s="4">
        <v>1</v>
      </c>
      <c r="EZ6" s="98"/>
      <c r="FA6" s="98"/>
      <c r="FB6" s="98"/>
      <c r="FC6" s="98"/>
      <c r="FD6" s="98"/>
    </row>
    <row r="7" spans="1:160" ht="12.75">
      <c r="A7" s="59"/>
      <c r="B7" s="83">
        <f t="shared" si="0"/>
        <v>4</v>
      </c>
      <c r="C7" s="83">
        <f t="shared" si="1"/>
        <v>4</v>
      </c>
      <c r="D7" s="83">
        <f t="shared" si="2"/>
        <v>4</v>
      </c>
      <c r="E7" s="83">
        <f t="shared" si="3"/>
        <v>4</v>
      </c>
      <c r="F7" s="83">
        <f t="shared" si="4"/>
        <v>4</v>
      </c>
      <c r="G7" s="83">
        <f t="shared" si="5"/>
        <v>2</v>
      </c>
      <c r="H7" s="101">
        <f>IF(AND(M7&gt;0,M7&lt;=STATS!$C$22),1,"")</f>
        <v>1</v>
      </c>
      <c r="I7" s="108" t="s">
        <v>471</v>
      </c>
      <c r="J7" s="22">
        <v>6</v>
      </c>
      <c r="K7" s="112">
        <v>46.09002</v>
      </c>
      <c r="L7" s="112">
        <v>-91.24261</v>
      </c>
      <c r="M7" s="4">
        <v>2</v>
      </c>
      <c r="N7" s="4" t="s">
        <v>481</v>
      </c>
      <c r="O7" s="4" t="s">
        <v>562</v>
      </c>
      <c r="Q7" s="4">
        <v>3</v>
      </c>
      <c r="R7" s="8"/>
      <c r="S7" s="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T7" s="4">
        <v>2</v>
      </c>
      <c r="BP7" s="4">
        <v>3</v>
      </c>
      <c r="CP7" s="4">
        <v>1</v>
      </c>
      <c r="DX7" s="4">
        <v>1</v>
      </c>
      <c r="EZ7" s="98"/>
      <c r="FA7" s="98"/>
      <c r="FB7" s="98"/>
      <c r="FC7" s="98"/>
      <c r="FD7" s="98"/>
    </row>
    <row r="8" spans="1:160" ht="12.75">
      <c r="A8" s="59"/>
      <c r="B8" s="83">
        <f t="shared" si="0"/>
        <v>1</v>
      </c>
      <c r="C8" s="83">
        <f t="shared" si="1"/>
        <v>1</v>
      </c>
      <c r="D8" s="83">
        <f t="shared" si="2"/>
        <v>1</v>
      </c>
      <c r="E8" s="83">
        <f t="shared" si="3"/>
        <v>1</v>
      </c>
      <c r="F8" s="83">
        <f t="shared" si="4"/>
        <v>1</v>
      </c>
      <c r="G8" s="83">
        <f t="shared" si="5"/>
        <v>3</v>
      </c>
      <c r="H8" s="101">
        <f>IF(AND(M8&gt;0,M8&lt;=STATS!$C$22),1,"")</f>
        <v>1</v>
      </c>
      <c r="I8" s="108" t="s">
        <v>472</v>
      </c>
      <c r="J8" s="22">
        <v>7</v>
      </c>
      <c r="K8" s="112">
        <v>46.09003</v>
      </c>
      <c r="L8" s="112">
        <v>-91.24201</v>
      </c>
      <c r="M8" s="4">
        <v>3</v>
      </c>
      <c r="N8" s="4" t="s">
        <v>480</v>
      </c>
      <c r="O8" s="4" t="s">
        <v>562</v>
      </c>
      <c r="Q8" s="4">
        <v>1</v>
      </c>
      <c r="R8" s="8"/>
      <c r="S8" s="8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CB8" s="4">
        <v>1</v>
      </c>
      <c r="EZ8" s="98"/>
      <c r="FA8" s="98"/>
      <c r="FB8" s="98"/>
      <c r="FC8" s="98"/>
      <c r="FD8" s="98"/>
    </row>
    <row r="9" spans="1:160" ht="12.75">
      <c r="A9" s="76"/>
      <c r="B9" s="83">
        <f t="shared" si="0"/>
        <v>1</v>
      </c>
      <c r="C9" s="83">
        <f t="shared" si="1"/>
        <v>1</v>
      </c>
      <c r="D9" s="83">
        <f t="shared" si="2"/>
        <v>1</v>
      </c>
      <c r="E9" s="83">
        <f t="shared" si="3"/>
        <v>1</v>
      </c>
      <c r="F9" s="83">
        <f t="shared" si="4"/>
        <v>1</v>
      </c>
      <c r="G9" s="83">
        <f t="shared" si="5"/>
        <v>3.5</v>
      </c>
      <c r="H9" s="101">
        <f>IF(AND(M9&gt;0,M9&lt;=STATS!$C$22),1,"")</f>
        <v>1</v>
      </c>
      <c r="J9" s="22">
        <v>8</v>
      </c>
      <c r="K9" s="112">
        <v>46.09003</v>
      </c>
      <c r="L9" s="112">
        <v>-91.2414</v>
      </c>
      <c r="M9" s="4">
        <v>3.5</v>
      </c>
      <c r="N9" s="4" t="s">
        <v>480</v>
      </c>
      <c r="O9" s="4" t="s">
        <v>562</v>
      </c>
      <c r="Q9" s="4">
        <v>1</v>
      </c>
      <c r="R9" s="8"/>
      <c r="S9" s="8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BR9" s="4">
        <v>1</v>
      </c>
      <c r="EZ9" s="98"/>
      <c r="FA9" s="98"/>
      <c r="FB9" s="98"/>
      <c r="FC9" s="98"/>
      <c r="FD9" s="98"/>
    </row>
    <row r="10" spans="1:160" ht="12.75">
      <c r="A10" s="59"/>
      <c r="B10" s="83">
        <f t="shared" si="0"/>
        <v>1</v>
      </c>
      <c r="C10" s="83">
        <f t="shared" si="1"/>
        <v>1</v>
      </c>
      <c r="D10" s="83">
        <f t="shared" si="2"/>
        <v>1</v>
      </c>
      <c r="E10" s="83">
        <f t="shared" si="3"/>
        <v>1</v>
      </c>
      <c r="F10" s="83">
        <f t="shared" si="4"/>
        <v>1</v>
      </c>
      <c r="G10" s="83">
        <f t="shared" si="5"/>
        <v>3</v>
      </c>
      <c r="H10" s="101">
        <f>IF(AND(M10&gt;0,M10&lt;=STATS!$C$22),1,"")</f>
        <v>1</v>
      </c>
      <c r="J10" s="22">
        <v>9</v>
      </c>
      <c r="K10" s="112">
        <v>46.09004</v>
      </c>
      <c r="L10" s="112">
        <v>-91.24079</v>
      </c>
      <c r="M10" s="4">
        <v>3</v>
      </c>
      <c r="N10" s="4" t="s">
        <v>480</v>
      </c>
      <c r="O10" s="4" t="s">
        <v>562</v>
      </c>
      <c r="Q10" s="4">
        <v>1</v>
      </c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BR10" s="4" t="s">
        <v>483</v>
      </c>
      <c r="CB10" s="4">
        <v>1</v>
      </c>
      <c r="DK10" s="4" t="s">
        <v>483</v>
      </c>
      <c r="EZ10" s="98"/>
      <c r="FA10" s="98"/>
      <c r="FB10" s="98"/>
      <c r="FC10" s="98"/>
      <c r="FD10" s="98"/>
    </row>
    <row r="11" spans="1:160" ht="12.75">
      <c r="A11" s="59"/>
      <c r="B11" s="83">
        <f t="shared" si="0"/>
        <v>0</v>
      </c>
      <c r="C11" s="83">
        <f t="shared" si="1"/>
      </c>
      <c r="D11" s="83">
        <f t="shared" si="2"/>
      </c>
      <c r="E11" s="83">
        <f t="shared" si="3"/>
        <v>0</v>
      </c>
      <c r="F11" s="83">
        <f t="shared" si="4"/>
        <v>0</v>
      </c>
      <c r="G11" s="83">
        <f t="shared" si="5"/>
      </c>
      <c r="H11" s="101">
        <f>IF(AND(M11&gt;0,M11&lt;=STATS!$C$22),1,"")</f>
        <v>1</v>
      </c>
      <c r="J11" s="22">
        <v>10</v>
      </c>
      <c r="K11" s="112">
        <v>46.09005</v>
      </c>
      <c r="L11" s="112">
        <v>-91.24018</v>
      </c>
      <c r="M11" s="4">
        <v>3.5</v>
      </c>
      <c r="N11" s="4" t="s">
        <v>480</v>
      </c>
      <c r="O11" s="4" t="s">
        <v>562</v>
      </c>
      <c r="R11" s="8"/>
      <c r="S11" s="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CB11" s="4" t="s">
        <v>483</v>
      </c>
      <c r="EZ11" s="98"/>
      <c r="FA11" s="98"/>
      <c r="FB11" s="98"/>
      <c r="FC11" s="98"/>
      <c r="FD11" s="98"/>
    </row>
    <row r="12" spans="1:160" ht="12.75">
      <c r="A12" s="59"/>
      <c r="B12" s="83">
        <f t="shared" si="0"/>
        <v>0</v>
      </c>
      <c r="C12" s="83">
        <f t="shared" si="1"/>
      </c>
      <c r="D12" s="83">
        <f t="shared" si="2"/>
      </c>
      <c r="E12" s="83">
        <f t="shared" si="3"/>
        <v>0</v>
      </c>
      <c r="F12" s="83">
        <f t="shared" si="4"/>
        <v>0</v>
      </c>
      <c r="G12" s="83">
        <f t="shared" si="5"/>
      </c>
      <c r="H12" s="101">
        <f>IF(AND(M12&gt;0,M12&lt;=STATS!$C$22),1,"")</f>
        <v>1</v>
      </c>
      <c r="J12" s="22">
        <v>11</v>
      </c>
      <c r="K12" s="112">
        <v>46.09005</v>
      </c>
      <c r="L12" s="112">
        <v>-91.23958</v>
      </c>
      <c r="M12" s="4">
        <v>3</v>
      </c>
      <c r="N12" s="4" t="s">
        <v>480</v>
      </c>
      <c r="O12" s="4" t="s">
        <v>562</v>
      </c>
      <c r="R12" s="8"/>
      <c r="S12" s="8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EZ12" s="98"/>
      <c r="FA12" s="98"/>
      <c r="FB12" s="98"/>
      <c r="FC12" s="98"/>
      <c r="FD12" s="98"/>
    </row>
    <row r="13" spans="1:160" ht="12.75">
      <c r="A13" s="76"/>
      <c r="B13" s="83">
        <f t="shared" si="0"/>
        <v>2</v>
      </c>
      <c r="C13" s="83">
        <f t="shared" si="1"/>
        <v>2</v>
      </c>
      <c r="D13" s="83">
        <f t="shared" si="2"/>
        <v>2</v>
      </c>
      <c r="E13" s="83">
        <f t="shared" si="3"/>
        <v>2</v>
      </c>
      <c r="F13" s="83">
        <f t="shared" si="4"/>
        <v>2</v>
      </c>
      <c r="G13" s="83">
        <f t="shared" si="5"/>
        <v>2</v>
      </c>
      <c r="H13" s="101">
        <f>IF(AND(M13&gt;0,M13&lt;=STATS!$C$22),1,"")</f>
        <v>1</v>
      </c>
      <c r="J13" s="22">
        <v>12</v>
      </c>
      <c r="K13" s="112">
        <v>46.09006</v>
      </c>
      <c r="L13" s="112">
        <v>-91.23897</v>
      </c>
      <c r="M13" s="4">
        <v>2</v>
      </c>
      <c r="N13" s="4" t="s">
        <v>480</v>
      </c>
      <c r="O13" s="4" t="s">
        <v>562</v>
      </c>
      <c r="Q13" s="4">
        <v>1</v>
      </c>
      <c r="R13" s="8"/>
      <c r="S13" s="8"/>
      <c r="T13" s="24"/>
      <c r="U13" s="24"/>
      <c r="V13" s="24"/>
      <c r="W13" s="24"/>
      <c r="X13" s="24">
        <v>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BR13" s="4" t="s">
        <v>483</v>
      </c>
      <c r="CB13" s="4">
        <v>1</v>
      </c>
      <c r="EZ13" s="98"/>
      <c r="FA13" s="98"/>
      <c r="FB13" s="98"/>
      <c r="FC13" s="98"/>
      <c r="FD13" s="98"/>
    </row>
    <row r="14" spans="1:160" ht="12.75">
      <c r="A14" s="59"/>
      <c r="B14" s="83">
        <f t="shared" si="0"/>
        <v>2</v>
      </c>
      <c r="C14" s="83">
        <f t="shared" si="1"/>
        <v>2</v>
      </c>
      <c r="D14" s="83">
        <f t="shared" si="2"/>
        <v>2</v>
      </c>
      <c r="E14" s="83">
        <f t="shared" si="3"/>
        <v>2</v>
      </c>
      <c r="F14" s="83">
        <f t="shared" si="4"/>
        <v>2</v>
      </c>
      <c r="G14" s="83">
        <f t="shared" si="5"/>
        <v>4</v>
      </c>
      <c r="H14" s="101">
        <f>IF(AND(M14&gt;0,M14&lt;=STATS!$C$22),1,"")</f>
        <v>1</v>
      </c>
      <c r="J14" s="22">
        <v>13</v>
      </c>
      <c r="K14" s="112">
        <v>46.09044</v>
      </c>
      <c r="L14" s="112">
        <v>-91.24262</v>
      </c>
      <c r="M14" s="4">
        <v>4</v>
      </c>
      <c r="N14" s="4" t="s">
        <v>480</v>
      </c>
      <c r="O14" s="4" t="s">
        <v>562</v>
      </c>
      <c r="Q14" s="4">
        <v>1</v>
      </c>
      <c r="R14" s="8"/>
      <c r="S14" s="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</v>
      </c>
      <c r="AH14" s="24"/>
      <c r="CP14" s="4">
        <v>1</v>
      </c>
      <c r="EZ14" s="98"/>
      <c r="FA14" s="98"/>
      <c r="FB14" s="98"/>
      <c r="FC14" s="98"/>
      <c r="FD14" s="98"/>
    </row>
    <row r="15" spans="1:160" ht="12.75">
      <c r="A15" s="59"/>
      <c r="B15" s="83">
        <f t="shared" si="0"/>
        <v>0</v>
      </c>
      <c r="C15" s="83">
        <f t="shared" si="1"/>
      </c>
      <c r="D15" s="83">
        <f t="shared" si="2"/>
      </c>
      <c r="E15" s="83">
        <f t="shared" si="3"/>
        <v>0</v>
      </c>
      <c r="F15" s="83">
        <f t="shared" si="4"/>
        <v>0</v>
      </c>
      <c r="G15" s="83">
        <f t="shared" si="5"/>
      </c>
      <c r="H15" s="101">
        <f>IF(AND(M15&gt;0,M15&lt;=STATS!$C$22),1,"")</f>
        <v>1</v>
      </c>
      <c r="J15" s="22">
        <v>14</v>
      </c>
      <c r="K15" s="112">
        <v>46.09045</v>
      </c>
      <c r="L15" s="112">
        <v>-91.24202</v>
      </c>
      <c r="M15" s="4">
        <v>4</v>
      </c>
      <c r="N15" s="4" t="s">
        <v>480</v>
      </c>
      <c r="O15" s="4" t="s">
        <v>562</v>
      </c>
      <c r="R15" s="8"/>
      <c r="S15" s="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EZ15" s="98"/>
      <c r="FA15" s="98"/>
      <c r="FB15" s="98"/>
      <c r="FC15" s="98"/>
      <c r="FD15" s="98"/>
    </row>
    <row r="16" spans="1:160" ht="12.75">
      <c r="A16" s="59"/>
      <c r="B16" s="83">
        <f t="shared" si="0"/>
        <v>2</v>
      </c>
      <c r="C16" s="83">
        <f t="shared" si="1"/>
        <v>2</v>
      </c>
      <c r="D16" s="83">
        <f t="shared" si="2"/>
        <v>2</v>
      </c>
      <c r="E16" s="83">
        <f t="shared" si="3"/>
        <v>2</v>
      </c>
      <c r="F16" s="83">
        <f t="shared" si="4"/>
        <v>2</v>
      </c>
      <c r="G16" s="83">
        <f t="shared" si="5"/>
        <v>4</v>
      </c>
      <c r="H16" s="101">
        <f>IF(AND(M16&gt;0,M16&lt;=STATS!$C$22),1,"")</f>
        <v>1</v>
      </c>
      <c r="J16" s="22">
        <v>15</v>
      </c>
      <c r="K16" s="112">
        <v>46.09046</v>
      </c>
      <c r="L16" s="112">
        <v>-91.24141</v>
      </c>
      <c r="M16" s="4">
        <v>4</v>
      </c>
      <c r="N16" s="4" t="s">
        <v>480</v>
      </c>
      <c r="O16" s="4" t="s">
        <v>562</v>
      </c>
      <c r="Q16" s="4">
        <v>1</v>
      </c>
      <c r="R16" s="8"/>
      <c r="S16" s="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BR16" s="4">
        <v>1</v>
      </c>
      <c r="CI16" s="4" t="s">
        <v>483</v>
      </c>
      <c r="DK16" s="4">
        <v>1</v>
      </c>
      <c r="EZ16" s="98"/>
      <c r="FA16" s="98"/>
      <c r="FB16" s="98"/>
      <c r="FC16" s="98"/>
      <c r="FD16" s="98"/>
    </row>
    <row r="17" spans="1:160" ht="12.75">
      <c r="A17" s="59"/>
      <c r="B17" s="83">
        <f t="shared" si="0"/>
        <v>2</v>
      </c>
      <c r="C17" s="83">
        <f t="shared" si="1"/>
        <v>2</v>
      </c>
      <c r="D17" s="83">
        <f t="shared" si="2"/>
        <v>2</v>
      </c>
      <c r="E17" s="83">
        <f t="shared" si="3"/>
        <v>2</v>
      </c>
      <c r="F17" s="83">
        <f t="shared" si="4"/>
        <v>2</v>
      </c>
      <c r="G17" s="83">
        <f t="shared" si="5"/>
        <v>5.5</v>
      </c>
      <c r="H17" s="101">
        <f>IF(AND(M17&gt;0,M17&lt;=STATS!$C$22),1,"")</f>
        <v>1</v>
      </c>
      <c r="J17" s="22">
        <v>16</v>
      </c>
      <c r="K17" s="112">
        <v>46.09046</v>
      </c>
      <c r="L17" s="112">
        <v>-91.2408</v>
      </c>
      <c r="M17" s="4">
        <v>5.5</v>
      </c>
      <c r="N17" s="4" t="s">
        <v>480</v>
      </c>
      <c r="O17" s="4" t="s">
        <v>562</v>
      </c>
      <c r="Q17" s="4">
        <v>2</v>
      </c>
      <c r="R17" s="8"/>
      <c r="S17" s="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BR17" s="4">
        <v>1</v>
      </c>
      <c r="DK17" s="4">
        <v>2</v>
      </c>
      <c r="EZ17" s="98"/>
      <c r="FA17" s="98"/>
      <c r="FB17" s="98"/>
      <c r="FC17" s="98"/>
      <c r="FD17" s="98"/>
    </row>
    <row r="18" spans="1:160" ht="12.75">
      <c r="A18" s="76"/>
      <c r="B18" s="83">
        <f t="shared" si="0"/>
        <v>1</v>
      </c>
      <c r="C18" s="83">
        <f t="shared" si="1"/>
        <v>1</v>
      </c>
      <c r="D18" s="83">
        <f t="shared" si="2"/>
        <v>1</v>
      </c>
      <c r="E18" s="83">
        <f t="shared" si="3"/>
        <v>1</v>
      </c>
      <c r="F18" s="83">
        <f t="shared" si="4"/>
        <v>1</v>
      </c>
      <c r="G18" s="83">
        <f t="shared" si="5"/>
        <v>4.5</v>
      </c>
      <c r="H18" s="101">
        <f>IF(AND(M18&gt;0,M18&lt;=STATS!$C$22),1,"")</f>
        <v>1</v>
      </c>
      <c r="J18" s="22">
        <v>17</v>
      </c>
      <c r="K18" s="112">
        <v>46.09047</v>
      </c>
      <c r="L18" s="112">
        <v>-91.24019</v>
      </c>
      <c r="M18" s="4">
        <v>4.5</v>
      </c>
      <c r="N18" s="4" t="s">
        <v>480</v>
      </c>
      <c r="O18" s="4" t="s">
        <v>562</v>
      </c>
      <c r="Q18" s="4">
        <v>1</v>
      </c>
      <c r="R18" s="8"/>
      <c r="S18" s="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CP18" s="4">
        <v>1</v>
      </c>
      <c r="DK18" s="4" t="s">
        <v>483</v>
      </c>
      <c r="EZ18" s="98"/>
      <c r="FA18" s="98"/>
      <c r="FB18" s="98"/>
      <c r="FC18" s="98"/>
      <c r="FD18" s="98"/>
    </row>
    <row r="19" spans="1:160" ht="12.75">
      <c r="A19" s="59"/>
      <c r="B19" s="83">
        <f t="shared" si="0"/>
        <v>1</v>
      </c>
      <c r="C19" s="83">
        <f t="shared" si="1"/>
        <v>1</v>
      </c>
      <c r="D19" s="83">
        <f t="shared" si="2"/>
        <v>1</v>
      </c>
      <c r="E19" s="83">
        <f t="shared" si="3"/>
        <v>1</v>
      </c>
      <c r="F19" s="83">
        <f t="shared" si="4"/>
        <v>1</v>
      </c>
      <c r="G19" s="83">
        <f t="shared" si="5"/>
        <v>4.5</v>
      </c>
      <c r="H19" s="101">
        <f>IF(AND(M19&gt;0,M19&lt;=STATS!$C$22),1,"")</f>
        <v>1</v>
      </c>
      <c r="J19" s="22">
        <v>18</v>
      </c>
      <c r="K19" s="112">
        <v>46.09048</v>
      </c>
      <c r="L19" s="112">
        <v>-91.23958</v>
      </c>
      <c r="M19" s="4">
        <v>4.5</v>
      </c>
      <c r="N19" s="4" t="s">
        <v>480</v>
      </c>
      <c r="O19" s="4" t="s">
        <v>562</v>
      </c>
      <c r="Q19" s="4">
        <v>1</v>
      </c>
      <c r="R19" s="8"/>
      <c r="S19" s="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DK19" s="4">
        <v>1</v>
      </c>
      <c r="EZ19" s="98"/>
      <c r="FA19" s="98"/>
      <c r="FB19" s="98"/>
      <c r="FC19" s="98"/>
      <c r="FD19" s="98"/>
    </row>
    <row r="20" spans="1:160" ht="12.75">
      <c r="A20" s="59"/>
      <c r="B20" s="83">
        <f t="shared" si="0"/>
        <v>1</v>
      </c>
      <c r="C20" s="83">
        <f t="shared" si="1"/>
        <v>1</v>
      </c>
      <c r="D20" s="83">
        <f t="shared" si="2"/>
        <v>1</v>
      </c>
      <c r="E20" s="83">
        <f t="shared" si="3"/>
        <v>1</v>
      </c>
      <c r="F20" s="83">
        <f t="shared" si="4"/>
        <v>1</v>
      </c>
      <c r="G20" s="83">
        <f t="shared" si="5"/>
        <v>3</v>
      </c>
      <c r="H20" s="101">
        <f>IF(AND(M20&gt;0,M20&lt;=STATS!$C$22),1,"")</f>
        <v>1</v>
      </c>
      <c r="J20" s="22">
        <v>19</v>
      </c>
      <c r="K20" s="112">
        <v>46.09048</v>
      </c>
      <c r="L20" s="112">
        <v>-91.23898</v>
      </c>
      <c r="M20" s="4">
        <v>3</v>
      </c>
      <c r="N20" s="4" t="s">
        <v>480</v>
      </c>
      <c r="O20" s="4" t="s">
        <v>562</v>
      </c>
      <c r="Q20" s="4">
        <v>2</v>
      </c>
      <c r="R20" s="8"/>
      <c r="S20" s="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CB20" s="4">
        <v>2</v>
      </c>
      <c r="DK20" s="4" t="s">
        <v>483</v>
      </c>
      <c r="EZ20" s="98"/>
      <c r="FA20" s="98"/>
      <c r="FB20" s="98"/>
      <c r="FC20" s="98"/>
      <c r="FD20" s="98"/>
    </row>
    <row r="21" spans="1:160" ht="12.75">
      <c r="A21" s="59"/>
      <c r="B21" s="83">
        <f t="shared" si="0"/>
        <v>1</v>
      </c>
      <c r="C21" s="83">
        <f t="shared" si="1"/>
        <v>1</v>
      </c>
      <c r="D21" s="83">
        <f t="shared" si="2"/>
        <v>1</v>
      </c>
      <c r="E21" s="83">
        <f t="shared" si="3"/>
        <v>1</v>
      </c>
      <c r="F21" s="83">
        <f t="shared" si="4"/>
        <v>1</v>
      </c>
      <c r="G21" s="83">
        <f t="shared" si="5"/>
        <v>3</v>
      </c>
      <c r="H21" s="101">
        <f>IF(AND(M21&gt;0,M21&lt;=STATS!$C$22),1,"")</f>
        <v>1</v>
      </c>
      <c r="J21" s="22">
        <v>20</v>
      </c>
      <c r="K21" s="112">
        <v>46.09049</v>
      </c>
      <c r="L21" s="112">
        <v>-91.23837</v>
      </c>
      <c r="M21" s="4">
        <v>3</v>
      </c>
      <c r="N21" s="4" t="s">
        <v>480</v>
      </c>
      <c r="O21" s="4" t="s">
        <v>562</v>
      </c>
      <c r="Q21" s="4">
        <v>1</v>
      </c>
      <c r="R21" s="8"/>
      <c r="S21" s="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CB21" s="4">
        <v>1</v>
      </c>
      <c r="EZ21" s="98"/>
      <c r="FA21" s="98"/>
      <c r="FB21" s="98"/>
      <c r="FC21" s="98"/>
      <c r="FD21" s="98"/>
    </row>
    <row r="22" spans="1:160" ht="12.75">
      <c r="A22" s="59"/>
      <c r="B22" s="83">
        <f t="shared" si="0"/>
        <v>2</v>
      </c>
      <c r="C22" s="83">
        <f t="shared" si="1"/>
        <v>2</v>
      </c>
      <c r="D22" s="83">
        <f t="shared" si="2"/>
        <v>2</v>
      </c>
      <c r="E22" s="83">
        <f t="shared" si="3"/>
        <v>2</v>
      </c>
      <c r="F22" s="83">
        <f t="shared" si="4"/>
        <v>2</v>
      </c>
      <c r="G22" s="83">
        <f t="shared" si="5"/>
        <v>3</v>
      </c>
      <c r="H22" s="101">
        <f>IF(AND(M22&gt;0,M22&lt;=STATS!$C$22),1,"")</f>
        <v>1</v>
      </c>
      <c r="J22" s="22">
        <v>21</v>
      </c>
      <c r="K22" s="112">
        <v>46.09049</v>
      </c>
      <c r="L22" s="112">
        <v>-91.23776</v>
      </c>
      <c r="M22" s="4">
        <v>3</v>
      </c>
      <c r="N22" s="4" t="s">
        <v>480</v>
      </c>
      <c r="O22" s="4" t="s">
        <v>562</v>
      </c>
      <c r="Q22" s="4">
        <v>1</v>
      </c>
      <c r="R22" s="8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BR22" s="4" t="s">
        <v>483</v>
      </c>
      <c r="CB22" s="4">
        <v>1</v>
      </c>
      <c r="DK22" s="4">
        <v>1</v>
      </c>
      <c r="EZ22" s="98"/>
      <c r="FA22" s="98"/>
      <c r="FB22" s="98"/>
      <c r="FC22" s="98"/>
      <c r="FD22" s="98"/>
    </row>
    <row r="23" spans="1:160" ht="12.75">
      <c r="A23" s="76"/>
      <c r="B23" s="83">
        <f t="shared" si="0"/>
        <v>1</v>
      </c>
      <c r="C23" s="83">
        <f t="shared" si="1"/>
        <v>1</v>
      </c>
      <c r="D23" s="83">
        <f t="shared" si="2"/>
        <v>1</v>
      </c>
      <c r="E23" s="83">
        <f t="shared" si="3"/>
        <v>1</v>
      </c>
      <c r="F23" s="83">
        <f t="shared" si="4"/>
        <v>1</v>
      </c>
      <c r="G23" s="83">
        <f t="shared" si="5"/>
        <v>3</v>
      </c>
      <c r="H23" s="101">
        <f>IF(AND(M23&gt;0,M23&lt;=STATS!$C$22),1,"")</f>
        <v>1</v>
      </c>
      <c r="J23" s="22">
        <v>22</v>
      </c>
      <c r="K23" s="112">
        <v>46.09086</v>
      </c>
      <c r="L23" s="112">
        <v>-91.24324</v>
      </c>
      <c r="M23" s="4">
        <v>3</v>
      </c>
      <c r="N23" s="4" t="s">
        <v>480</v>
      </c>
      <c r="O23" s="4" t="s">
        <v>562</v>
      </c>
      <c r="Q23" s="4">
        <v>1</v>
      </c>
      <c r="R23" s="8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>
        <v>1</v>
      </c>
      <c r="AH23" s="24"/>
      <c r="EZ23" s="98"/>
      <c r="FA23" s="98"/>
      <c r="FB23" s="98"/>
      <c r="FC23" s="98"/>
      <c r="FD23" s="98"/>
    </row>
    <row r="24" spans="1:160" ht="12.75">
      <c r="A24" s="77"/>
      <c r="B24" s="83">
        <f t="shared" si="0"/>
        <v>1</v>
      </c>
      <c r="C24" s="83">
        <f t="shared" si="1"/>
        <v>1</v>
      </c>
      <c r="D24" s="83">
        <f t="shared" si="2"/>
        <v>1</v>
      </c>
      <c r="E24" s="83">
        <f t="shared" si="3"/>
        <v>1</v>
      </c>
      <c r="F24" s="83">
        <f t="shared" si="4"/>
        <v>1</v>
      </c>
      <c r="G24" s="83">
        <f t="shared" si="5"/>
        <v>4.5</v>
      </c>
      <c r="H24" s="101">
        <f>IF(AND(M24&gt;0,M24&lt;=STATS!$C$22),1,"")</f>
        <v>1</v>
      </c>
      <c r="J24" s="22">
        <v>23</v>
      </c>
      <c r="K24" s="112">
        <v>46.09086</v>
      </c>
      <c r="L24" s="112">
        <v>-91.24263</v>
      </c>
      <c r="M24" s="4">
        <v>4.5</v>
      </c>
      <c r="N24" s="4" t="s">
        <v>480</v>
      </c>
      <c r="O24" s="4" t="s">
        <v>562</v>
      </c>
      <c r="Q24" s="4">
        <v>2</v>
      </c>
      <c r="R24" s="8"/>
      <c r="S24" s="8"/>
      <c r="T24" s="24"/>
      <c r="U24" s="24"/>
      <c r="V24" s="24"/>
      <c r="W24" s="24"/>
      <c r="X24" s="24">
        <v>2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EZ24" s="98"/>
      <c r="FA24" s="98"/>
      <c r="FB24" s="98"/>
      <c r="FC24" s="98"/>
      <c r="FD24" s="98"/>
    </row>
    <row r="25" spans="1:160" ht="12.75">
      <c r="A25" s="77"/>
      <c r="B25" s="83">
        <f t="shared" si="0"/>
        <v>1</v>
      </c>
      <c r="C25" s="83">
        <f t="shared" si="1"/>
        <v>1</v>
      </c>
      <c r="D25" s="83">
        <f t="shared" si="2"/>
        <v>1</v>
      </c>
      <c r="E25" s="83">
        <f t="shared" si="3"/>
        <v>1</v>
      </c>
      <c r="F25" s="83">
        <f t="shared" si="4"/>
        <v>1</v>
      </c>
      <c r="G25" s="83">
        <f t="shared" si="5"/>
        <v>4.5</v>
      </c>
      <c r="H25" s="101">
        <f>IF(AND(M25&gt;0,M25&lt;=STATS!$C$22),1,"")</f>
        <v>1</v>
      </c>
      <c r="J25" s="22">
        <v>24</v>
      </c>
      <c r="K25" s="112">
        <v>46.09087</v>
      </c>
      <c r="L25" s="112">
        <v>-91.24202</v>
      </c>
      <c r="M25" s="4">
        <v>4.5</v>
      </c>
      <c r="N25" s="4" t="s">
        <v>480</v>
      </c>
      <c r="O25" s="4" t="s">
        <v>562</v>
      </c>
      <c r="Q25" s="4">
        <v>1</v>
      </c>
      <c r="R25" s="8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BR25" s="4">
        <v>1</v>
      </c>
      <c r="CB25" s="4" t="s">
        <v>483</v>
      </c>
      <c r="EZ25" s="98"/>
      <c r="FA25" s="98"/>
      <c r="FB25" s="98"/>
      <c r="FC25" s="98"/>
      <c r="FD25" s="98"/>
    </row>
    <row r="26" spans="1:160" ht="12.75">
      <c r="A26" s="77"/>
      <c r="B26" s="83">
        <f t="shared" si="0"/>
        <v>2</v>
      </c>
      <c r="C26" s="83">
        <f t="shared" si="1"/>
        <v>2</v>
      </c>
      <c r="D26" s="83">
        <f t="shared" si="2"/>
        <v>2</v>
      </c>
      <c r="E26" s="83">
        <f t="shared" si="3"/>
        <v>2</v>
      </c>
      <c r="F26" s="83">
        <f t="shared" si="4"/>
        <v>2</v>
      </c>
      <c r="G26" s="83">
        <f t="shared" si="5"/>
        <v>5</v>
      </c>
      <c r="H26" s="101">
        <f>IF(AND(M26&gt;0,M26&lt;=STATS!$C$22),1,"")</f>
        <v>1</v>
      </c>
      <c r="J26" s="22">
        <v>25</v>
      </c>
      <c r="K26" s="112">
        <v>46.09088</v>
      </c>
      <c r="L26" s="112">
        <v>-91.24142</v>
      </c>
      <c r="M26" s="4">
        <v>5</v>
      </c>
      <c r="N26" s="4" t="s">
        <v>480</v>
      </c>
      <c r="O26" s="4" t="s">
        <v>562</v>
      </c>
      <c r="Q26" s="4">
        <v>1</v>
      </c>
      <c r="R26" s="8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BR26" s="4">
        <v>1</v>
      </c>
      <c r="CW26" s="4" t="s">
        <v>483</v>
      </c>
      <c r="DK26" s="4">
        <v>1</v>
      </c>
      <c r="EZ26" s="98"/>
      <c r="FA26" s="98"/>
      <c r="FB26" s="98"/>
      <c r="FC26" s="98"/>
      <c r="FD26" s="98"/>
    </row>
    <row r="27" spans="1:160" ht="12.75">
      <c r="A27" s="76"/>
      <c r="B27" s="83">
        <f t="shared" si="0"/>
        <v>1</v>
      </c>
      <c r="C27" s="83">
        <f t="shared" si="1"/>
        <v>1</v>
      </c>
      <c r="D27" s="83">
        <f t="shared" si="2"/>
        <v>1</v>
      </c>
      <c r="E27" s="83">
        <f t="shared" si="3"/>
        <v>1</v>
      </c>
      <c r="F27" s="83">
        <f t="shared" si="4"/>
        <v>1</v>
      </c>
      <c r="G27" s="83">
        <f t="shared" si="5"/>
        <v>5</v>
      </c>
      <c r="H27" s="101">
        <f>IF(AND(M27&gt;0,M27&lt;=STATS!$C$22),1,"")</f>
        <v>1</v>
      </c>
      <c r="J27" s="22">
        <v>26</v>
      </c>
      <c r="K27" s="112">
        <v>46.09089</v>
      </c>
      <c r="L27" s="112">
        <v>-91.24081</v>
      </c>
      <c r="M27" s="4">
        <v>5</v>
      </c>
      <c r="N27" s="4" t="s">
        <v>480</v>
      </c>
      <c r="O27" s="4" t="s">
        <v>562</v>
      </c>
      <c r="Q27" s="4">
        <v>2</v>
      </c>
      <c r="R27" s="8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BR27" s="4">
        <v>2</v>
      </c>
      <c r="EZ27" s="98"/>
      <c r="FA27" s="98"/>
      <c r="FB27" s="98"/>
      <c r="FC27" s="98"/>
      <c r="FD27" s="98"/>
    </row>
    <row r="28" spans="1:160" ht="12.75">
      <c r="A28" s="77"/>
      <c r="B28" s="83">
        <f t="shared" si="0"/>
        <v>2</v>
      </c>
      <c r="C28" s="83">
        <f t="shared" si="1"/>
        <v>2</v>
      </c>
      <c r="D28" s="83">
        <f t="shared" si="2"/>
        <v>2</v>
      </c>
      <c r="E28" s="83">
        <f t="shared" si="3"/>
        <v>2</v>
      </c>
      <c r="F28" s="83">
        <f t="shared" si="4"/>
        <v>2</v>
      </c>
      <c r="G28" s="83">
        <f t="shared" si="5"/>
        <v>5</v>
      </c>
      <c r="H28" s="101">
        <f>IF(AND(M28&gt;0,M28&lt;=STATS!$C$22),1,"")</f>
        <v>1</v>
      </c>
      <c r="J28" s="22">
        <v>27</v>
      </c>
      <c r="K28" s="112">
        <v>46.09089</v>
      </c>
      <c r="L28" s="112">
        <v>-91.2402</v>
      </c>
      <c r="M28" s="4">
        <v>5</v>
      </c>
      <c r="N28" s="4" t="s">
        <v>480</v>
      </c>
      <c r="O28" s="4" t="s">
        <v>562</v>
      </c>
      <c r="Q28" s="4">
        <v>1</v>
      </c>
      <c r="R28" s="8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BR28" s="4">
        <v>1</v>
      </c>
      <c r="DK28" s="4">
        <v>1</v>
      </c>
      <c r="EZ28" s="98"/>
      <c r="FA28" s="98"/>
      <c r="FB28" s="98"/>
      <c r="FC28" s="98"/>
      <c r="FD28" s="98"/>
    </row>
    <row r="29" spans="1:160" ht="12.75">
      <c r="A29" s="77"/>
      <c r="B29" s="83">
        <f t="shared" si="0"/>
        <v>0</v>
      </c>
      <c r="C29" s="83">
        <f t="shared" si="1"/>
      </c>
      <c r="D29" s="83">
        <f t="shared" si="2"/>
      </c>
      <c r="E29" s="83">
        <f t="shared" si="3"/>
        <v>0</v>
      </c>
      <c r="F29" s="83">
        <f t="shared" si="4"/>
        <v>0</v>
      </c>
      <c r="G29" s="83">
        <f t="shared" si="5"/>
      </c>
      <c r="H29" s="101">
        <f>IF(AND(M29&gt;0,M29&lt;=STATS!$C$22),1,"")</f>
        <v>1</v>
      </c>
      <c r="J29" s="22">
        <v>28</v>
      </c>
      <c r="K29" s="112">
        <v>46.0909</v>
      </c>
      <c r="L29" s="112">
        <v>-91.23959</v>
      </c>
      <c r="M29" s="4">
        <v>5</v>
      </c>
      <c r="N29" s="4" t="s">
        <v>480</v>
      </c>
      <c r="O29" s="4" t="s">
        <v>562</v>
      </c>
      <c r="R29" s="8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EZ29" s="98"/>
      <c r="FA29" s="98"/>
      <c r="FB29" s="98"/>
      <c r="FC29" s="98"/>
      <c r="FD29" s="98"/>
    </row>
    <row r="30" spans="1:160" ht="12.75">
      <c r="A30" s="77"/>
      <c r="B30" s="83">
        <f t="shared" si="0"/>
        <v>5</v>
      </c>
      <c r="C30" s="83">
        <f t="shared" si="1"/>
        <v>5</v>
      </c>
      <c r="D30" s="83">
        <f t="shared" si="2"/>
        <v>5</v>
      </c>
      <c r="E30" s="83">
        <f t="shared" si="3"/>
        <v>5</v>
      </c>
      <c r="F30" s="83">
        <f t="shared" si="4"/>
        <v>5</v>
      </c>
      <c r="G30" s="83">
        <f t="shared" si="5"/>
        <v>2</v>
      </c>
      <c r="H30" s="101">
        <f>IF(AND(M30&gt;0,M30&lt;=STATS!$C$22),1,"")</f>
        <v>1</v>
      </c>
      <c r="J30" s="22">
        <v>29</v>
      </c>
      <c r="K30" s="112">
        <v>46.09091</v>
      </c>
      <c r="L30" s="112">
        <v>-91.23838</v>
      </c>
      <c r="M30" s="4">
        <v>2</v>
      </c>
      <c r="N30" s="4" t="s">
        <v>481</v>
      </c>
      <c r="O30" s="4" t="s">
        <v>562</v>
      </c>
      <c r="Q30" s="4">
        <v>2</v>
      </c>
      <c r="R30" s="8"/>
      <c r="S30" s="8"/>
      <c r="T30" s="24"/>
      <c r="U30" s="24"/>
      <c r="V30" s="24"/>
      <c r="W30" s="24"/>
      <c r="X30" s="24">
        <v>1</v>
      </c>
      <c r="Y30" s="24"/>
      <c r="Z30" s="24"/>
      <c r="AA30" s="24"/>
      <c r="AB30" s="24"/>
      <c r="AC30" s="24"/>
      <c r="AD30" s="24"/>
      <c r="AE30" s="24"/>
      <c r="AF30" s="24"/>
      <c r="AG30" s="24">
        <v>1</v>
      </c>
      <c r="AH30" s="24"/>
      <c r="AT30" s="4">
        <v>2</v>
      </c>
      <c r="BC30" s="4">
        <v>1</v>
      </c>
      <c r="CB30" s="4" t="s">
        <v>483</v>
      </c>
      <c r="EQ30" s="4">
        <v>1</v>
      </c>
      <c r="EZ30" s="98"/>
      <c r="FA30" s="98"/>
      <c r="FB30" s="98"/>
      <c r="FC30" s="98"/>
      <c r="FD30" s="98"/>
    </row>
    <row r="31" spans="1:160" ht="12.75">
      <c r="A31" s="76"/>
      <c r="B31" s="83">
        <f t="shared" si="0"/>
        <v>1</v>
      </c>
      <c r="C31" s="83">
        <f t="shared" si="1"/>
        <v>1</v>
      </c>
      <c r="D31" s="83">
        <f t="shared" si="2"/>
        <v>1</v>
      </c>
      <c r="E31" s="83">
        <f t="shared" si="3"/>
        <v>1</v>
      </c>
      <c r="F31" s="83">
        <f t="shared" si="4"/>
        <v>1</v>
      </c>
      <c r="G31" s="83">
        <f t="shared" si="5"/>
        <v>4</v>
      </c>
      <c r="H31" s="101">
        <f>IF(AND(M31&gt;0,M31&lt;=STATS!$C$22),1,"")</f>
        <v>1</v>
      </c>
      <c r="J31" s="22">
        <v>30</v>
      </c>
      <c r="K31" s="112">
        <v>46.09092</v>
      </c>
      <c r="L31" s="112">
        <v>-91.23777</v>
      </c>
      <c r="M31" s="4">
        <v>4</v>
      </c>
      <c r="N31" s="4" t="s">
        <v>480</v>
      </c>
      <c r="O31" s="4" t="s">
        <v>562</v>
      </c>
      <c r="Q31" s="4">
        <v>1</v>
      </c>
      <c r="R31" s="8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CB31" s="4">
        <v>1</v>
      </c>
      <c r="EZ31" s="98"/>
      <c r="FA31" s="98"/>
      <c r="FB31" s="98"/>
      <c r="FC31" s="98"/>
      <c r="FD31" s="98"/>
    </row>
    <row r="32" spans="1:160" ht="12.75">
      <c r="A32" s="77"/>
      <c r="B32" s="83">
        <f t="shared" si="0"/>
        <v>1</v>
      </c>
      <c r="C32" s="83">
        <f t="shared" si="1"/>
        <v>1</v>
      </c>
      <c r="D32" s="83">
        <f t="shared" si="2"/>
        <v>1</v>
      </c>
      <c r="E32" s="83">
        <f t="shared" si="3"/>
        <v>1</v>
      </c>
      <c r="F32" s="83">
        <f t="shared" si="4"/>
        <v>1</v>
      </c>
      <c r="G32" s="83">
        <f t="shared" si="5"/>
        <v>3.5</v>
      </c>
      <c r="H32" s="101">
        <f>IF(AND(M32&gt;0,M32&lt;=STATS!$C$22),1,"")</f>
        <v>1</v>
      </c>
      <c r="J32" s="22">
        <v>31</v>
      </c>
      <c r="K32" s="112">
        <v>46.09092</v>
      </c>
      <c r="L32" s="112">
        <v>-91.23716</v>
      </c>
      <c r="M32" s="4">
        <v>3.5</v>
      </c>
      <c r="N32" s="4" t="s">
        <v>480</v>
      </c>
      <c r="O32" s="4" t="s">
        <v>562</v>
      </c>
      <c r="Q32" s="4">
        <v>1</v>
      </c>
      <c r="R32" s="8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CB32" s="4" t="s">
        <v>483</v>
      </c>
      <c r="CP32" s="4">
        <v>1</v>
      </c>
      <c r="EZ32" s="98"/>
      <c r="FA32" s="98"/>
      <c r="FB32" s="98"/>
      <c r="FC32" s="98"/>
      <c r="FD32" s="98"/>
    </row>
    <row r="33" spans="1:160" ht="12.75">
      <c r="A33" s="77"/>
      <c r="B33" s="83">
        <f t="shared" si="0"/>
        <v>1</v>
      </c>
      <c r="C33" s="83">
        <f t="shared" si="1"/>
        <v>1</v>
      </c>
      <c r="D33" s="83">
        <f t="shared" si="2"/>
        <v>1</v>
      </c>
      <c r="E33" s="83">
        <f t="shared" si="3"/>
        <v>1</v>
      </c>
      <c r="F33" s="83">
        <f t="shared" si="4"/>
        <v>1</v>
      </c>
      <c r="G33" s="83">
        <f t="shared" si="5"/>
        <v>4</v>
      </c>
      <c r="H33" s="101">
        <f>IF(AND(M33&gt;0,M33&lt;=STATS!$C$22),1,"")</f>
        <v>1</v>
      </c>
      <c r="J33" s="22">
        <v>32</v>
      </c>
      <c r="K33" s="112">
        <v>46.09128</v>
      </c>
      <c r="L33" s="112">
        <v>-91.24325</v>
      </c>
      <c r="M33" s="4">
        <v>4</v>
      </c>
      <c r="N33" s="4" t="s">
        <v>480</v>
      </c>
      <c r="O33" s="4" t="s">
        <v>562</v>
      </c>
      <c r="Q33" s="4">
        <v>1</v>
      </c>
      <c r="R33" s="8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CB33" s="4">
        <v>1</v>
      </c>
      <c r="CS33" s="4" t="s">
        <v>483</v>
      </c>
      <c r="EZ33" s="98"/>
      <c r="FA33" s="98"/>
      <c r="FB33" s="98"/>
      <c r="FC33" s="98"/>
      <c r="FD33" s="98"/>
    </row>
    <row r="34" spans="1:160" ht="12.75">
      <c r="A34" s="77"/>
      <c r="B34" s="83">
        <f t="shared" si="0"/>
        <v>0</v>
      </c>
      <c r="C34" s="83">
        <f t="shared" si="1"/>
      </c>
      <c r="D34" s="83">
        <f t="shared" si="2"/>
      </c>
      <c r="E34" s="83">
        <f t="shared" si="3"/>
        <v>0</v>
      </c>
      <c r="F34" s="83">
        <f t="shared" si="4"/>
        <v>0</v>
      </c>
      <c r="G34" s="83">
        <f t="shared" si="5"/>
      </c>
      <c r="H34" s="101">
        <f>IF(AND(M34&gt;0,M34&lt;=STATS!$C$22),1,"")</f>
        <v>1</v>
      </c>
      <c r="J34" s="22">
        <v>33</v>
      </c>
      <c r="K34" s="112">
        <v>46.09129</v>
      </c>
      <c r="L34" s="112">
        <v>-91.24264</v>
      </c>
      <c r="M34" s="4">
        <v>4.5</v>
      </c>
      <c r="N34" s="4" t="s">
        <v>480</v>
      </c>
      <c r="O34" s="4" t="s">
        <v>562</v>
      </c>
      <c r="R34" s="8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EZ34" s="98"/>
      <c r="FA34" s="98"/>
      <c r="FB34" s="98"/>
      <c r="FC34" s="98"/>
      <c r="FD34" s="98"/>
    </row>
    <row r="35" spans="2:160" ht="12.75">
      <c r="B35" s="83">
        <f t="shared" si="0"/>
        <v>2</v>
      </c>
      <c r="C35" s="83">
        <f t="shared" si="1"/>
        <v>2</v>
      </c>
      <c r="D35" s="83">
        <f t="shared" si="2"/>
        <v>2</v>
      </c>
      <c r="E35" s="83">
        <f t="shared" si="3"/>
        <v>2</v>
      </c>
      <c r="F35" s="83">
        <f t="shared" si="4"/>
        <v>2</v>
      </c>
      <c r="G35" s="83">
        <f t="shared" si="5"/>
        <v>5</v>
      </c>
      <c r="H35" s="101">
        <f>IF(AND(M35&gt;0,M35&lt;=STATS!$C$22),1,"")</f>
        <v>1</v>
      </c>
      <c r="J35" s="22">
        <v>34</v>
      </c>
      <c r="K35" s="112">
        <v>46.09129</v>
      </c>
      <c r="L35" s="112">
        <v>-91.24204</v>
      </c>
      <c r="M35" s="4">
        <v>5</v>
      </c>
      <c r="N35" s="4" t="s">
        <v>480</v>
      </c>
      <c r="O35" s="4" t="s">
        <v>562</v>
      </c>
      <c r="Q35" s="4">
        <v>1</v>
      </c>
      <c r="R35" s="8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BR35" s="4">
        <v>1</v>
      </c>
      <c r="DK35" s="4">
        <v>1</v>
      </c>
      <c r="EZ35" s="98"/>
      <c r="FA35" s="98"/>
      <c r="FB35" s="98"/>
      <c r="FC35" s="98"/>
      <c r="FD35" s="98"/>
    </row>
    <row r="36" spans="2:160" ht="12.75">
      <c r="B36" s="83">
        <f t="shared" si="0"/>
        <v>0</v>
      </c>
      <c r="C36" s="83">
        <f t="shared" si="1"/>
      </c>
      <c r="D36" s="83">
        <f t="shared" si="2"/>
      </c>
      <c r="E36" s="83">
        <f t="shared" si="3"/>
        <v>0</v>
      </c>
      <c r="F36" s="83">
        <f t="shared" si="4"/>
        <v>0</v>
      </c>
      <c r="G36" s="83">
        <f t="shared" si="5"/>
      </c>
      <c r="H36" s="101">
        <f>IF(AND(M36&gt;0,M36&lt;=STATS!$C$22),1,"")</f>
        <v>1</v>
      </c>
      <c r="J36" s="22">
        <v>35</v>
      </c>
      <c r="K36" s="112">
        <v>46.0913</v>
      </c>
      <c r="L36" s="112">
        <v>-91.24143</v>
      </c>
      <c r="M36" s="4">
        <v>5</v>
      </c>
      <c r="N36" s="4" t="s">
        <v>480</v>
      </c>
      <c r="O36" s="4" t="s">
        <v>562</v>
      </c>
      <c r="R36" s="8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CI36" s="4" t="s">
        <v>483</v>
      </c>
      <c r="CW36" s="4" t="s">
        <v>483</v>
      </c>
      <c r="EZ36" s="98"/>
      <c r="FA36" s="98"/>
      <c r="FB36" s="98"/>
      <c r="FC36" s="98"/>
      <c r="FD36" s="98"/>
    </row>
    <row r="37" spans="2:160" ht="12.75">
      <c r="B37" s="83">
        <f t="shared" si="0"/>
        <v>0</v>
      </c>
      <c r="C37" s="83">
        <f t="shared" si="1"/>
      </c>
      <c r="D37" s="83">
        <f t="shared" si="2"/>
      </c>
      <c r="E37" s="83">
        <f t="shared" si="3"/>
        <v>0</v>
      </c>
      <c r="F37" s="83">
        <f t="shared" si="4"/>
        <v>0</v>
      </c>
      <c r="G37" s="83">
        <f t="shared" si="5"/>
      </c>
      <c r="H37" s="101">
        <f>IF(AND(M37&gt;0,M37&lt;=STATS!$C$22),1,"")</f>
        <v>1</v>
      </c>
      <c r="J37" s="22">
        <v>36</v>
      </c>
      <c r="K37" s="112">
        <v>46.09131</v>
      </c>
      <c r="L37" s="112">
        <v>-91.24082</v>
      </c>
      <c r="M37" s="4">
        <v>4.5</v>
      </c>
      <c r="N37" s="4" t="s">
        <v>480</v>
      </c>
      <c r="O37" s="4" t="s">
        <v>562</v>
      </c>
      <c r="R37" s="8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CI37" s="4" t="s">
        <v>483</v>
      </c>
      <c r="EZ37" s="98"/>
      <c r="FA37" s="98"/>
      <c r="FB37" s="98"/>
      <c r="FC37" s="98"/>
      <c r="FD37" s="98"/>
    </row>
    <row r="38" spans="2:160" ht="12.75">
      <c r="B38" s="83">
        <f t="shared" si="0"/>
        <v>0</v>
      </c>
      <c r="C38" s="83">
        <f t="shared" si="1"/>
      </c>
      <c r="D38" s="83">
        <f t="shared" si="2"/>
      </c>
      <c r="E38" s="83">
        <f t="shared" si="3"/>
        <v>0</v>
      </c>
      <c r="F38" s="83">
        <f t="shared" si="4"/>
        <v>0</v>
      </c>
      <c r="G38" s="83">
        <f t="shared" si="5"/>
      </c>
      <c r="H38" s="101">
        <f>IF(AND(M38&gt;0,M38&lt;=STATS!$C$22),1,"")</f>
        <v>1</v>
      </c>
      <c r="J38" s="22">
        <v>37</v>
      </c>
      <c r="K38" s="112">
        <v>46.09131</v>
      </c>
      <c r="L38" s="112">
        <v>-91.24021</v>
      </c>
      <c r="M38" s="4">
        <v>5</v>
      </c>
      <c r="N38" s="4" t="s">
        <v>480</v>
      </c>
      <c r="O38" s="4" t="s">
        <v>562</v>
      </c>
      <c r="R38" s="8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EZ38" s="98"/>
      <c r="FA38" s="98"/>
      <c r="FB38" s="98"/>
      <c r="FC38" s="98"/>
      <c r="FD38" s="98"/>
    </row>
    <row r="39" spans="2:160" ht="12.75">
      <c r="B39" s="83">
        <f t="shared" si="0"/>
        <v>2</v>
      </c>
      <c r="C39" s="83">
        <f t="shared" si="1"/>
        <v>2</v>
      </c>
      <c r="D39" s="83">
        <f t="shared" si="2"/>
        <v>2</v>
      </c>
      <c r="E39" s="83">
        <f t="shared" si="3"/>
        <v>2</v>
      </c>
      <c r="F39" s="83">
        <f t="shared" si="4"/>
        <v>2</v>
      </c>
      <c r="G39" s="83">
        <f t="shared" si="5"/>
        <v>2.5</v>
      </c>
      <c r="H39" s="101">
        <f>IF(AND(M39&gt;0,M39&lt;=STATS!$C$22),1,"")</f>
        <v>1</v>
      </c>
      <c r="J39" s="22">
        <v>38</v>
      </c>
      <c r="K39" s="112">
        <v>46.09132</v>
      </c>
      <c r="L39" s="112">
        <v>-91.2396</v>
      </c>
      <c r="M39" s="4">
        <v>2.5</v>
      </c>
      <c r="N39" s="4" t="s">
        <v>481</v>
      </c>
      <c r="O39" s="4" t="s">
        <v>562</v>
      </c>
      <c r="Q39" s="4">
        <v>2</v>
      </c>
      <c r="R39" s="8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>
        <v>1</v>
      </c>
      <c r="AH39" s="24"/>
      <c r="AT39" s="4" t="s">
        <v>483</v>
      </c>
      <c r="BP39" s="4">
        <v>2</v>
      </c>
      <c r="EZ39" s="98"/>
      <c r="FA39" s="98"/>
      <c r="FB39" s="98"/>
      <c r="FC39" s="98"/>
      <c r="FD39" s="98"/>
    </row>
    <row r="40" spans="2:160" ht="12.75">
      <c r="B40" s="83">
        <f t="shared" si="0"/>
        <v>1</v>
      </c>
      <c r="C40" s="83">
        <f t="shared" si="1"/>
        <v>1</v>
      </c>
      <c r="D40" s="83">
        <f t="shared" si="2"/>
        <v>1</v>
      </c>
      <c r="E40" s="83">
        <f t="shared" si="3"/>
        <v>1</v>
      </c>
      <c r="F40" s="83">
        <f t="shared" si="4"/>
        <v>1</v>
      </c>
      <c r="G40" s="83">
        <f t="shared" si="5"/>
        <v>4</v>
      </c>
      <c r="H40" s="101">
        <f>IF(AND(M40&gt;0,M40&lt;=STATS!$C$22),1,"")</f>
        <v>1</v>
      </c>
      <c r="J40" s="22">
        <v>39</v>
      </c>
      <c r="K40" s="112">
        <v>46.09133</v>
      </c>
      <c r="L40" s="112">
        <v>-91.23899</v>
      </c>
      <c r="M40" s="4">
        <v>4</v>
      </c>
      <c r="N40" s="4" t="s">
        <v>480</v>
      </c>
      <c r="O40" s="4" t="s">
        <v>562</v>
      </c>
      <c r="Q40" s="4">
        <v>1</v>
      </c>
      <c r="R40" s="8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CP40" s="4">
        <v>1</v>
      </c>
      <c r="EZ40" s="98"/>
      <c r="FA40" s="98"/>
      <c r="FB40" s="98"/>
      <c r="FC40" s="98"/>
      <c r="FD40" s="98"/>
    </row>
    <row r="41" spans="2:160" ht="12.75">
      <c r="B41" s="83">
        <f t="shared" si="0"/>
        <v>0</v>
      </c>
      <c r="C41" s="83">
        <f t="shared" si="1"/>
      </c>
      <c r="D41" s="83">
        <f t="shared" si="2"/>
      </c>
      <c r="E41" s="83">
        <f t="shared" si="3"/>
        <v>0</v>
      </c>
      <c r="F41" s="83">
        <f t="shared" si="4"/>
        <v>0</v>
      </c>
      <c r="G41" s="83">
        <f t="shared" si="5"/>
      </c>
      <c r="H41" s="101">
        <f>IF(AND(M41&gt;0,M41&lt;=STATS!$C$22),1,"")</f>
        <v>1</v>
      </c>
      <c r="J41" s="22">
        <v>40</v>
      </c>
      <c r="K41" s="112">
        <v>46.09134</v>
      </c>
      <c r="L41" s="112">
        <v>-91.23839</v>
      </c>
      <c r="M41" s="4">
        <v>4</v>
      </c>
      <c r="N41" s="4" t="s">
        <v>480</v>
      </c>
      <c r="O41" s="4" t="s">
        <v>562</v>
      </c>
      <c r="R41" s="8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CB41" s="4" t="s">
        <v>483</v>
      </c>
      <c r="EZ41" s="98"/>
      <c r="FA41" s="98"/>
      <c r="FB41" s="98"/>
      <c r="FC41" s="98"/>
      <c r="FD41" s="98"/>
    </row>
    <row r="42" spans="2:160" ht="12.75">
      <c r="B42" s="83">
        <f t="shared" si="0"/>
        <v>0</v>
      </c>
      <c r="C42" s="83">
        <f t="shared" si="1"/>
      </c>
      <c r="D42" s="83">
        <f t="shared" si="2"/>
      </c>
      <c r="E42" s="83">
        <f t="shared" si="3"/>
        <v>0</v>
      </c>
      <c r="F42" s="83">
        <f t="shared" si="4"/>
        <v>0</v>
      </c>
      <c r="G42" s="83">
        <f t="shared" si="5"/>
      </c>
      <c r="H42" s="101">
        <f>IF(AND(M42&gt;0,M42&lt;=STATS!$C$22),1,"")</f>
        <v>1</v>
      </c>
      <c r="J42" s="22">
        <v>41</v>
      </c>
      <c r="K42" s="112">
        <v>46.09134</v>
      </c>
      <c r="L42" s="112">
        <v>-91.23778</v>
      </c>
      <c r="M42" s="4">
        <v>4</v>
      </c>
      <c r="N42" s="4" t="s">
        <v>480</v>
      </c>
      <c r="O42" s="4" t="s">
        <v>562</v>
      </c>
      <c r="R42" s="8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EZ42" s="98"/>
      <c r="FA42" s="98"/>
      <c r="FB42" s="98"/>
      <c r="FC42" s="98"/>
      <c r="FD42" s="98"/>
    </row>
    <row r="43" spans="2:160" ht="12.75">
      <c r="B43" s="83">
        <f t="shared" si="0"/>
        <v>1</v>
      </c>
      <c r="C43" s="83">
        <f t="shared" si="1"/>
        <v>1</v>
      </c>
      <c r="D43" s="83">
        <f t="shared" si="2"/>
        <v>1</v>
      </c>
      <c r="E43" s="83">
        <f t="shared" si="3"/>
        <v>1</v>
      </c>
      <c r="F43" s="83">
        <f t="shared" si="4"/>
        <v>1</v>
      </c>
      <c r="G43" s="83">
        <f t="shared" si="5"/>
        <v>4</v>
      </c>
      <c r="H43" s="101">
        <f>IF(AND(M43&gt;0,M43&lt;=STATS!$C$22),1,"")</f>
        <v>1</v>
      </c>
      <c r="J43" s="22">
        <v>42</v>
      </c>
      <c r="K43" s="112">
        <v>46.09135</v>
      </c>
      <c r="L43" s="112">
        <v>-91.23717</v>
      </c>
      <c r="M43" s="4">
        <v>4</v>
      </c>
      <c r="N43" s="4" t="s">
        <v>480</v>
      </c>
      <c r="O43" s="4" t="s">
        <v>562</v>
      </c>
      <c r="Q43" s="4">
        <v>1</v>
      </c>
      <c r="R43" s="8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CB43" s="4">
        <v>1</v>
      </c>
      <c r="EZ43" s="98"/>
      <c r="FA43" s="98"/>
      <c r="FB43" s="98"/>
      <c r="FC43" s="98"/>
      <c r="FD43" s="98"/>
    </row>
    <row r="44" spans="2:160" ht="12.75">
      <c r="B44" s="83">
        <f t="shared" si="0"/>
        <v>0</v>
      </c>
      <c r="C44" s="83">
        <f t="shared" si="1"/>
      </c>
      <c r="D44" s="83">
        <f t="shared" si="2"/>
      </c>
      <c r="E44" s="83">
        <f t="shared" si="3"/>
        <v>0</v>
      </c>
      <c r="F44" s="83">
        <f t="shared" si="4"/>
        <v>0</v>
      </c>
      <c r="G44" s="83">
        <f t="shared" si="5"/>
      </c>
      <c r="H44" s="101">
        <f>IF(AND(M44&gt;0,M44&lt;=STATS!$C$22),1,"")</f>
        <v>1</v>
      </c>
      <c r="J44" s="22">
        <v>43</v>
      </c>
      <c r="K44" s="112">
        <v>46.09135</v>
      </c>
      <c r="L44" s="112">
        <v>-91.23656</v>
      </c>
      <c r="M44" s="4">
        <v>3.5</v>
      </c>
      <c r="N44" s="4" t="s">
        <v>480</v>
      </c>
      <c r="O44" s="4" t="s">
        <v>562</v>
      </c>
      <c r="R44" s="8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EZ44" s="98"/>
      <c r="FA44" s="98"/>
      <c r="FB44" s="98"/>
      <c r="FC44" s="98"/>
      <c r="FD44" s="98"/>
    </row>
    <row r="45" spans="2:160" ht="12.75">
      <c r="B45" s="83">
        <f t="shared" si="0"/>
        <v>0</v>
      </c>
      <c r="C45" s="83">
        <f t="shared" si="1"/>
      </c>
      <c r="D45" s="83">
        <f t="shared" si="2"/>
      </c>
      <c r="E45" s="83">
        <f t="shared" si="3"/>
        <v>0</v>
      </c>
      <c r="F45" s="83">
        <f t="shared" si="4"/>
        <v>0</v>
      </c>
      <c r="G45" s="83">
        <f t="shared" si="5"/>
      </c>
      <c r="H45" s="101">
        <f>IF(AND(M45&gt;0,M45&lt;=STATS!$C$22),1,"")</f>
        <v>1</v>
      </c>
      <c r="J45" s="22">
        <v>44</v>
      </c>
      <c r="K45" s="112">
        <v>46.09171</v>
      </c>
      <c r="L45" s="112">
        <v>-91.24326</v>
      </c>
      <c r="M45" s="4">
        <v>3.5</v>
      </c>
      <c r="N45" s="4" t="s">
        <v>480</v>
      </c>
      <c r="O45" s="4" t="s">
        <v>562</v>
      </c>
      <c r="R45" s="8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CB45" s="4" t="s">
        <v>483</v>
      </c>
      <c r="EZ45" s="98"/>
      <c r="FA45" s="98"/>
      <c r="FB45" s="98"/>
      <c r="FC45" s="98"/>
      <c r="FD45" s="98"/>
    </row>
    <row r="46" spans="2:160" ht="12.75">
      <c r="B46" s="83">
        <f t="shared" si="0"/>
        <v>1</v>
      </c>
      <c r="C46" s="83">
        <f t="shared" si="1"/>
        <v>1</v>
      </c>
      <c r="D46" s="83">
        <f t="shared" si="2"/>
        <v>1</v>
      </c>
      <c r="E46" s="83">
        <f t="shared" si="3"/>
        <v>1</v>
      </c>
      <c r="F46" s="83">
        <f t="shared" si="4"/>
        <v>1</v>
      </c>
      <c r="G46" s="83">
        <f t="shared" si="5"/>
        <v>5</v>
      </c>
      <c r="H46" s="101">
        <f>IF(AND(M46&gt;0,M46&lt;=STATS!$C$22),1,"")</f>
        <v>1</v>
      </c>
      <c r="J46" s="22">
        <v>45</v>
      </c>
      <c r="K46" s="112">
        <v>46.09171</v>
      </c>
      <c r="L46" s="112">
        <v>-91.24265</v>
      </c>
      <c r="M46" s="4">
        <v>5</v>
      </c>
      <c r="N46" s="4" t="s">
        <v>480</v>
      </c>
      <c r="O46" s="4" t="s">
        <v>562</v>
      </c>
      <c r="Q46" s="4">
        <v>1</v>
      </c>
      <c r="R46" s="8"/>
      <c r="S46" s="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CB46" s="4">
        <v>1</v>
      </c>
      <c r="EZ46" s="98"/>
      <c r="FA46" s="98"/>
      <c r="FB46" s="98"/>
      <c r="FC46" s="98"/>
      <c r="FD46" s="98"/>
    </row>
    <row r="47" spans="2:160" ht="12.75">
      <c r="B47" s="83">
        <f t="shared" si="0"/>
        <v>1</v>
      </c>
      <c r="C47" s="83">
        <f t="shared" si="1"/>
        <v>1</v>
      </c>
      <c r="D47" s="83">
        <f t="shared" si="2"/>
        <v>1</v>
      </c>
      <c r="E47" s="83">
        <f t="shared" si="3"/>
        <v>1</v>
      </c>
      <c r="F47" s="83">
        <f t="shared" si="4"/>
        <v>1</v>
      </c>
      <c r="G47" s="83">
        <f t="shared" si="5"/>
        <v>5</v>
      </c>
      <c r="H47" s="101">
        <f>IF(AND(M47&gt;0,M47&lt;=STATS!$C$22),1,"")</f>
        <v>1</v>
      </c>
      <c r="J47" s="22">
        <v>46</v>
      </c>
      <c r="K47" s="112">
        <v>46.09172</v>
      </c>
      <c r="L47" s="112">
        <v>-91.24204</v>
      </c>
      <c r="M47" s="4">
        <v>5</v>
      </c>
      <c r="N47" s="4" t="s">
        <v>480</v>
      </c>
      <c r="O47" s="4" t="s">
        <v>562</v>
      </c>
      <c r="Q47" s="4">
        <v>1</v>
      </c>
      <c r="R47" s="8"/>
      <c r="S47" s="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BR47" s="4">
        <v>1</v>
      </c>
      <c r="EZ47" s="98"/>
      <c r="FA47" s="98"/>
      <c r="FB47" s="98"/>
      <c r="FC47" s="98"/>
      <c r="FD47" s="98"/>
    </row>
    <row r="48" spans="2:160" ht="12.75">
      <c r="B48" s="83">
        <f t="shared" si="0"/>
        <v>1</v>
      </c>
      <c r="C48" s="83">
        <f t="shared" si="1"/>
        <v>1</v>
      </c>
      <c r="D48" s="83">
        <f t="shared" si="2"/>
        <v>1</v>
      </c>
      <c r="E48" s="83">
        <f t="shared" si="3"/>
        <v>1</v>
      </c>
      <c r="F48" s="83">
        <f t="shared" si="4"/>
        <v>1</v>
      </c>
      <c r="G48" s="83">
        <f t="shared" si="5"/>
        <v>5</v>
      </c>
      <c r="H48" s="101">
        <f>IF(AND(M48&gt;0,M48&lt;=STATS!$C$22),1,"")</f>
        <v>1</v>
      </c>
      <c r="J48" s="22">
        <v>47</v>
      </c>
      <c r="K48" s="112">
        <v>46.09172</v>
      </c>
      <c r="L48" s="112">
        <v>-91.24144</v>
      </c>
      <c r="M48" s="4">
        <v>5</v>
      </c>
      <c r="N48" s="4" t="s">
        <v>480</v>
      </c>
      <c r="O48" s="4" t="s">
        <v>562</v>
      </c>
      <c r="Q48" s="4">
        <v>1</v>
      </c>
      <c r="R48" s="8"/>
      <c r="S48" s="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BR48" s="4">
        <v>1</v>
      </c>
      <c r="CW48" s="4" t="s">
        <v>483</v>
      </c>
      <c r="EZ48" s="98"/>
      <c r="FA48" s="98"/>
      <c r="FB48" s="98"/>
      <c r="FC48" s="98"/>
      <c r="FD48" s="98"/>
    </row>
    <row r="49" spans="2:160" ht="12.75">
      <c r="B49" s="83">
        <f t="shared" si="0"/>
        <v>0</v>
      </c>
      <c r="C49" s="83">
        <f t="shared" si="1"/>
      </c>
      <c r="D49" s="83">
        <f t="shared" si="2"/>
      </c>
      <c r="E49" s="83">
        <f t="shared" si="3"/>
        <v>0</v>
      </c>
      <c r="F49" s="83">
        <f t="shared" si="4"/>
        <v>0</v>
      </c>
      <c r="G49" s="83">
        <f t="shared" si="5"/>
      </c>
      <c r="H49" s="101">
        <f>IF(AND(M49&gt;0,M49&lt;=STATS!$C$22),1,"")</f>
        <v>1</v>
      </c>
      <c r="J49" s="22">
        <v>48</v>
      </c>
      <c r="K49" s="112">
        <v>46.09173</v>
      </c>
      <c r="L49" s="112">
        <v>-91.24083</v>
      </c>
      <c r="M49" s="4">
        <v>5</v>
      </c>
      <c r="N49" s="4" t="s">
        <v>480</v>
      </c>
      <c r="O49" s="4" t="s">
        <v>562</v>
      </c>
      <c r="R49" s="8"/>
      <c r="S49" s="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EZ49" s="98"/>
      <c r="FA49" s="98"/>
      <c r="FB49" s="98"/>
      <c r="FC49" s="98"/>
      <c r="FD49" s="98"/>
    </row>
    <row r="50" spans="2:160" ht="12.75">
      <c r="B50" s="83">
        <f t="shared" si="0"/>
        <v>0</v>
      </c>
      <c r="C50" s="83">
        <f t="shared" si="1"/>
      </c>
      <c r="D50" s="83">
        <f t="shared" si="2"/>
      </c>
      <c r="E50" s="83">
        <f t="shared" si="3"/>
        <v>0</v>
      </c>
      <c r="F50" s="83">
        <f t="shared" si="4"/>
        <v>0</v>
      </c>
      <c r="G50" s="83">
        <f t="shared" si="5"/>
      </c>
      <c r="H50" s="101">
        <f>IF(AND(M50&gt;0,M50&lt;=STATS!$C$22),1,"")</f>
        <v>1</v>
      </c>
      <c r="J50" s="22">
        <v>49</v>
      </c>
      <c r="K50" s="112">
        <v>46.09174</v>
      </c>
      <c r="L50" s="112">
        <v>-91.24022</v>
      </c>
      <c r="M50" s="4">
        <v>5</v>
      </c>
      <c r="N50" s="4" t="s">
        <v>482</v>
      </c>
      <c r="O50" s="4" t="s">
        <v>562</v>
      </c>
      <c r="R50" s="8"/>
      <c r="S50" s="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EZ50" s="98"/>
      <c r="FA50" s="98"/>
      <c r="FB50" s="98"/>
      <c r="FC50" s="98"/>
      <c r="FD50" s="98"/>
    </row>
    <row r="51" spans="2:160" ht="12.75">
      <c r="B51" s="83">
        <f t="shared" si="0"/>
        <v>0</v>
      </c>
      <c r="C51" s="83">
        <f t="shared" si="1"/>
      </c>
      <c r="D51" s="83">
        <f t="shared" si="2"/>
      </c>
      <c r="E51" s="83">
        <f t="shared" si="3"/>
        <v>0</v>
      </c>
      <c r="F51" s="83">
        <f t="shared" si="4"/>
        <v>0</v>
      </c>
      <c r="G51" s="83">
        <f t="shared" si="5"/>
      </c>
      <c r="H51" s="101">
        <f>IF(AND(M51&gt;0,M51&lt;=STATS!$C$22),1,"")</f>
        <v>1</v>
      </c>
      <c r="J51" s="22">
        <v>50</v>
      </c>
      <c r="K51" s="112">
        <v>46.09174</v>
      </c>
      <c r="L51" s="112">
        <v>-91.23961</v>
      </c>
      <c r="M51" s="4">
        <v>5.5</v>
      </c>
      <c r="N51" s="4" t="s">
        <v>480</v>
      </c>
      <c r="O51" s="4" t="s">
        <v>562</v>
      </c>
      <c r="R51" s="8"/>
      <c r="S51" s="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EZ51" s="98"/>
      <c r="FA51" s="98"/>
      <c r="FB51" s="98"/>
      <c r="FC51" s="98"/>
      <c r="FD51" s="98"/>
    </row>
    <row r="52" spans="2:160" ht="12.75">
      <c r="B52" s="83">
        <f t="shared" si="0"/>
        <v>0</v>
      </c>
      <c r="C52" s="83">
        <f t="shared" si="1"/>
      </c>
      <c r="D52" s="83">
        <f t="shared" si="2"/>
      </c>
      <c r="E52" s="83">
        <f t="shared" si="3"/>
        <v>0</v>
      </c>
      <c r="F52" s="83">
        <f t="shared" si="4"/>
        <v>0</v>
      </c>
      <c r="G52" s="83">
        <f t="shared" si="5"/>
      </c>
      <c r="H52" s="101">
        <f>IF(AND(M52&gt;0,M52&lt;=STATS!$C$22),1,"")</f>
        <v>1</v>
      </c>
      <c r="J52" s="22">
        <v>51</v>
      </c>
      <c r="K52" s="112">
        <v>46.09175</v>
      </c>
      <c r="L52" s="112">
        <v>-91.239</v>
      </c>
      <c r="M52" s="4">
        <v>4.5</v>
      </c>
      <c r="N52" s="4" t="s">
        <v>480</v>
      </c>
      <c r="O52" s="4" t="s">
        <v>562</v>
      </c>
      <c r="R52" s="8"/>
      <c r="S52" s="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EZ52" s="98"/>
      <c r="FA52" s="98"/>
      <c r="FB52" s="98"/>
      <c r="FC52" s="98"/>
      <c r="FD52" s="98"/>
    </row>
    <row r="53" spans="2:160" ht="12.75">
      <c r="B53" s="83">
        <f t="shared" si="0"/>
        <v>0</v>
      </c>
      <c r="C53" s="83">
        <f t="shared" si="1"/>
      </c>
      <c r="D53" s="83">
        <f t="shared" si="2"/>
      </c>
      <c r="E53" s="83">
        <f t="shared" si="3"/>
        <v>0</v>
      </c>
      <c r="F53" s="83">
        <f t="shared" si="4"/>
        <v>0</v>
      </c>
      <c r="G53" s="83">
        <f t="shared" si="5"/>
      </c>
      <c r="H53" s="101">
        <f>IF(AND(M53&gt;0,M53&lt;=STATS!$C$22),1,"")</f>
        <v>1</v>
      </c>
      <c r="J53" s="22">
        <v>52</v>
      </c>
      <c r="K53" s="112">
        <v>46.09176</v>
      </c>
      <c r="L53" s="112">
        <v>-91.2384</v>
      </c>
      <c r="M53" s="4">
        <v>4.5</v>
      </c>
      <c r="N53" s="4" t="s">
        <v>480</v>
      </c>
      <c r="O53" s="4" t="s">
        <v>562</v>
      </c>
      <c r="R53" s="8"/>
      <c r="S53" s="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CB53" s="4" t="s">
        <v>483</v>
      </c>
      <c r="EZ53" s="98"/>
      <c r="FA53" s="98"/>
      <c r="FB53" s="98"/>
      <c r="FC53" s="98"/>
      <c r="FD53" s="98"/>
    </row>
    <row r="54" spans="2:160" ht="12.75">
      <c r="B54" s="83">
        <f t="shared" si="0"/>
        <v>1</v>
      </c>
      <c r="C54" s="83">
        <f t="shared" si="1"/>
        <v>1</v>
      </c>
      <c r="D54" s="83">
        <f t="shared" si="2"/>
        <v>1</v>
      </c>
      <c r="E54" s="83">
        <f t="shared" si="3"/>
        <v>1</v>
      </c>
      <c r="F54" s="83">
        <f t="shared" si="4"/>
        <v>1</v>
      </c>
      <c r="G54" s="83">
        <f t="shared" si="5"/>
        <v>4</v>
      </c>
      <c r="H54" s="101">
        <f>IF(AND(M54&gt;0,M54&lt;=STATS!$C$22),1,"")</f>
        <v>1</v>
      </c>
      <c r="J54" s="22">
        <v>53</v>
      </c>
      <c r="K54" s="112">
        <v>46.09176</v>
      </c>
      <c r="L54" s="112">
        <v>-91.23779</v>
      </c>
      <c r="M54" s="4">
        <v>4</v>
      </c>
      <c r="N54" s="4" t="s">
        <v>480</v>
      </c>
      <c r="O54" s="4" t="s">
        <v>562</v>
      </c>
      <c r="Q54" s="4">
        <v>1</v>
      </c>
      <c r="R54" s="8"/>
      <c r="S54" s="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BR54" s="4">
        <v>1</v>
      </c>
      <c r="CB54" s="4" t="s">
        <v>483</v>
      </c>
      <c r="EZ54" s="98"/>
      <c r="FA54" s="98"/>
      <c r="FB54" s="98"/>
      <c r="FC54" s="98"/>
      <c r="FD54" s="98"/>
    </row>
    <row r="55" spans="2:160" ht="12.75">
      <c r="B55" s="83">
        <f t="shared" si="0"/>
        <v>1</v>
      </c>
      <c r="C55" s="83">
        <f t="shared" si="1"/>
        <v>1</v>
      </c>
      <c r="D55" s="83">
        <f t="shared" si="2"/>
        <v>1</v>
      </c>
      <c r="E55" s="83">
        <f t="shared" si="3"/>
        <v>1</v>
      </c>
      <c r="F55" s="83">
        <f t="shared" si="4"/>
        <v>1</v>
      </c>
      <c r="G55" s="83">
        <f t="shared" si="5"/>
        <v>4</v>
      </c>
      <c r="H55" s="101">
        <f>IF(AND(M55&gt;0,M55&lt;=STATS!$C$22),1,"")</f>
        <v>1</v>
      </c>
      <c r="J55" s="22">
        <v>54</v>
      </c>
      <c r="K55" s="112">
        <v>46.09177</v>
      </c>
      <c r="L55" s="112">
        <v>-91.23718</v>
      </c>
      <c r="M55" s="4">
        <v>4</v>
      </c>
      <c r="N55" s="4" t="s">
        <v>480</v>
      </c>
      <c r="O55" s="4" t="s">
        <v>562</v>
      </c>
      <c r="Q55" s="4">
        <v>1</v>
      </c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CI55" s="4" t="s">
        <v>483</v>
      </c>
      <c r="DA55" s="4">
        <v>1</v>
      </c>
      <c r="EZ55" s="98"/>
      <c r="FA55" s="98"/>
      <c r="FB55" s="98"/>
      <c r="FC55" s="98"/>
      <c r="FD55" s="98"/>
    </row>
    <row r="56" spans="2:160" ht="12.75">
      <c r="B56" s="83">
        <f t="shared" si="0"/>
        <v>1</v>
      </c>
      <c r="C56" s="83">
        <f t="shared" si="1"/>
        <v>1</v>
      </c>
      <c r="D56" s="83">
        <f t="shared" si="2"/>
        <v>1</v>
      </c>
      <c r="E56" s="83">
        <f t="shared" si="3"/>
        <v>1</v>
      </c>
      <c r="F56" s="83">
        <f t="shared" si="4"/>
        <v>1</v>
      </c>
      <c r="G56" s="83">
        <f t="shared" si="5"/>
        <v>3</v>
      </c>
      <c r="H56" s="101">
        <f>IF(AND(M56&gt;0,M56&lt;=STATS!$C$22),1,"")</f>
        <v>1</v>
      </c>
      <c r="J56" s="22">
        <v>55</v>
      </c>
      <c r="K56" s="112">
        <v>46.09178</v>
      </c>
      <c r="L56" s="112">
        <v>-91.23657</v>
      </c>
      <c r="M56" s="4">
        <v>3</v>
      </c>
      <c r="N56" s="4" t="s">
        <v>480</v>
      </c>
      <c r="O56" s="4" t="s">
        <v>562</v>
      </c>
      <c r="Q56" s="4">
        <v>1</v>
      </c>
      <c r="R56" s="8"/>
      <c r="S56" s="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CB56" s="4">
        <v>1</v>
      </c>
      <c r="EZ56" s="98"/>
      <c r="FA56" s="98"/>
      <c r="FB56" s="98"/>
      <c r="FC56" s="98"/>
      <c r="FD56" s="98"/>
    </row>
    <row r="57" spans="2:160" ht="12.75">
      <c r="B57" s="83">
        <f t="shared" si="0"/>
        <v>3</v>
      </c>
      <c r="C57" s="83">
        <f t="shared" si="1"/>
        <v>3</v>
      </c>
      <c r="D57" s="83">
        <f t="shared" si="2"/>
        <v>3</v>
      </c>
      <c r="E57" s="83">
        <f t="shared" si="3"/>
        <v>3</v>
      </c>
      <c r="F57" s="83">
        <f t="shared" si="4"/>
        <v>3</v>
      </c>
      <c r="G57" s="83">
        <f t="shared" si="5"/>
        <v>3</v>
      </c>
      <c r="H57" s="101">
        <f>IF(AND(M57&gt;0,M57&lt;=STATS!$C$22),1,"")</f>
        <v>1</v>
      </c>
      <c r="J57" s="22">
        <v>56</v>
      </c>
      <c r="K57" s="112">
        <v>46.09178</v>
      </c>
      <c r="L57" s="112">
        <v>-91.23597</v>
      </c>
      <c r="M57" s="4">
        <v>3</v>
      </c>
      <c r="N57" s="4" t="s">
        <v>481</v>
      </c>
      <c r="O57" s="4" t="s">
        <v>562</v>
      </c>
      <c r="Q57" s="4">
        <v>3</v>
      </c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>
        <v>1</v>
      </c>
      <c r="AH57" s="24"/>
      <c r="AT57" s="4">
        <v>1</v>
      </c>
      <c r="EQ57" s="4">
        <v>3</v>
      </c>
      <c r="EZ57" s="98"/>
      <c r="FA57" s="98"/>
      <c r="FB57" s="98"/>
      <c r="FC57" s="98"/>
      <c r="FD57" s="98"/>
    </row>
    <row r="58" spans="2:160" ht="12.75">
      <c r="B58" s="83">
        <f t="shared" si="0"/>
        <v>0</v>
      </c>
      <c r="C58" s="83">
        <f t="shared" si="1"/>
      </c>
      <c r="D58" s="83">
        <f t="shared" si="2"/>
      </c>
      <c r="E58" s="83">
        <f t="shared" si="3"/>
        <v>0</v>
      </c>
      <c r="F58" s="83">
        <f t="shared" si="4"/>
        <v>0</v>
      </c>
      <c r="G58" s="83">
        <f t="shared" si="5"/>
      </c>
      <c r="H58" s="101">
        <f>IF(AND(M58&gt;0,M58&lt;=STATS!$C$22),1,"")</f>
        <v>1</v>
      </c>
      <c r="J58" s="22">
        <v>57</v>
      </c>
      <c r="K58" s="112">
        <v>46.09213</v>
      </c>
      <c r="L58" s="112">
        <v>-91.24327</v>
      </c>
      <c r="M58" s="4">
        <v>3.5</v>
      </c>
      <c r="N58" s="4" t="s">
        <v>480</v>
      </c>
      <c r="O58" s="4" t="s">
        <v>562</v>
      </c>
      <c r="R58" s="8"/>
      <c r="S58" s="8"/>
      <c r="T58" s="24"/>
      <c r="U58" s="24"/>
      <c r="V58" s="24"/>
      <c r="W58" s="24"/>
      <c r="X58" s="24" t="s">
        <v>483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EZ58" s="98"/>
      <c r="FA58" s="98"/>
      <c r="FB58" s="98"/>
      <c r="FC58" s="98"/>
      <c r="FD58" s="98"/>
    </row>
    <row r="59" spans="2:160" ht="12.75">
      <c r="B59" s="83">
        <f t="shared" si="0"/>
        <v>0</v>
      </c>
      <c r="C59" s="83">
        <f t="shared" si="1"/>
      </c>
      <c r="D59" s="83">
        <f t="shared" si="2"/>
      </c>
      <c r="E59" s="83">
        <f t="shared" si="3"/>
        <v>0</v>
      </c>
      <c r="F59" s="83">
        <f t="shared" si="4"/>
        <v>0</v>
      </c>
      <c r="G59" s="83">
        <f t="shared" si="5"/>
      </c>
      <c r="H59" s="101">
        <f>IF(AND(M59&gt;0,M59&lt;=STATS!$C$22),1,"")</f>
        <v>1</v>
      </c>
      <c r="J59" s="22">
        <v>58</v>
      </c>
      <c r="K59" s="112">
        <v>46.09213</v>
      </c>
      <c r="L59" s="112">
        <v>-91.24266</v>
      </c>
      <c r="M59" s="4">
        <v>4.5</v>
      </c>
      <c r="N59" s="4" t="s">
        <v>480</v>
      </c>
      <c r="O59" s="4" t="s">
        <v>562</v>
      </c>
      <c r="R59" s="8"/>
      <c r="S59" s="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CI59" s="4" t="s">
        <v>483</v>
      </c>
      <c r="EZ59" s="98"/>
      <c r="FA59" s="98"/>
      <c r="FB59" s="98"/>
      <c r="FC59" s="98"/>
      <c r="FD59" s="98"/>
    </row>
    <row r="60" spans="2:160" ht="12.75">
      <c r="B60" s="83">
        <f t="shared" si="0"/>
        <v>1</v>
      </c>
      <c r="C60" s="83">
        <f t="shared" si="1"/>
        <v>1</v>
      </c>
      <c r="D60" s="83">
        <f t="shared" si="2"/>
        <v>1</v>
      </c>
      <c r="E60" s="83">
        <f t="shared" si="3"/>
        <v>1</v>
      </c>
      <c r="F60" s="83">
        <f t="shared" si="4"/>
        <v>1</v>
      </c>
      <c r="G60" s="83">
        <f t="shared" si="5"/>
        <v>5</v>
      </c>
      <c r="H60" s="101">
        <f>IF(AND(M60&gt;0,M60&lt;=STATS!$C$22),1,"")</f>
        <v>1</v>
      </c>
      <c r="J60" s="22">
        <v>59</v>
      </c>
      <c r="K60" s="112">
        <v>46.09214</v>
      </c>
      <c r="L60" s="112">
        <v>-91.24205</v>
      </c>
      <c r="M60" s="4">
        <v>5</v>
      </c>
      <c r="N60" s="4" t="s">
        <v>480</v>
      </c>
      <c r="O60" s="4" t="s">
        <v>562</v>
      </c>
      <c r="Q60" s="4">
        <v>1</v>
      </c>
      <c r="R60" s="8"/>
      <c r="S60" s="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CP60" s="4">
        <v>1</v>
      </c>
      <c r="EZ60" s="98"/>
      <c r="FA60" s="98"/>
      <c r="FB60" s="98"/>
      <c r="FC60" s="98"/>
      <c r="FD60" s="98"/>
    </row>
    <row r="61" spans="2:160" ht="12.75">
      <c r="B61" s="83">
        <f t="shared" si="0"/>
        <v>0</v>
      </c>
      <c r="C61" s="83">
        <f t="shared" si="1"/>
      </c>
      <c r="D61" s="83">
        <f t="shared" si="2"/>
      </c>
      <c r="E61" s="83">
        <f t="shared" si="3"/>
        <v>0</v>
      </c>
      <c r="F61" s="83">
        <f t="shared" si="4"/>
        <v>0</v>
      </c>
      <c r="G61" s="83">
        <f t="shared" si="5"/>
      </c>
      <c r="H61" s="101">
        <f>IF(AND(M61&gt;0,M61&lt;=STATS!$C$22),1,"")</f>
        <v>1</v>
      </c>
      <c r="J61" s="22">
        <v>60</v>
      </c>
      <c r="K61" s="112">
        <v>46.09215</v>
      </c>
      <c r="L61" s="112">
        <v>-91.24145</v>
      </c>
      <c r="M61" s="4">
        <v>5.5</v>
      </c>
      <c r="N61" s="4" t="s">
        <v>480</v>
      </c>
      <c r="O61" s="4" t="s">
        <v>562</v>
      </c>
      <c r="R61" s="8"/>
      <c r="S61" s="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EZ61" s="98"/>
      <c r="FA61" s="98"/>
      <c r="FB61" s="98"/>
      <c r="FC61" s="98"/>
      <c r="FD61" s="98"/>
    </row>
    <row r="62" spans="2:160" ht="12.75">
      <c r="B62" s="83">
        <f t="shared" si="0"/>
        <v>0</v>
      </c>
      <c r="C62" s="83">
        <f t="shared" si="1"/>
      </c>
      <c r="D62" s="83">
        <f t="shared" si="2"/>
      </c>
      <c r="E62" s="83">
        <f t="shared" si="3"/>
        <v>0</v>
      </c>
      <c r="F62" s="83">
        <f t="shared" si="4"/>
        <v>0</v>
      </c>
      <c r="G62" s="83">
        <f t="shared" si="5"/>
      </c>
      <c r="H62" s="101">
        <f>IF(AND(M62&gt;0,M62&lt;=STATS!$C$22),1,"")</f>
        <v>1</v>
      </c>
      <c r="J62" s="22">
        <v>61</v>
      </c>
      <c r="K62" s="112">
        <v>46.09215</v>
      </c>
      <c r="L62" s="112">
        <v>-91.24084</v>
      </c>
      <c r="M62" s="4">
        <v>5.5</v>
      </c>
      <c r="N62" s="4" t="s">
        <v>480</v>
      </c>
      <c r="O62" s="4" t="s">
        <v>562</v>
      </c>
      <c r="R62" s="8"/>
      <c r="S62" s="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EZ62" s="98"/>
      <c r="FA62" s="98"/>
      <c r="FB62" s="98"/>
      <c r="FC62" s="98"/>
      <c r="FD62" s="98"/>
    </row>
    <row r="63" spans="2:160" ht="12.75">
      <c r="B63" s="83">
        <f t="shared" si="0"/>
        <v>2</v>
      </c>
      <c r="C63" s="83">
        <f t="shared" si="1"/>
        <v>2</v>
      </c>
      <c r="D63" s="83">
        <f t="shared" si="2"/>
        <v>2</v>
      </c>
      <c r="E63" s="83">
        <f t="shared" si="3"/>
        <v>2</v>
      </c>
      <c r="F63" s="83">
        <f t="shared" si="4"/>
        <v>2</v>
      </c>
      <c r="G63" s="83">
        <f t="shared" si="5"/>
        <v>5</v>
      </c>
      <c r="H63" s="101">
        <f>IF(AND(M63&gt;0,M63&lt;=STATS!$C$22),1,"")</f>
        <v>1</v>
      </c>
      <c r="J63" s="22">
        <v>62</v>
      </c>
      <c r="K63" s="112">
        <v>46.09216</v>
      </c>
      <c r="L63" s="112">
        <v>-91.24023</v>
      </c>
      <c r="M63" s="4">
        <v>5</v>
      </c>
      <c r="N63" s="4" t="s">
        <v>480</v>
      </c>
      <c r="O63" s="4" t="s">
        <v>562</v>
      </c>
      <c r="Q63" s="4">
        <v>1</v>
      </c>
      <c r="R63" s="8"/>
      <c r="S63" s="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BR63" s="4">
        <v>1</v>
      </c>
      <c r="CP63" s="4">
        <v>1</v>
      </c>
      <c r="EZ63" s="98"/>
      <c r="FA63" s="98"/>
      <c r="FB63" s="98"/>
      <c r="FC63" s="98"/>
      <c r="FD63" s="98"/>
    </row>
    <row r="64" spans="2:160" ht="12.75">
      <c r="B64" s="83">
        <f t="shared" si="0"/>
        <v>0</v>
      </c>
      <c r="C64" s="83">
        <f t="shared" si="1"/>
      </c>
      <c r="D64" s="83">
        <f t="shared" si="2"/>
      </c>
      <c r="E64" s="83">
        <f t="shared" si="3"/>
        <v>0</v>
      </c>
      <c r="F64" s="83">
        <f t="shared" si="4"/>
        <v>0</v>
      </c>
      <c r="G64" s="83">
        <f t="shared" si="5"/>
      </c>
      <c r="H64" s="101">
        <f>IF(AND(M64&gt;0,M64&lt;=STATS!$C$22),1,"")</f>
        <v>1</v>
      </c>
      <c r="J64" s="22">
        <v>63</v>
      </c>
      <c r="K64" s="112">
        <v>46.09217</v>
      </c>
      <c r="L64" s="112">
        <v>-91.23962</v>
      </c>
      <c r="M64" s="4">
        <v>5.5</v>
      </c>
      <c r="N64" s="4" t="s">
        <v>480</v>
      </c>
      <c r="O64" s="4" t="s">
        <v>562</v>
      </c>
      <c r="R64" s="8"/>
      <c r="S64" s="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EZ64" s="98"/>
      <c r="FA64" s="98"/>
      <c r="FB64" s="98"/>
      <c r="FC64" s="98"/>
      <c r="FD64" s="98"/>
    </row>
    <row r="65" spans="2:160" ht="12.75">
      <c r="B65" s="83">
        <f t="shared" si="0"/>
        <v>0</v>
      </c>
      <c r="C65" s="83">
        <f t="shared" si="1"/>
      </c>
      <c r="D65" s="83">
        <f t="shared" si="2"/>
      </c>
      <c r="E65" s="83">
        <f t="shared" si="3"/>
        <v>0</v>
      </c>
      <c r="F65" s="83">
        <f t="shared" si="4"/>
        <v>0</v>
      </c>
      <c r="G65" s="83">
        <f t="shared" si="5"/>
      </c>
      <c r="H65" s="101">
        <f>IF(AND(M65&gt;0,M65&lt;=STATS!$C$22),1,"")</f>
        <v>1</v>
      </c>
      <c r="J65" s="22">
        <v>64</v>
      </c>
      <c r="K65" s="112">
        <v>46.09217</v>
      </c>
      <c r="L65" s="112">
        <v>-91.23901</v>
      </c>
      <c r="M65" s="4">
        <v>5</v>
      </c>
      <c r="N65" s="4" t="s">
        <v>480</v>
      </c>
      <c r="O65" s="4" t="s">
        <v>562</v>
      </c>
      <c r="R65" s="8"/>
      <c r="S65" s="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EZ65" s="98"/>
      <c r="FA65" s="98"/>
      <c r="FB65" s="98"/>
      <c r="FC65" s="98"/>
      <c r="FD65" s="98"/>
    </row>
    <row r="66" spans="2:160" ht="12.75">
      <c r="B66" s="83">
        <f aca="true" t="shared" si="6" ref="B66:B129">COUNT(R66:EY66,FE66:FM66)</f>
        <v>0</v>
      </c>
      <c r="C66" s="83">
        <f aca="true" t="shared" si="7" ref="C66:C129">IF(COUNT(R66:EY66,FE66:FM66)&gt;0,COUNT(R66:EY66,FE66:FM66),"")</f>
      </c>
      <c r="D66" s="83">
        <f aca="true" t="shared" si="8" ref="D66:D129">IF(COUNT(T66:BJ66,BL66:BT66,BV66:CB66,CD66:EY66,FE66:FM66)&gt;0,COUNT(T66:BJ66,BL66:BT66,BV66:CB66,CD66:EY66,FE66:FM66),"")</f>
      </c>
      <c r="E66" s="83">
        <f aca="true" t="shared" si="9" ref="E66:E129">IF(H66=1,COUNT(R66:EY66,FE66:FM66),"")</f>
        <v>0</v>
      </c>
      <c r="F66" s="83">
        <f aca="true" t="shared" si="10" ref="F66:F129">IF(H66=1,COUNT(T66:BJ66,BL66:BT66,BV66:CB66,CD66:EY66,FE66:FM66),"")</f>
        <v>0</v>
      </c>
      <c r="G66" s="83">
        <f aca="true" t="shared" si="11" ref="G66:G129">IF($B66&gt;=1,$M66,"")</f>
      </c>
      <c r="H66" s="101">
        <f>IF(AND(M66&gt;0,M66&lt;=STATS!$C$22),1,"")</f>
        <v>1</v>
      </c>
      <c r="J66" s="22">
        <v>65</v>
      </c>
      <c r="K66" s="112">
        <v>46.09218</v>
      </c>
      <c r="L66" s="112">
        <v>-91.23841</v>
      </c>
      <c r="M66" s="4">
        <v>4.5</v>
      </c>
      <c r="N66" s="4" t="s">
        <v>480</v>
      </c>
      <c r="O66" s="4" t="s">
        <v>562</v>
      </c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EZ66" s="98"/>
      <c r="FA66" s="98"/>
      <c r="FB66" s="98"/>
      <c r="FC66" s="98"/>
      <c r="FD66" s="98"/>
    </row>
    <row r="67" spans="2:160" ht="12.75">
      <c r="B67" s="83">
        <f t="shared" si="6"/>
        <v>0</v>
      </c>
      <c r="C67" s="83">
        <f t="shared" si="7"/>
      </c>
      <c r="D67" s="83">
        <f t="shared" si="8"/>
      </c>
      <c r="E67" s="83">
        <f t="shared" si="9"/>
        <v>0</v>
      </c>
      <c r="F67" s="83">
        <f t="shared" si="10"/>
        <v>0</v>
      </c>
      <c r="G67" s="83">
        <f t="shared" si="11"/>
      </c>
      <c r="H67" s="101">
        <f>IF(AND(M67&gt;0,M67&lt;=STATS!$C$22),1,"")</f>
        <v>1</v>
      </c>
      <c r="J67" s="22">
        <v>66</v>
      </c>
      <c r="K67" s="112">
        <v>46.09219</v>
      </c>
      <c r="L67" s="112">
        <v>-91.2378</v>
      </c>
      <c r="M67" s="4">
        <v>5</v>
      </c>
      <c r="N67" s="4" t="s">
        <v>480</v>
      </c>
      <c r="O67" s="4" t="s">
        <v>562</v>
      </c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EZ67" s="98"/>
      <c r="FA67" s="98"/>
      <c r="FB67" s="98"/>
      <c r="FC67" s="98"/>
      <c r="FD67" s="98"/>
    </row>
    <row r="68" spans="2:160" ht="12.75">
      <c r="B68" s="83">
        <f t="shared" si="6"/>
        <v>0</v>
      </c>
      <c r="C68" s="83">
        <f t="shared" si="7"/>
      </c>
      <c r="D68" s="83">
        <f t="shared" si="8"/>
      </c>
      <c r="E68" s="83">
        <f t="shared" si="9"/>
        <v>0</v>
      </c>
      <c r="F68" s="83">
        <f t="shared" si="10"/>
        <v>0</v>
      </c>
      <c r="G68" s="83">
        <f t="shared" si="11"/>
      </c>
      <c r="H68" s="101">
        <f>IF(AND(M68&gt;0,M68&lt;=STATS!$C$22),1,"")</f>
        <v>1</v>
      </c>
      <c r="J68" s="22">
        <v>67</v>
      </c>
      <c r="K68" s="112">
        <v>46.09219</v>
      </c>
      <c r="L68" s="112">
        <v>-91.23719</v>
      </c>
      <c r="M68" s="4">
        <v>4</v>
      </c>
      <c r="N68" s="4" t="s">
        <v>482</v>
      </c>
      <c r="O68" s="4" t="s">
        <v>562</v>
      </c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EZ68" s="98"/>
      <c r="FA68" s="98"/>
      <c r="FB68" s="98"/>
      <c r="FC68" s="98"/>
      <c r="FD68" s="98"/>
    </row>
    <row r="69" spans="2:160" ht="12.75">
      <c r="B69" s="83">
        <f t="shared" si="6"/>
        <v>0</v>
      </c>
      <c r="C69" s="83">
        <f t="shared" si="7"/>
      </c>
      <c r="D69" s="83">
        <f t="shared" si="8"/>
      </c>
      <c r="E69" s="83">
        <f t="shared" si="9"/>
        <v>0</v>
      </c>
      <c r="F69" s="83">
        <f t="shared" si="10"/>
        <v>0</v>
      </c>
      <c r="G69" s="83">
        <f t="shared" si="11"/>
      </c>
      <c r="H69" s="101">
        <f>IF(AND(M69&gt;0,M69&lt;=STATS!$C$22),1,"")</f>
        <v>1</v>
      </c>
      <c r="J69" s="22">
        <v>68</v>
      </c>
      <c r="K69" s="112">
        <v>46.0922</v>
      </c>
      <c r="L69" s="112">
        <v>-91.23658</v>
      </c>
      <c r="M69" s="4">
        <v>4</v>
      </c>
      <c r="N69" s="4" t="s">
        <v>480</v>
      </c>
      <c r="O69" s="4" t="s">
        <v>562</v>
      </c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EZ69" s="98"/>
      <c r="FA69" s="98"/>
      <c r="FB69" s="98"/>
      <c r="FC69" s="98"/>
      <c r="FD69" s="98"/>
    </row>
    <row r="70" spans="2:160" ht="12.75">
      <c r="B70" s="83">
        <f t="shared" si="6"/>
        <v>2</v>
      </c>
      <c r="C70" s="83">
        <f t="shared" si="7"/>
        <v>2</v>
      </c>
      <c r="D70" s="83">
        <f t="shared" si="8"/>
        <v>2</v>
      </c>
      <c r="E70" s="83">
        <f t="shared" si="9"/>
        <v>2</v>
      </c>
      <c r="F70" s="83">
        <f t="shared" si="10"/>
        <v>2</v>
      </c>
      <c r="G70" s="83">
        <f t="shared" si="11"/>
        <v>4</v>
      </c>
      <c r="H70" s="101">
        <f>IF(AND(M70&gt;0,M70&lt;=STATS!$C$22),1,"")</f>
        <v>1</v>
      </c>
      <c r="J70" s="22">
        <v>69</v>
      </c>
      <c r="K70" s="112">
        <v>46.09221</v>
      </c>
      <c r="L70" s="112">
        <v>-91.23597</v>
      </c>
      <c r="M70" s="4">
        <v>4</v>
      </c>
      <c r="N70" s="4" t="s">
        <v>480</v>
      </c>
      <c r="O70" s="4" t="s">
        <v>562</v>
      </c>
      <c r="Q70" s="4">
        <v>1</v>
      </c>
      <c r="R70" s="8"/>
      <c r="S70" s="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CB70" s="4">
        <v>1</v>
      </c>
      <c r="DK70" s="4">
        <v>1</v>
      </c>
      <c r="EZ70" s="98"/>
      <c r="FA70" s="98"/>
      <c r="FB70" s="98"/>
      <c r="FC70" s="98"/>
      <c r="FD70" s="98"/>
    </row>
    <row r="71" spans="2:160" ht="12.75">
      <c r="B71" s="83">
        <f t="shared" si="6"/>
        <v>2</v>
      </c>
      <c r="C71" s="83">
        <f t="shared" si="7"/>
        <v>2</v>
      </c>
      <c r="D71" s="83">
        <f t="shared" si="8"/>
        <v>2</v>
      </c>
      <c r="E71" s="83">
        <f t="shared" si="9"/>
        <v>2</v>
      </c>
      <c r="F71" s="83">
        <f t="shared" si="10"/>
        <v>2</v>
      </c>
      <c r="G71" s="83">
        <f t="shared" si="11"/>
        <v>3.5</v>
      </c>
      <c r="H71" s="101">
        <f>IF(AND(M71&gt;0,M71&lt;=STATS!$C$22),1,"")</f>
        <v>1</v>
      </c>
      <c r="J71" s="22">
        <v>70</v>
      </c>
      <c r="K71" s="112">
        <v>46.09255</v>
      </c>
      <c r="L71" s="112">
        <v>-91.24328</v>
      </c>
      <c r="M71" s="4">
        <v>3.5</v>
      </c>
      <c r="N71" s="4" t="s">
        <v>480</v>
      </c>
      <c r="O71" s="4" t="s">
        <v>562</v>
      </c>
      <c r="Q71" s="4">
        <v>2</v>
      </c>
      <c r="R71" s="8"/>
      <c r="S71" s="8"/>
      <c r="T71" s="24"/>
      <c r="U71" s="24"/>
      <c r="V71" s="24"/>
      <c r="W71" s="24"/>
      <c r="X71" s="24" t="s">
        <v>483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BR71" s="4">
        <v>2</v>
      </c>
      <c r="CA71" s="4">
        <v>2</v>
      </c>
      <c r="EZ71" s="98"/>
      <c r="FA71" s="98"/>
      <c r="FB71" s="98"/>
      <c r="FC71" s="98"/>
      <c r="FD71" s="98"/>
    </row>
    <row r="72" spans="2:160" ht="12.75">
      <c r="B72" s="83">
        <f t="shared" si="6"/>
        <v>0</v>
      </c>
      <c r="C72" s="83">
        <f t="shared" si="7"/>
      </c>
      <c r="D72" s="83">
        <f t="shared" si="8"/>
      </c>
      <c r="E72" s="83">
        <f t="shared" si="9"/>
        <v>0</v>
      </c>
      <c r="F72" s="83">
        <f t="shared" si="10"/>
        <v>0</v>
      </c>
      <c r="G72" s="83">
        <f t="shared" si="11"/>
      </c>
      <c r="H72" s="101">
        <f>IF(AND(M72&gt;0,M72&lt;=STATS!$C$22),1,"")</f>
        <v>1</v>
      </c>
      <c r="J72" s="22">
        <v>71</v>
      </c>
      <c r="K72" s="112">
        <v>46.09256</v>
      </c>
      <c r="L72" s="112">
        <v>-91.24267</v>
      </c>
      <c r="M72" s="4">
        <v>5</v>
      </c>
      <c r="N72" s="4" t="s">
        <v>480</v>
      </c>
      <c r="O72" s="4" t="s">
        <v>562</v>
      </c>
      <c r="R72" s="8"/>
      <c r="S72" s="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EZ72" s="98"/>
      <c r="FA72" s="98"/>
      <c r="FB72" s="98"/>
      <c r="FC72" s="98"/>
      <c r="FD72" s="98"/>
    </row>
    <row r="73" spans="2:160" ht="12.75">
      <c r="B73" s="83">
        <f t="shared" si="6"/>
        <v>2</v>
      </c>
      <c r="C73" s="83">
        <f t="shared" si="7"/>
        <v>2</v>
      </c>
      <c r="D73" s="83">
        <f t="shared" si="8"/>
        <v>2</v>
      </c>
      <c r="E73" s="83">
        <f t="shared" si="9"/>
        <v>2</v>
      </c>
      <c r="F73" s="83">
        <f t="shared" si="10"/>
        <v>2</v>
      </c>
      <c r="G73" s="83">
        <f t="shared" si="11"/>
        <v>5.5</v>
      </c>
      <c r="H73" s="101">
        <f>IF(AND(M73&gt;0,M73&lt;=STATS!$C$22),1,"")</f>
        <v>1</v>
      </c>
      <c r="J73" s="22">
        <v>72</v>
      </c>
      <c r="K73" s="112">
        <v>46.09256</v>
      </c>
      <c r="L73" s="112">
        <v>-91.24206</v>
      </c>
      <c r="M73" s="4">
        <v>5.5</v>
      </c>
      <c r="N73" s="4" t="s">
        <v>480</v>
      </c>
      <c r="O73" s="4" t="s">
        <v>562</v>
      </c>
      <c r="Q73" s="4">
        <v>1</v>
      </c>
      <c r="R73" s="8"/>
      <c r="S73" s="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BR73" s="4">
        <v>1</v>
      </c>
      <c r="CI73" s="4">
        <v>1</v>
      </c>
      <c r="EZ73" s="98"/>
      <c r="FA73" s="98"/>
      <c r="FB73" s="98"/>
      <c r="FC73" s="98"/>
      <c r="FD73" s="98"/>
    </row>
    <row r="74" spans="2:160" ht="12.75">
      <c r="B74" s="83">
        <f t="shared" si="6"/>
        <v>0</v>
      </c>
      <c r="C74" s="83">
        <f t="shared" si="7"/>
      </c>
      <c r="D74" s="83">
        <f t="shared" si="8"/>
      </c>
      <c r="E74" s="83">
        <f t="shared" si="9"/>
        <v>0</v>
      </c>
      <c r="F74" s="83">
        <f t="shared" si="10"/>
        <v>0</v>
      </c>
      <c r="G74" s="83">
        <f t="shared" si="11"/>
      </c>
      <c r="H74" s="101">
        <f>IF(AND(M74&gt;0,M74&lt;=STATS!$C$22),1,"")</f>
        <v>1</v>
      </c>
      <c r="J74" s="22">
        <v>73</v>
      </c>
      <c r="K74" s="112">
        <v>46.09257</v>
      </c>
      <c r="L74" s="112">
        <v>-91.24145</v>
      </c>
      <c r="M74" s="4">
        <v>5.5</v>
      </c>
      <c r="N74" s="4" t="s">
        <v>480</v>
      </c>
      <c r="O74" s="4" t="s">
        <v>562</v>
      </c>
      <c r="R74" s="8"/>
      <c r="S74" s="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EZ74" s="98"/>
      <c r="FA74" s="98"/>
      <c r="FB74" s="98"/>
      <c r="FC74" s="98"/>
      <c r="FD74" s="98"/>
    </row>
    <row r="75" spans="2:160" ht="12.75">
      <c r="B75" s="83">
        <f t="shared" si="6"/>
        <v>1</v>
      </c>
      <c r="C75" s="83">
        <f t="shared" si="7"/>
        <v>1</v>
      </c>
      <c r="D75" s="83">
        <f t="shared" si="8"/>
        <v>1</v>
      </c>
      <c r="E75" s="83">
        <f t="shared" si="9"/>
        <v>1</v>
      </c>
      <c r="F75" s="83">
        <f t="shared" si="10"/>
        <v>1</v>
      </c>
      <c r="G75" s="83">
        <f t="shared" si="11"/>
        <v>5</v>
      </c>
      <c r="H75" s="101">
        <f>IF(AND(M75&gt;0,M75&lt;=STATS!$C$22),1,"")</f>
        <v>1</v>
      </c>
      <c r="J75" s="22">
        <v>74</v>
      </c>
      <c r="K75" s="112">
        <v>46.09258</v>
      </c>
      <c r="L75" s="112">
        <v>-91.24085</v>
      </c>
      <c r="M75" s="4">
        <v>5</v>
      </c>
      <c r="N75" s="4" t="s">
        <v>480</v>
      </c>
      <c r="O75" s="4" t="s">
        <v>562</v>
      </c>
      <c r="Q75" s="4">
        <v>2</v>
      </c>
      <c r="R75" s="8"/>
      <c r="S75" s="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BR75" s="4">
        <v>2</v>
      </c>
      <c r="EZ75" s="98"/>
      <c r="FA75" s="98"/>
      <c r="FB75" s="98"/>
      <c r="FC75" s="98"/>
      <c r="FD75" s="98"/>
    </row>
    <row r="76" spans="2:160" ht="12.75">
      <c r="B76" s="83">
        <f t="shared" si="6"/>
        <v>1</v>
      </c>
      <c r="C76" s="83">
        <f t="shared" si="7"/>
        <v>1</v>
      </c>
      <c r="D76" s="83">
        <f t="shared" si="8"/>
        <v>1</v>
      </c>
      <c r="E76" s="83">
        <f t="shared" si="9"/>
        <v>1</v>
      </c>
      <c r="F76" s="83">
        <f t="shared" si="10"/>
        <v>1</v>
      </c>
      <c r="G76" s="83">
        <f t="shared" si="11"/>
        <v>5</v>
      </c>
      <c r="H76" s="101">
        <f>IF(AND(M76&gt;0,M76&lt;=STATS!$C$22),1,"")</f>
        <v>1</v>
      </c>
      <c r="J76" s="22">
        <v>75</v>
      </c>
      <c r="K76" s="112">
        <v>46.09258</v>
      </c>
      <c r="L76" s="112">
        <v>-91.24024</v>
      </c>
      <c r="M76" s="4">
        <v>5</v>
      </c>
      <c r="N76" s="4" t="s">
        <v>480</v>
      </c>
      <c r="O76" s="4" t="s">
        <v>562</v>
      </c>
      <c r="Q76" s="4">
        <v>1</v>
      </c>
      <c r="R76" s="8"/>
      <c r="S76" s="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BR76" s="4">
        <v>1</v>
      </c>
      <c r="EZ76" s="98"/>
      <c r="FA76" s="98"/>
      <c r="FB76" s="98"/>
      <c r="FC76" s="98"/>
      <c r="FD76" s="98"/>
    </row>
    <row r="77" spans="2:160" ht="12.75">
      <c r="B77" s="83">
        <f t="shared" si="6"/>
        <v>1</v>
      </c>
      <c r="C77" s="83">
        <f t="shared" si="7"/>
        <v>1</v>
      </c>
      <c r="D77" s="83">
        <f t="shared" si="8"/>
        <v>1</v>
      </c>
      <c r="E77" s="83">
        <f t="shared" si="9"/>
        <v>1</v>
      </c>
      <c r="F77" s="83">
        <f t="shared" si="10"/>
        <v>1</v>
      </c>
      <c r="G77" s="83">
        <f t="shared" si="11"/>
        <v>5.5</v>
      </c>
      <c r="H77" s="101">
        <f>IF(AND(M77&gt;0,M77&lt;=STATS!$C$22),1,"")</f>
        <v>1</v>
      </c>
      <c r="J77" s="22">
        <v>76</v>
      </c>
      <c r="K77" s="112">
        <v>46.09259</v>
      </c>
      <c r="L77" s="112">
        <v>-91.23963</v>
      </c>
      <c r="M77" s="4">
        <v>5.5</v>
      </c>
      <c r="N77" s="4" t="s">
        <v>480</v>
      </c>
      <c r="O77" s="4" t="s">
        <v>562</v>
      </c>
      <c r="Q77" s="4">
        <v>1</v>
      </c>
      <c r="R77" s="8"/>
      <c r="S77" s="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BR77" s="4">
        <v>1</v>
      </c>
      <c r="EZ77" s="98"/>
      <c r="FA77" s="98"/>
      <c r="FB77" s="98"/>
      <c r="FC77" s="98"/>
      <c r="FD77" s="98"/>
    </row>
    <row r="78" spans="2:160" ht="12.75">
      <c r="B78" s="83">
        <f t="shared" si="6"/>
        <v>2</v>
      </c>
      <c r="C78" s="83">
        <f t="shared" si="7"/>
        <v>2</v>
      </c>
      <c r="D78" s="83">
        <f t="shared" si="8"/>
        <v>2</v>
      </c>
      <c r="E78" s="83">
        <f t="shared" si="9"/>
        <v>2</v>
      </c>
      <c r="F78" s="83">
        <f t="shared" si="10"/>
        <v>2</v>
      </c>
      <c r="G78" s="83">
        <f t="shared" si="11"/>
        <v>5.5</v>
      </c>
      <c r="H78" s="101">
        <f>IF(AND(M78&gt;0,M78&lt;=STATS!$C$22),1,"")</f>
        <v>1</v>
      </c>
      <c r="J78" s="22">
        <v>77</v>
      </c>
      <c r="K78" s="112">
        <v>46.0926</v>
      </c>
      <c r="L78" s="112">
        <v>-91.23902</v>
      </c>
      <c r="M78" s="4">
        <v>5.5</v>
      </c>
      <c r="N78" s="4" t="s">
        <v>480</v>
      </c>
      <c r="O78" s="4" t="s">
        <v>562</v>
      </c>
      <c r="Q78" s="4">
        <v>1</v>
      </c>
      <c r="R78" s="8"/>
      <c r="S78" s="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BR78" s="4">
        <v>1</v>
      </c>
      <c r="CB78" s="4" t="s">
        <v>483</v>
      </c>
      <c r="CI78" s="4" t="s">
        <v>483</v>
      </c>
      <c r="DK78" s="4">
        <v>1</v>
      </c>
      <c r="EZ78" s="98"/>
      <c r="FA78" s="98"/>
      <c r="FB78" s="98"/>
      <c r="FC78" s="98"/>
      <c r="FD78" s="98"/>
    </row>
    <row r="79" spans="2:160" ht="12.75">
      <c r="B79" s="83">
        <f t="shared" si="6"/>
        <v>2</v>
      </c>
      <c r="C79" s="83">
        <f t="shared" si="7"/>
        <v>2</v>
      </c>
      <c r="D79" s="83">
        <f t="shared" si="8"/>
        <v>2</v>
      </c>
      <c r="E79" s="83">
        <f t="shared" si="9"/>
        <v>2</v>
      </c>
      <c r="F79" s="83">
        <f t="shared" si="10"/>
        <v>2</v>
      </c>
      <c r="G79" s="83">
        <f t="shared" si="11"/>
        <v>5</v>
      </c>
      <c r="H79" s="101">
        <f>IF(AND(M79&gt;0,M79&lt;=STATS!$C$22),1,"")</f>
        <v>1</v>
      </c>
      <c r="J79" s="22">
        <v>78</v>
      </c>
      <c r="K79" s="112">
        <v>46.0926</v>
      </c>
      <c r="L79" s="112">
        <v>-91.23842</v>
      </c>
      <c r="M79" s="4">
        <v>5</v>
      </c>
      <c r="N79" s="4" t="s">
        <v>480</v>
      </c>
      <c r="O79" s="4" t="s">
        <v>562</v>
      </c>
      <c r="Q79" s="4">
        <v>1</v>
      </c>
      <c r="R79" s="8"/>
      <c r="S79" s="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BR79" s="4">
        <v>1</v>
      </c>
      <c r="DK79" s="4">
        <v>1</v>
      </c>
      <c r="EZ79" s="98"/>
      <c r="FA79" s="98"/>
      <c r="FB79" s="98"/>
      <c r="FC79" s="98"/>
      <c r="FD79" s="98"/>
    </row>
    <row r="80" spans="2:160" ht="12.75">
      <c r="B80" s="83">
        <f t="shared" si="6"/>
        <v>2</v>
      </c>
      <c r="C80" s="83">
        <f t="shared" si="7"/>
        <v>2</v>
      </c>
      <c r="D80" s="83">
        <f t="shared" si="8"/>
        <v>2</v>
      </c>
      <c r="E80" s="83">
        <f t="shared" si="9"/>
        <v>2</v>
      </c>
      <c r="F80" s="83">
        <f t="shared" si="10"/>
        <v>2</v>
      </c>
      <c r="G80" s="83">
        <f t="shared" si="11"/>
        <v>5</v>
      </c>
      <c r="H80" s="101">
        <f>IF(AND(M80&gt;0,M80&lt;=STATS!$C$22),1,"")</f>
        <v>1</v>
      </c>
      <c r="J80" s="22">
        <v>79</v>
      </c>
      <c r="K80" s="112">
        <v>46.09261</v>
      </c>
      <c r="L80" s="112">
        <v>-91.23781</v>
      </c>
      <c r="M80" s="4">
        <v>5</v>
      </c>
      <c r="N80" s="4" t="s">
        <v>480</v>
      </c>
      <c r="O80" s="4" t="s">
        <v>562</v>
      </c>
      <c r="Q80" s="4">
        <v>1</v>
      </c>
      <c r="R80" s="8"/>
      <c r="S80" s="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BR80" s="4">
        <v>1</v>
      </c>
      <c r="DK80" s="4">
        <v>1</v>
      </c>
      <c r="EZ80" s="98"/>
      <c r="FA80" s="98"/>
      <c r="FB80" s="98"/>
      <c r="FC80" s="98"/>
      <c r="FD80" s="98"/>
    </row>
    <row r="81" spans="2:160" ht="12.75">
      <c r="B81" s="83">
        <f t="shared" si="6"/>
        <v>0</v>
      </c>
      <c r="C81" s="83">
        <f t="shared" si="7"/>
      </c>
      <c r="D81" s="83">
        <f t="shared" si="8"/>
      </c>
      <c r="E81" s="83">
        <f t="shared" si="9"/>
        <v>0</v>
      </c>
      <c r="F81" s="83">
        <f t="shared" si="10"/>
        <v>0</v>
      </c>
      <c r="G81" s="83">
        <f t="shared" si="11"/>
      </c>
      <c r="H81" s="101">
        <f>IF(AND(M81&gt;0,M81&lt;=STATS!$C$22),1,"")</f>
        <v>1</v>
      </c>
      <c r="J81" s="22">
        <v>80</v>
      </c>
      <c r="K81" s="112">
        <v>46.09262</v>
      </c>
      <c r="L81" s="112">
        <v>-91.2372</v>
      </c>
      <c r="M81" s="4">
        <v>5</v>
      </c>
      <c r="N81" s="4" t="s">
        <v>480</v>
      </c>
      <c r="O81" s="4" t="s">
        <v>562</v>
      </c>
      <c r="R81" s="8"/>
      <c r="S81" s="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EZ81" s="98"/>
      <c r="FA81" s="98"/>
      <c r="FB81" s="98"/>
      <c r="FC81" s="98"/>
      <c r="FD81" s="98"/>
    </row>
    <row r="82" spans="2:160" ht="12.75">
      <c r="B82" s="83">
        <f t="shared" si="6"/>
        <v>0</v>
      </c>
      <c r="C82" s="83">
        <f t="shared" si="7"/>
      </c>
      <c r="D82" s="83">
        <f t="shared" si="8"/>
      </c>
      <c r="E82" s="83">
        <f t="shared" si="9"/>
        <v>0</v>
      </c>
      <c r="F82" s="83">
        <f t="shared" si="10"/>
        <v>0</v>
      </c>
      <c r="G82" s="83">
        <f t="shared" si="11"/>
      </c>
      <c r="H82" s="101">
        <f>IF(AND(M82&gt;0,M82&lt;=STATS!$C$22),1,"")</f>
        <v>1</v>
      </c>
      <c r="J82" s="22">
        <v>81</v>
      </c>
      <c r="K82" s="112">
        <v>46.09262</v>
      </c>
      <c r="L82" s="112">
        <v>-91.23659</v>
      </c>
      <c r="M82" s="4">
        <v>4.5</v>
      </c>
      <c r="N82" s="4" t="s">
        <v>480</v>
      </c>
      <c r="O82" s="4" t="s">
        <v>562</v>
      </c>
      <c r="R82" s="8"/>
      <c r="S82" s="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EZ82" s="98"/>
      <c r="FA82" s="98"/>
      <c r="FB82" s="98"/>
      <c r="FC82" s="98"/>
      <c r="FD82" s="98"/>
    </row>
    <row r="83" spans="2:160" ht="12.75">
      <c r="B83" s="83">
        <f t="shared" si="6"/>
        <v>0</v>
      </c>
      <c r="C83" s="83">
        <f t="shared" si="7"/>
      </c>
      <c r="D83" s="83">
        <f t="shared" si="8"/>
      </c>
      <c r="E83" s="83">
        <f t="shared" si="9"/>
        <v>0</v>
      </c>
      <c r="F83" s="83">
        <f t="shared" si="10"/>
        <v>0</v>
      </c>
      <c r="G83" s="83">
        <f t="shared" si="11"/>
      </c>
      <c r="H83" s="101">
        <f>IF(AND(M83&gt;0,M83&lt;=STATS!$C$22),1,"")</f>
        <v>1</v>
      </c>
      <c r="J83" s="22">
        <v>82</v>
      </c>
      <c r="K83" s="112">
        <v>46.09263</v>
      </c>
      <c r="L83" s="112">
        <v>-91.23598</v>
      </c>
      <c r="M83" s="4">
        <v>4</v>
      </c>
      <c r="N83" s="4" t="s">
        <v>480</v>
      </c>
      <c r="O83" s="4" t="s">
        <v>562</v>
      </c>
      <c r="R83" s="8"/>
      <c r="S83" s="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EZ83" s="98"/>
      <c r="FA83" s="98"/>
      <c r="FB83" s="98"/>
      <c r="FC83" s="98"/>
      <c r="FD83" s="98"/>
    </row>
    <row r="84" spans="2:160" ht="12.75">
      <c r="B84" s="83">
        <f t="shared" si="6"/>
        <v>0</v>
      </c>
      <c r="C84" s="83">
        <f t="shared" si="7"/>
      </c>
      <c r="D84" s="83">
        <f t="shared" si="8"/>
      </c>
      <c r="E84" s="83">
        <f t="shared" si="9"/>
        <v>0</v>
      </c>
      <c r="F84" s="83">
        <f t="shared" si="10"/>
        <v>0</v>
      </c>
      <c r="G84" s="83">
        <f t="shared" si="11"/>
      </c>
      <c r="H84" s="101">
        <f>IF(AND(M84&gt;0,M84&lt;=STATS!$C$22),1,"")</f>
        <v>1</v>
      </c>
      <c r="J84" s="22">
        <v>83</v>
      </c>
      <c r="K84" s="112">
        <v>46.09264</v>
      </c>
      <c r="L84" s="112">
        <v>-91.23538</v>
      </c>
      <c r="M84" s="4">
        <v>5</v>
      </c>
      <c r="N84" s="4" t="s">
        <v>480</v>
      </c>
      <c r="O84" s="4" t="s">
        <v>562</v>
      </c>
      <c r="R84" s="8"/>
      <c r="S84" s="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CI84" s="4" t="s">
        <v>483</v>
      </c>
      <c r="EZ84" s="98"/>
      <c r="FA84" s="98"/>
      <c r="FB84" s="98"/>
      <c r="FC84" s="98"/>
      <c r="FD84" s="98"/>
    </row>
    <row r="85" spans="2:160" ht="12.75">
      <c r="B85" s="83">
        <f t="shared" si="6"/>
        <v>1</v>
      </c>
      <c r="C85" s="83">
        <f t="shared" si="7"/>
        <v>1</v>
      </c>
      <c r="D85" s="83">
        <f t="shared" si="8"/>
        <v>1</v>
      </c>
      <c r="E85" s="83">
        <f t="shared" si="9"/>
        <v>1</v>
      </c>
      <c r="F85" s="83">
        <f t="shared" si="10"/>
        <v>1</v>
      </c>
      <c r="G85" s="83">
        <f t="shared" si="11"/>
        <v>3</v>
      </c>
      <c r="H85" s="101">
        <f>IF(AND(M85&gt;0,M85&lt;=STATS!$C$22),1,"")</f>
        <v>1</v>
      </c>
      <c r="J85" s="22">
        <v>84</v>
      </c>
      <c r="K85" s="112">
        <v>46.09265</v>
      </c>
      <c r="L85" s="112">
        <v>-91.23416</v>
      </c>
      <c r="M85" s="4">
        <v>3</v>
      </c>
      <c r="N85" s="4" t="s">
        <v>480</v>
      </c>
      <c r="O85" s="4" t="s">
        <v>562</v>
      </c>
      <c r="Q85" s="4">
        <v>1</v>
      </c>
      <c r="R85" s="8"/>
      <c r="S85" s="8"/>
      <c r="T85" s="24"/>
      <c r="U85" s="24"/>
      <c r="V85" s="24"/>
      <c r="W85" s="24"/>
      <c r="X85" s="24" t="s">
        <v>483</v>
      </c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CB85" s="4">
        <v>1</v>
      </c>
      <c r="EZ85" s="98"/>
      <c r="FA85" s="98"/>
      <c r="FB85" s="98"/>
      <c r="FC85" s="98"/>
      <c r="FD85" s="98"/>
    </row>
    <row r="86" spans="2:160" ht="12.75">
      <c r="B86" s="83">
        <f t="shared" si="6"/>
        <v>2</v>
      </c>
      <c r="C86" s="83">
        <f t="shared" si="7"/>
        <v>2</v>
      </c>
      <c r="D86" s="83">
        <f t="shared" si="8"/>
        <v>2</v>
      </c>
      <c r="E86" s="83">
        <f t="shared" si="9"/>
        <v>2</v>
      </c>
      <c r="F86" s="83">
        <f t="shared" si="10"/>
        <v>2</v>
      </c>
      <c r="G86" s="83">
        <f t="shared" si="11"/>
        <v>3.5</v>
      </c>
      <c r="H86" s="101">
        <f>IF(AND(M86&gt;0,M86&lt;=STATS!$C$22),1,"")</f>
        <v>1</v>
      </c>
      <c r="J86" s="22">
        <v>85</v>
      </c>
      <c r="K86" s="112">
        <v>46.09266</v>
      </c>
      <c r="L86" s="112">
        <v>-91.23355</v>
      </c>
      <c r="M86" s="4">
        <v>3.5</v>
      </c>
      <c r="N86" s="4" t="s">
        <v>480</v>
      </c>
      <c r="O86" s="4" t="s">
        <v>562</v>
      </c>
      <c r="Q86" s="4">
        <v>1</v>
      </c>
      <c r="R86" s="8"/>
      <c r="S86" s="8"/>
      <c r="T86" s="24"/>
      <c r="U86" s="24"/>
      <c r="V86" s="24"/>
      <c r="W86" s="24"/>
      <c r="X86" s="24" t="s">
        <v>483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CB86" s="4">
        <v>1</v>
      </c>
      <c r="CS86" s="4">
        <v>1</v>
      </c>
      <c r="EZ86" s="98"/>
      <c r="FA86" s="98"/>
      <c r="FB86" s="98"/>
      <c r="FC86" s="98"/>
      <c r="FD86" s="98"/>
    </row>
    <row r="87" spans="2:160" ht="12.75">
      <c r="B87" s="83">
        <f t="shared" si="6"/>
        <v>0</v>
      </c>
      <c r="C87" s="83">
        <f t="shared" si="7"/>
      </c>
      <c r="D87" s="83">
        <f t="shared" si="8"/>
      </c>
      <c r="E87" s="83">
        <f t="shared" si="9"/>
        <v>0</v>
      </c>
      <c r="F87" s="83">
        <f t="shared" si="10"/>
        <v>0</v>
      </c>
      <c r="G87" s="83">
        <f t="shared" si="11"/>
      </c>
      <c r="H87" s="101">
        <f>IF(AND(M87&gt;0,M87&lt;=STATS!$C$22),1,"")</f>
        <v>1</v>
      </c>
      <c r="J87" s="22">
        <v>86</v>
      </c>
      <c r="K87" s="112">
        <v>46.09298</v>
      </c>
      <c r="L87" s="112">
        <v>-91.24268</v>
      </c>
      <c r="M87" s="4">
        <v>5.5</v>
      </c>
      <c r="N87" s="4" t="s">
        <v>480</v>
      </c>
      <c r="O87" s="4" t="s">
        <v>562</v>
      </c>
      <c r="R87" s="8"/>
      <c r="S87" s="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EZ87" s="98"/>
      <c r="FA87" s="98"/>
      <c r="FB87" s="98"/>
      <c r="FC87" s="98"/>
      <c r="FD87" s="98"/>
    </row>
    <row r="88" spans="2:160" ht="12.75">
      <c r="B88" s="83">
        <f t="shared" si="6"/>
        <v>0</v>
      </c>
      <c r="C88" s="83">
        <f t="shared" si="7"/>
      </c>
      <c r="D88" s="83">
        <f t="shared" si="8"/>
      </c>
      <c r="E88" s="83">
        <f t="shared" si="9"/>
        <v>0</v>
      </c>
      <c r="F88" s="83">
        <f t="shared" si="10"/>
        <v>0</v>
      </c>
      <c r="G88" s="83">
        <f t="shared" si="11"/>
      </c>
      <c r="H88" s="101">
        <f>IF(AND(M88&gt;0,M88&lt;=STATS!$C$22),1,"")</f>
        <v>1</v>
      </c>
      <c r="J88" s="22">
        <v>87</v>
      </c>
      <c r="K88" s="112">
        <v>46.09299</v>
      </c>
      <c r="L88" s="112">
        <v>-91.24207</v>
      </c>
      <c r="M88" s="4">
        <v>5.5</v>
      </c>
      <c r="N88" s="4" t="s">
        <v>480</v>
      </c>
      <c r="O88" s="4" t="s">
        <v>562</v>
      </c>
      <c r="R88" s="8"/>
      <c r="S88" s="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EZ88" s="98"/>
      <c r="FA88" s="98"/>
      <c r="FB88" s="98"/>
      <c r="FC88" s="98"/>
      <c r="FD88" s="98"/>
    </row>
    <row r="89" spans="2:160" ht="12.75">
      <c r="B89" s="83">
        <f t="shared" si="6"/>
        <v>1</v>
      </c>
      <c r="C89" s="83">
        <f t="shared" si="7"/>
        <v>1</v>
      </c>
      <c r="D89" s="83">
        <f t="shared" si="8"/>
        <v>1</v>
      </c>
      <c r="E89" s="83">
        <f t="shared" si="9"/>
        <v>1</v>
      </c>
      <c r="F89" s="83">
        <f t="shared" si="10"/>
        <v>1</v>
      </c>
      <c r="G89" s="83">
        <f t="shared" si="11"/>
        <v>5</v>
      </c>
      <c r="H89" s="101">
        <f>IF(AND(M89&gt;0,M89&lt;=STATS!$C$22),1,"")</f>
        <v>1</v>
      </c>
      <c r="J89" s="22">
        <v>88</v>
      </c>
      <c r="K89" s="112">
        <v>46.09299</v>
      </c>
      <c r="L89" s="112">
        <v>-91.24146</v>
      </c>
      <c r="M89" s="4">
        <v>5</v>
      </c>
      <c r="N89" s="4" t="s">
        <v>480</v>
      </c>
      <c r="O89" s="4" t="s">
        <v>562</v>
      </c>
      <c r="Q89" s="4">
        <v>2</v>
      </c>
      <c r="R89" s="8"/>
      <c r="S89" s="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CR89" s="4">
        <v>2</v>
      </c>
      <c r="EZ89" s="98"/>
      <c r="FA89" s="98"/>
      <c r="FB89" s="98"/>
      <c r="FC89" s="98"/>
      <c r="FD89" s="98"/>
    </row>
    <row r="90" spans="2:160" ht="12.75">
      <c r="B90" s="83">
        <f t="shared" si="6"/>
        <v>3</v>
      </c>
      <c r="C90" s="83">
        <f t="shared" si="7"/>
        <v>3</v>
      </c>
      <c r="D90" s="83">
        <f t="shared" si="8"/>
        <v>3</v>
      </c>
      <c r="E90" s="83">
        <f t="shared" si="9"/>
        <v>3</v>
      </c>
      <c r="F90" s="83">
        <f t="shared" si="10"/>
        <v>3</v>
      </c>
      <c r="G90" s="83">
        <f t="shared" si="11"/>
        <v>5</v>
      </c>
      <c r="H90" s="101">
        <f>IF(AND(M90&gt;0,M90&lt;=STATS!$C$22),1,"")</f>
        <v>1</v>
      </c>
      <c r="J90" s="22">
        <v>89</v>
      </c>
      <c r="K90" s="112">
        <v>46.093</v>
      </c>
      <c r="L90" s="112">
        <v>-91.24086</v>
      </c>
      <c r="M90" s="4">
        <v>5</v>
      </c>
      <c r="N90" s="4" t="s">
        <v>480</v>
      </c>
      <c r="O90" s="4" t="s">
        <v>562</v>
      </c>
      <c r="Q90" s="4">
        <v>1</v>
      </c>
      <c r="R90" s="8"/>
      <c r="S90" s="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CI90" s="4">
        <v>1</v>
      </c>
      <c r="CP90" s="4">
        <v>1</v>
      </c>
      <c r="CR90" s="4">
        <v>1</v>
      </c>
      <c r="EZ90" s="98"/>
      <c r="FA90" s="98"/>
      <c r="FB90" s="98"/>
      <c r="FC90" s="98"/>
      <c r="FD90" s="98"/>
    </row>
    <row r="91" spans="2:160" ht="12.75">
      <c r="B91" s="83">
        <f t="shared" si="6"/>
        <v>2</v>
      </c>
      <c r="C91" s="83">
        <f t="shared" si="7"/>
        <v>2</v>
      </c>
      <c r="D91" s="83">
        <f t="shared" si="8"/>
        <v>2</v>
      </c>
      <c r="E91" s="83">
        <f t="shared" si="9"/>
        <v>2</v>
      </c>
      <c r="F91" s="83">
        <f t="shared" si="10"/>
        <v>2</v>
      </c>
      <c r="G91" s="83">
        <f t="shared" si="11"/>
        <v>5.5</v>
      </c>
      <c r="H91" s="101">
        <f>IF(AND(M91&gt;0,M91&lt;=STATS!$C$22),1,"")</f>
        <v>1</v>
      </c>
      <c r="J91" s="22">
        <v>90</v>
      </c>
      <c r="K91" s="112">
        <v>46.09301</v>
      </c>
      <c r="L91" s="112">
        <v>-91.24025</v>
      </c>
      <c r="M91" s="4">
        <v>5.5</v>
      </c>
      <c r="N91" s="4" t="s">
        <v>480</v>
      </c>
      <c r="O91" s="4" t="s">
        <v>562</v>
      </c>
      <c r="Q91" s="4">
        <v>1</v>
      </c>
      <c r="R91" s="8"/>
      <c r="S91" s="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CI91" s="4" t="s">
        <v>483</v>
      </c>
      <c r="CP91" s="4">
        <v>1</v>
      </c>
      <c r="DA91" s="4">
        <v>1</v>
      </c>
      <c r="EZ91" s="98"/>
      <c r="FA91" s="98"/>
      <c r="FB91" s="98"/>
      <c r="FC91" s="98"/>
      <c r="FD91" s="98"/>
    </row>
    <row r="92" spans="2:160" ht="12.75">
      <c r="B92" s="83">
        <f t="shared" si="6"/>
        <v>0</v>
      </c>
      <c r="C92" s="83">
        <f t="shared" si="7"/>
      </c>
      <c r="D92" s="83">
        <f t="shared" si="8"/>
      </c>
      <c r="E92" s="83">
        <f t="shared" si="9"/>
        <v>0</v>
      </c>
      <c r="F92" s="83">
        <f t="shared" si="10"/>
        <v>0</v>
      </c>
      <c r="G92" s="83">
        <f t="shared" si="11"/>
      </c>
      <c r="H92" s="101">
        <f>IF(AND(M92&gt;0,M92&lt;=STATS!$C$22),1,"")</f>
        <v>1</v>
      </c>
      <c r="J92" s="22">
        <v>91</v>
      </c>
      <c r="K92" s="112">
        <v>46.09301</v>
      </c>
      <c r="L92" s="112">
        <v>-91.23964</v>
      </c>
      <c r="M92" s="4">
        <v>6</v>
      </c>
      <c r="N92" s="4" t="s">
        <v>480</v>
      </c>
      <c r="O92" s="4" t="s">
        <v>562</v>
      </c>
      <c r="R92" s="8"/>
      <c r="S92" s="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EZ92" s="98"/>
      <c r="FA92" s="98"/>
      <c r="FB92" s="98"/>
      <c r="FC92" s="98"/>
      <c r="FD92" s="98"/>
    </row>
    <row r="93" spans="2:160" ht="12.75">
      <c r="B93" s="83">
        <f t="shared" si="6"/>
        <v>0</v>
      </c>
      <c r="C93" s="83">
        <f t="shared" si="7"/>
      </c>
      <c r="D93" s="83">
        <f t="shared" si="8"/>
      </c>
      <c r="E93" s="83">
        <f t="shared" si="9"/>
        <v>0</v>
      </c>
      <c r="F93" s="83">
        <f t="shared" si="10"/>
        <v>0</v>
      </c>
      <c r="G93" s="83">
        <f t="shared" si="11"/>
      </c>
      <c r="H93" s="101">
        <f>IF(AND(M93&gt;0,M93&lt;=STATS!$C$22),1,"")</f>
        <v>1</v>
      </c>
      <c r="J93" s="22">
        <v>92</v>
      </c>
      <c r="K93" s="112">
        <v>46.09302</v>
      </c>
      <c r="L93" s="112">
        <v>-91.23903</v>
      </c>
      <c r="M93" s="4">
        <v>5</v>
      </c>
      <c r="N93" s="4" t="s">
        <v>480</v>
      </c>
      <c r="O93" s="4" t="s">
        <v>562</v>
      </c>
      <c r="R93" s="8"/>
      <c r="S93" s="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EZ93" s="98"/>
      <c r="FA93" s="98"/>
      <c r="FB93" s="98"/>
      <c r="FC93" s="98"/>
      <c r="FD93" s="98"/>
    </row>
    <row r="94" spans="2:160" ht="12.75">
      <c r="B94" s="83">
        <f t="shared" si="6"/>
        <v>4</v>
      </c>
      <c r="C94" s="83">
        <f t="shared" si="7"/>
        <v>4</v>
      </c>
      <c r="D94" s="83">
        <f t="shared" si="8"/>
        <v>4</v>
      </c>
      <c r="E94" s="83">
        <f t="shared" si="9"/>
        <v>4</v>
      </c>
      <c r="F94" s="83">
        <f t="shared" si="10"/>
        <v>4</v>
      </c>
      <c r="G94" s="83">
        <f t="shared" si="11"/>
        <v>4.5</v>
      </c>
      <c r="H94" s="101">
        <f>IF(AND(M94&gt;0,M94&lt;=STATS!$C$22),1,"")</f>
        <v>1</v>
      </c>
      <c r="J94" s="22">
        <v>93</v>
      </c>
      <c r="K94" s="112">
        <v>46.09303</v>
      </c>
      <c r="L94" s="112">
        <v>-91.23843</v>
      </c>
      <c r="M94" s="4">
        <v>4.5</v>
      </c>
      <c r="N94" s="4" t="s">
        <v>480</v>
      </c>
      <c r="O94" s="4" t="s">
        <v>562</v>
      </c>
      <c r="Q94" s="4">
        <v>2</v>
      </c>
      <c r="R94" s="8"/>
      <c r="S94" s="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BR94" s="4">
        <v>1</v>
      </c>
      <c r="CI94" s="4">
        <v>1</v>
      </c>
      <c r="CP94" s="4" t="s">
        <v>483</v>
      </c>
      <c r="DA94" s="4">
        <v>1</v>
      </c>
      <c r="DK94" s="4">
        <v>2</v>
      </c>
      <c r="EZ94" s="98"/>
      <c r="FA94" s="98"/>
      <c r="FB94" s="98"/>
      <c r="FC94" s="98"/>
      <c r="FD94" s="98"/>
    </row>
    <row r="95" spans="2:160" ht="12.75">
      <c r="B95" s="83">
        <f t="shared" si="6"/>
        <v>0</v>
      </c>
      <c r="C95" s="83">
        <f t="shared" si="7"/>
      </c>
      <c r="D95" s="83">
        <f t="shared" si="8"/>
      </c>
      <c r="E95" s="83">
        <f t="shared" si="9"/>
        <v>0</v>
      </c>
      <c r="F95" s="83">
        <f t="shared" si="10"/>
        <v>0</v>
      </c>
      <c r="G95" s="83">
        <f t="shared" si="11"/>
      </c>
      <c r="H95" s="101">
        <f>IF(AND(M95&gt;0,M95&lt;=STATS!$C$22),1,"")</f>
        <v>1</v>
      </c>
      <c r="J95" s="22">
        <v>94</v>
      </c>
      <c r="K95" s="112">
        <v>46.09303</v>
      </c>
      <c r="L95" s="112">
        <v>-91.23782</v>
      </c>
      <c r="M95" s="4">
        <v>5</v>
      </c>
      <c r="N95" s="4" t="s">
        <v>480</v>
      </c>
      <c r="O95" s="4" t="s">
        <v>562</v>
      </c>
      <c r="R95" s="8"/>
      <c r="S95" s="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EZ95" s="98"/>
      <c r="FA95" s="98"/>
      <c r="FB95" s="98"/>
      <c r="FC95" s="98"/>
      <c r="FD95" s="98"/>
    </row>
    <row r="96" spans="2:160" ht="12.75">
      <c r="B96" s="83">
        <f t="shared" si="6"/>
        <v>0</v>
      </c>
      <c r="C96" s="83">
        <f t="shared" si="7"/>
      </c>
      <c r="D96" s="83">
        <f t="shared" si="8"/>
      </c>
      <c r="E96" s="83">
        <f t="shared" si="9"/>
        <v>0</v>
      </c>
      <c r="F96" s="83">
        <f t="shared" si="10"/>
        <v>0</v>
      </c>
      <c r="G96" s="83">
        <f t="shared" si="11"/>
      </c>
      <c r="H96" s="101">
        <f>IF(AND(M96&gt;0,M96&lt;=STATS!$C$22),1,"")</f>
        <v>1</v>
      </c>
      <c r="J96" s="22">
        <v>95</v>
      </c>
      <c r="K96" s="112">
        <v>46.09304</v>
      </c>
      <c r="L96" s="112">
        <v>-91.23721</v>
      </c>
      <c r="M96" s="4">
        <v>4.5</v>
      </c>
      <c r="N96" s="4" t="s">
        <v>480</v>
      </c>
      <c r="O96" s="4" t="s">
        <v>562</v>
      </c>
      <c r="R96" s="8"/>
      <c r="S96" s="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CP96" s="4" t="s">
        <v>483</v>
      </c>
      <c r="EZ96" s="98"/>
      <c r="FA96" s="98"/>
      <c r="FB96" s="98"/>
      <c r="FC96" s="98"/>
      <c r="FD96" s="98"/>
    </row>
    <row r="97" spans="2:160" ht="12.75">
      <c r="B97" s="83">
        <f t="shared" si="6"/>
        <v>4</v>
      </c>
      <c r="C97" s="83">
        <f t="shared" si="7"/>
        <v>4</v>
      </c>
      <c r="D97" s="83">
        <f t="shared" si="8"/>
        <v>4</v>
      </c>
      <c r="E97" s="83">
        <f t="shared" si="9"/>
        <v>4</v>
      </c>
      <c r="F97" s="83">
        <f t="shared" si="10"/>
        <v>4</v>
      </c>
      <c r="G97" s="83">
        <f t="shared" si="11"/>
        <v>4.5</v>
      </c>
      <c r="H97" s="101">
        <f>IF(AND(M97&gt;0,M97&lt;=STATS!$C$22),1,"")</f>
        <v>1</v>
      </c>
      <c r="J97" s="22">
        <v>96</v>
      </c>
      <c r="K97" s="112">
        <v>46.09305</v>
      </c>
      <c r="L97" s="112">
        <v>-91.2366</v>
      </c>
      <c r="M97" s="4">
        <v>4.5</v>
      </c>
      <c r="N97" s="4" t="s">
        <v>481</v>
      </c>
      <c r="O97" s="4" t="s">
        <v>562</v>
      </c>
      <c r="Q97" s="4">
        <v>2</v>
      </c>
      <c r="R97" s="8"/>
      <c r="S97" s="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>
        <v>1</v>
      </c>
      <c r="AH97" s="24"/>
      <c r="AM97" s="4">
        <v>1</v>
      </c>
      <c r="BR97" s="4">
        <v>2</v>
      </c>
      <c r="CA97" s="4">
        <v>1</v>
      </c>
      <c r="EZ97" s="98"/>
      <c r="FA97" s="98"/>
      <c r="FB97" s="98"/>
      <c r="FC97" s="98"/>
      <c r="FD97" s="98"/>
    </row>
    <row r="98" spans="2:161" ht="12.75">
      <c r="B98" s="83">
        <f t="shared" si="6"/>
        <v>2</v>
      </c>
      <c r="C98" s="83">
        <f t="shared" si="7"/>
        <v>2</v>
      </c>
      <c r="D98" s="83">
        <f t="shared" si="8"/>
        <v>2</v>
      </c>
      <c r="E98" s="83">
        <f t="shared" si="9"/>
        <v>2</v>
      </c>
      <c r="F98" s="83">
        <f t="shared" si="10"/>
        <v>2</v>
      </c>
      <c r="G98" s="83">
        <f t="shared" si="11"/>
        <v>2</v>
      </c>
      <c r="H98" s="101">
        <f>IF(AND(M98&gt;0,M98&lt;=STATS!$C$22),1,"")</f>
        <v>1</v>
      </c>
      <c r="J98" s="22">
        <v>97</v>
      </c>
      <c r="K98" s="112">
        <v>46.09305</v>
      </c>
      <c r="L98" s="112">
        <v>-91.23599</v>
      </c>
      <c r="M98" s="4">
        <v>2</v>
      </c>
      <c r="N98" s="4" t="s">
        <v>481</v>
      </c>
      <c r="O98" s="4" t="s">
        <v>562</v>
      </c>
      <c r="Q98" s="4">
        <v>1</v>
      </c>
      <c r="R98" s="8"/>
      <c r="S98" s="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BP98" s="4">
        <v>1</v>
      </c>
      <c r="EQ98" s="4">
        <v>2</v>
      </c>
      <c r="EZ98" s="98"/>
      <c r="FA98" s="98"/>
      <c r="FB98" s="98"/>
      <c r="FC98" s="98"/>
      <c r="FD98" s="98"/>
      <c r="FE98" s="4" t="s">
        <v>483</v>
      </c>
    </row>
    <row r="99" spans="2:160" ht="12.75">
      <c r="B99" s="83">
        <f t="shared" si="6"/>
        <v>0</v>
      </c>
      <c r="C99" s="83">
        <f t="shared" si="7"/>
      </c>
      <c r="D99" s="83">
        <f t="shared" si="8"/>
      </c>
      <c r="E99" s="83">
        <f t="shared" si="9"/>
        <v>0</v>
      </c>
      <c r="F99" s="83">
        <f t="shared" si="10"/>
        <v>0</v>
      </c>
      <c r="G99" s="83">
        <f t="shared" si="11"/>
      </c>
      <c r="H99" s="101">
        <f>IF(AND(M99&gt;0,M99&lt;=STATS!$C$22),1,"")</f>
        <v>1</v>
      </c>
      <c r="J99" s="22">
        <v>98</v>
      </c>
      <c r="K99" s="112">
        <v>46.09306</v>
      </c>
      <c r="L99" s="112">
        <v>-91.23539</v>
      </c>
      <c r="M99" s="4">
        <v>4.5</v>
      </c>
      <c r="N99" s="4" t="s">
        <v>480</v>
      </c>
      <c r="O99" s="4" t="s">
        <v>562</v>
      </c>
      <c r="R99" s="8"/>
      <c r="S99" s="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CI99" s="4" t="s">
        <v>483</v>
      </c>
      <c r="EZ99" s="98"/>
      <c r="FA99" s="98"/>
      <c r="FB99" s="98"/>
      <c r="FC99" s="98"/>
      <c r="FD99" s="98"/>
    </row>
    <row r="100" spans="2:160" ht="12.75">
      <c r="B100" s="83">
        <f t="shared" si="6"/>
        <v>1</v>
      </c>
      <c r="C100" s="83">
        <f t="shared" si="7"/>
        <v>1</v>
      </c>
      <c r="D100" s="83">
        <f t="shared" si="8"/>
        <v>1</v>
      </c>
      <c r="E100" s="83">
        <f t="shared" si="9"/>
        <v>1</v>
      </c>
      <c r="F100" s="83">
        <f t="shared" si="10"/>
        <v>1</v>
      </c>
      <c r="G100" s="83">
        <f t="shared" si="11"/>
        <v>4.5</v>
      </c>
      <c r="H100" s="101">
        <f>IF(AND(M100&gt;0,M100&lt;=STATS!$C$22),1,"")</f>
        <v>1</v>
      </c>
      <c r="J100" s="22">
        <v>99</v>
      </c>
      <c r="K100" s="112">
        <v>46.09307</v>
      </c>
      <c r="L100" s="112">
        <v>-91.23478</v>
      </c>
      <c r="M100" s="4">
        <v>4.5</v>
      </c>
      <c r="N100" s="4" t="s">
        <v>480</v>
      </c>
      <c r="O100" s="4" t="s">
        <v>562</v>
      </c>
      <c r="Q100" s="4">
        <v>1</v>
      </c>
      <c r="R100" s="8"/>
      <c r="S100" s="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CI100" s="4">
        <v>1</v>
      </c>
      <c r="EZ100" s="98"/>
      <c r="FA100" s="98"/>
      <c r="FB100" s="98"/>
      <c r="FC100" s="98"/>
      <c r="FD100" s="98"/>
    </row>
    <row r="101" spans="2:160" ht="12.75">
      <c r="B101" s="83">
        <f t="shared" si="6"/>
        <v>0</v>
      </c>
      <c r="C101" s="83">
        <f t="shared" si="7"/>
      </c>
      <c r="D101" s="83">
        <f t="shared" si="8"/>
      </c>
      <c r="E101" s="83">
        <f t="shared" si="9"/>
        <v>0</v>
      </c>
      <c r="F101" s="83">
        <f t="shared" si="10"/>
        <v>0</v>
      </c>
      <c r="G101" s="83">
        <f t="shared" si="11"/>
      </c>
      <c r="H101" s="101">
        <f>IF(AND(M101&gt;0,M101&lt;=STATS!$C$22),1,"")</f>
        <v>1</v>
      </c>
      <c r="J101" s="22">
        <v>100</v>
      </c>
      <c r="K101" s="112">
        <v>46.09307</v>
      </c>
      <c r="L101" s="112">
        <v>-91.23417</v>
      </c>
      <c r="M101" s="4">
        <v>5</v>
      </c>
      <c r="N101" s="4" t="s">
        <v>480</v>
      </c>
      <c r="O101" s="4" t="s">
        <v>562</v>
      </c>
      <c r="R101" s="8"/>
      <c r="S101" s="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DK101" s="4" t="s">
        <v>483</v>
      </c>
      <c r="EZ101" s="98"/>
      <c r="FA101" s="98"/>
      <c r="FB101" s="98"/>
      <c r="FC101" s="98"/>
      <c r="FD101" s="98"/>
    </row>
    <row r="102" spans="2:160" ht="12.75">
      <c r="B102" s="83">
        <f t="shared" si="6"/>
        <v>3</v>
      </c>
      <c r="C102" s="83">
        <f t="shared" si="7"/>
        <v>3</v>
      </c>
      <c r="D102" s="83">
        <f t="shared" si="8"/>
        <v>3</v>
      </c>
      <c r="E102" s="83">
        <f t="shared" si="9"/>
        <v>3</v>
      </c>
      <c r="F102" s="83">
        <f t="shared" si="10"/>
        <v>3</v>
      </c>
      <c r="G102" s="83">
        <f t="shared" si="11"/>
        <v>4</v>
      </c>
      <c r="H102" s="101">
        <f>IF(AND(M102&gt;0,M102&lt;=STATS!$C$22),1,"")</f>
        <v>1</v>
      </c>
      <c r="J102" s="22">
        <v>101</v>
      </c>
      <c r="K102" s="112">
        <v>46.09308</v>
      </c>
      <c r="L102" s="112">
        <v>-91.23356</v>
      </c>
      <c r="M102" s="4">
        <v>4</v>
      </c>
      <c r="N102" s="4" t="s">
        <v>480</v>
      </c>
      <c r="O102" s="4" t="s">
        <v>562</v>
      </c>
      <c r="Q102" s="4">
        <v>2</v>
      </c>
      <c r="R102" s="8"/>
      <c r="S102" s="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BR102" s="4">
        <v>1</v>
      </c>
      <c r="BT102" s="4">
        <v>1</v>
      </c>
      <c r="DK102" s="4">
        <v>2</v>
      </c>
      <c r="EZ102" s="98"/>
      <c r="FA102" s="98"/>
      <c r="FB102" s="98"/>
      <c r="FC102" s="98"/>
      <c r="FD102" s="98"/>
    </row>
    <row r="103" spans="2:160" ht="12.75">
      <c r="B103" s="83">
        <f t="shared" si="6"/>
        <v>3</v>
      </c>
      <c r="C103" s="83">
        <f t="shared" si="7"/>
        <v>3</v>
      </c>
      <c r="D103" s="83">
        <f t="shared" si="8"/>
        <v>3</v>
      </c>
      <c r="E103" s="83">
        <f t="shared" si="9"/>
        <v>3</v>
      </c>
      <c r="F103" s="83">
        <f t="shared" si="10"/>
        <v>3</v>
      </c>
      <c r="G103" s="83">
        <f t="shared" si="11"/>
        <v>4</v>
      </c>
      <c r="H103" s="101">
        <f>IF(AND(M103&gt;0,M103&lt;=STATS!$C$22),1,"")</f>
        <v>1</v>
      </c>
      <c r="J103" s="22">
        <v>102</v>
      </c>
      <c r="K103" s="112">
        <v>46.09308</v>
      </c>
      <c r="L103" s="112">
        <v>-91.23295</v>
      </c>
      <c r="M103" s="4">
        <v>4</v>
      </c>
      <c r="N103" s="4" t="s">
        <v>480</v>
      </c>
      <c r="O103" s="4" t="s">
        <v>562</v>
      </c>
      <c r="Q103" s="4">
        <v>1</v>
      </c>
      <c r="R103" s="8"/>
      <c r="S103" s="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BR103" s="4">
        <v>1</v>
      </c>
      <c r="BT103" s="4">
        <v>1</v>
      </c>
      <c r="DK103" s="4">
        <v>1</v>
      </c>
      <c r="EZ103" s="98"/>
      <c r="FA103" s="98"/>
      <c r="FB103" s="98"/>
      <c r="FC103" s="98"/>
      <c r="FD103" s="98"/>
    </row>
    <row r="104" spans="2:160" ht="12.75">
      <c r="B104" s="83">
        <f t="shared" si="6"/>
        <v>0</v>
      </c>
      <c r="C104" s="83">
        <f t="shared" si="7"/>
      </c>
      <c r="D104" s="83">
        <f t="shared" si="8"/>
      </c>
      <c r="E104" s="83">
        <f t="shared" si="9"/>
        <v>0</v>
      </c>
      <c r="F104" s="83">
        <f t="shared" si="10"/>
        <v>0</v>
      </c>
      <c r="G104" s="83">
        <f t="shared" si="11"/>
      </c>
      <c r="H104" s="101">
        <f>IF(AND(M104&gt;0,M104&lt;=STATS!$C$22),1,"")</f>
        <v>1</v>
      </c>
      <c r="J104" s="22">
        <v>103</v>
      </c>
      <c r="K104" s="112">
        <v>46.0934</v>
      </c>
      <c r="L104" s="112">
        <v>-91.24269</v>
      </c>
      <c r="M104" s="4">
        <v>5.5</v>
      </c>
      <c r="N104" s="4" t="s">
        <v>480</v>
      </c>
      <c r="O104" s="4" t="s">
        <v>562</v>
      </c>
      <c r="R104" s="8"/>
      <c r="S104" s="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EZ104" s="98"/>
      <c r="FA104" s="98"/>
      <c r="FB104" s="98"/>
      <c r="FC104" s="98"/>
      <c r="FD104" s="98"/>
    </row>
    <row r="105" spans="2:160" ht="12.75">
      <c r="B105" s="83">
        <f t="shared" si="6"/>
        <v>0</v>
      </c>
      <c r="C105" s="83">
        <f t="shared" si="7"/>
      </c>
      <c r="D105" s="83">
        <f t="shared" si="8"/>
      </c>
      <c r="E105" s="83">
        <f t="shared" si="9"/>
        <v>0</v>
      </c>
      <c r="F105" s="83">
        <f t="shared" si="10"/>
        <v>0</v>
      </c>
      <c r="G105" s="83">
        <f t="shared" si="11"/>
      </c>
      <c r="H105" s="101">
        <f>IF(AND(M105&gt;0,M105&lt;=STATS!$C$22),1,"")</f>
        <v>1</v>
      </c>
      <c r="J105" s="22">
        <v>104</v>
      </c>
      <c r="K105" s="112">
        <v>46.09341</v>
      </c>
      <c r="L105" s="112">
        <v>-91.24208</v>
      </c>
      <c r="M105" s="4">
        <v>5.5</v>
      </c>
      <c r="N105" s="4" t="s">
        <v>480</v>
      </c>
      <c r="O105" s="4" t="s">
        <v>562</v>
      </c>
      <c r="R105" s="8"/>
      <c r="S105" s="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EZ105" s="98"/>
      <c r="FA105" s="98"/>
      <c r="FB105" s="98"/>
      <c r="FC105" s="98"/>
      <c r="FD105" s="98"/>
    </row>
    <row r="106" spans="2:160" ht="12.75">
      <c r="B106" s="83">
        <f t="shared" si="6"/>
        <v>0</v>
      </c>
      <c r="C106" s="83">
        <f t="shared" si="7"/>
      </c>
      <c r="D106" s="83">
        <f t="shared" si="8"/>
      </c>
      <c r="E106" s="83">
        <f t="shared" si="9"/>
        <v>0</v>
      </c>
      <c r="F106" s="83">
        <f t="shared" si="10"/>
        <v>0</v>
      </c>
      <c r="G106" s="83">
        <f t="shared" si="11"/>
      </c>
      <c r="H106" s="101">
        <f>IF(AND(M106&gt;0,M106&lt;=STATS!$C$22),1,"")</f>
        <v>1</v>
      </c>
      <c r="J106" s="22">
        <v>105</v>
      </c>
      <c r="K106" s="112">
        <v>46.09342</v>
      </c>
      <c r="L106" s="112">
        <v>-91.24147</v>
      </c>
      <c r="M106" s="4">
        <v>5.5</v>
      </c>
      <c r="N106" s="4" t="s">
        <v>480</v>
      </c>
      <c r="O106" s="4" t="s">
        <v>562</v>
      </c>
      <c r="R106" s="8"/>
      <c r="S106" s="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EZ106" s="98"/>
      <c r="FA106" s="98"/>
      <c r="FB106" s="98"/>
      <c r="FC106" s="98"/>
      <c r="FD106" s="98"/>
    </row>
    <row r="107" spans="2:160" ht="12.75">
      <c r="B107" s="83">
        <f t="shared" si="6"/>
        <v>0</v>
      </c>
      <c r="C107" s="83">
        <f t="shared" si="7"/>
      </c>
      <c r="D107" s="83">
        <f t="shared" si="8"/>
      </c>
      <c r="E107" s="83">
        <f t="shared" si="9"/>
        <v>0</v>
      </c>
      <c r="F107" s="83">
        <f t="shared" si="10"/>
        <v>0</v>
      </c>
      <c r="G107" s="83">
        <f t="shared" si="11"/>
      </c>
      <c r="H107" s="101">
        <f>IF(AND(M107&gt;0,M107&lt;=STATS!$C$22),1,"")</f>
        <v>1</v>
      </c>
      <c r="J107" s="22">
        <v>106</v>
      </c>
      <c r="K107" s="112">
        <v>46.09342</v>
      </c>
      <c r="L107" s="112">
        <v>-91.24087</v>
      </c>
      <c r="M107" s="4">
        <v>5.5</v>
      </c>
      <c r="N107" s="4" t="s">
        <v>480</v>
      </c>
      <c r="O107" s="4" t="s">
        <v>562</v>
      </c>
      <c r="R107" s="8"/>
      <c r="S107" s="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EZ107" s="98"/>
      <c r="FA107" s="98"/>
      <c r="FB107" s="98"/>
      <c r="FC107" s="98"/>
      <c r="FD107" s="98"/>
    </row>
    <row r="108" spans="2:160" ht="12.75">
      <c r="B108" s="83">
        <f t="shared" si="6"/>
        <v>0</v>
      </c>
      <c r="C108" s="83">
        <f t="shared" si="7"/>
      </c>
      <c r="D108" s="83">
        <f t="shared" si="8"/>
      </c>
      <c r="E108" s="83">
        <f t="shared" si="9"/>
        <v>0</v>
      </c>
      <c r="F108" s="83">
        <f t="shared" si="10"/>
        <v>0</v>
      </c>
      <c r="G108" s="83">
        <f t="shared" si="11"/>
      </c>
      <c r="H108" s="101">
        <f>IF(AND(M108&gt;0,M108&lt;=STATS!$C$22),1,"")</f>
        <v>1</v>
      </c>
      <c r="J108" s="22">
        <v>107</v>
      </c>
      <c r="K108" s="112">
        <v>46.09343</v>
      </c>
      <c r="L108" s="112">
        <v>-91.24026</v>
      </c>
      <c r="M108" s="4">
        <v>6</v>
      </c>
      <c r="N108" s="4" t="s">
        <v>480</v>
      </c>
      <c r="O108" s="4" t="s">
        <v>562</v>
      </c>
      <c r="R108" s="8"/>
      <c r="S108" s="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EZ108" s="98"/>
      <c r="FA108" s="98"/>
      <c r="FB108" s="98"/>
      <c r="FC108" s="98"/>
      <c r="FD108" s="98"/>
    </row>
    <row r="109" spans="2:160" ht="12.75">
      <c r="B109" s="83">
        <f t="shared" si="6"/>
        <v>2</v>
      </c>
      <c r="C109" s="83">
        <f t="shared" si="7"/>
        <v>2</v>
      </c>
      <c r="D109" s="83">
        <f t="shared" si="8"/>
        <v>2</v>
      </c>
      <c r="E109" s="83">
        <f t="shared" si="9"/>
        <v>2</v>
      </c>
      <c r="F109" s="83">
        <f t="shared" si="10"/>
        <v>2</v>
      </c>
      <c r="G109" s="83">
        <f t="shared" si="11"/>
        <v>4</v>
      </c>
      <c r="H109" s="101">
        <f>IF(AND(M109&gt;0,M109&lt;=STATS!$C$22),1,"")</f>
        <v>1</v>
      </c>
      <c r="J109" s="22">
        <v>108</v>
      </c>
      <c r="K109" s="112">
        <v>46.09344</v>
      </c>
      <c r="L109" s="112">
        <v>-91.23965</v>
      </c>
      <c r="M109" s="4">
        <v>4</v>
      </c>
      <c r="N109" s="4" t="s">
        <v>482</v>
      </c>
      <c r="O109" s="4" t="s">
        <v>562</v>
      </c>
      <c r="Q109" s="4">
        <v>1</v>
      </c>
      <c r="R109" s="8"/>
      <c r="S109" s="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>
        <v>1</v>
      </c>
      <c r="AH109" s="24"/>
      <c r="BP109" s="4">
        <v>1</v>
      </c>
      <c r="EZ109" s="98"/>
      <c r="FA109" s="98"/>
      <c r="FB109" s="98"/>
      <c r="FC109" s="98"/>
      <c r="FD109" s="98"/>
    </row>
    <row r="110" spans="2:160" ht="12.75">
      <c r="B110" s="83">
        <f t="shared" si="6"/>
        <v>0</v>
      </c>
      <c r="C110" s="83">
        <f t="shared" si="7"/>
      </c>
      <c r="D110" s="83">
        <f t="shared" si="8"/>
      </c>
      <c r="E110" s="83">
        <f t="shared" si="9"/>
        <v>0</v>
      </c>
      <c r="F110" s="83">
        <f t="shared" si="10"/>
        <v>0</v>
      </c>
      <c r="G110" s="83">
        <f t="shared" si="11"/>
      </c>
      <c r="H110" s="101">
        <f>IF(AND(M110&gt;0,M110&lt;=STATS!$C$22),1,"")</f>
        <v>1</v>
      </c>
      <c r="J110" s="22">
        <v>109</v>
      </c>
      <c r="K110" s="112">
        <v>46.09344</v>
      </c>
      <c r="L110" s="112">
        <v>-91.23904</v>
      </c>
      <c r="M110" s="4">
        <v>6</v>
      </c>
      <c r="N110" s="4" t="s">
        <v>480</v>
      </c>
      <c r="O110" s="4" t="s">
        <v>562</v>
      </c>
      <c r="R110" s="8"/>
      <c r="S110" s="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EZ110" s="98"/>
      <c r="FA110" s="98"/>
      <c r="FB110" s="98"/>
      <c r="FC110" s="98"/>
      <c r="FD110" s="98"/>
    </row>
    <row r="111" spans="2:160" ht="12.75">
      <c r="B111" s="83">
        <f t="shared" si="6"/>
        <v>1</v>
      </c>
      <c r="C111" s="83">
        <f t="shared" si="7"/>
        <v>1</v>
      </c>
      <c r="D111" s="83">
        <f t="shared" si="8"/>
        <v>1</v>
      </c>
      <c r="E111" s="83">
        <f t="shared" si="9"/>
        <v>1</v>
      </c>
      <c r="F111" s="83">
        <f t="shared" si="10"/>
        <v>1</v>
      </c>
      <c r="G111" s="83">
        <f t="shared" si="11"/>
        <v>5.5</v>
      </c>
      <c r="H111" s="101">
        <f>IF(AND(M111&gt;0,M111&lt;=STATS!$C$22),1,"")</f>
        <v>1</v>
      </c>
      <c r="J111" s="22">
        <v>110</v>
      </c>
      <c r="K111" s="112">
        <v>46.09345</v>
      </c>
      <c r="L111" s="112">
        <v>-91.23843</v>
      </c>
      <c r="M111" s="4">
        <v>5.5</v>
      </c>
      <c r="N111" s="4" t="s">
        <v>480</v>
      </c>
      <c r="O111" s="4" t="s">
        <v>562</v>
      </c>
      <c r="Q111" s="4">
        <v>1</v>
      </c>
      <c r="R111" s="8"/>
      <c r="S111" s="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BR111" s="4">
        <v>1</v>
      </c>
      <c r="EZ111" s="98"/>
      <c r="FA111" s="98"/>
      <c r="FB111" s="98"/>
      <c r="FC111" s="98"/>
      <c r="FD111" s="98"/>
    </row>
    <row r="112" spans="2:160" ht="12.75">
      <c r="B112" s="83">
        <f t="shared" si="6"/>
        <v>2</v>
      </c>
      <c r="C112" s="83">
        <f t="shared" si="7"/>
        <v>2</v>
      </c>
      <c r="D112" s="83">
        <f t="shared" si="8"/>
        <v>2</v>
      </c>
      <c r="E112" s="83">
        <f t="shared" si="9"/>
        <v>2</v>
      </c>
      <c r="F112" s="83">
        <f t="shared" si="10"/>
        <v>2</v>
      </c>
      <c r="G112" s="83">
        <f t="shared" si="11"/>
        <v>4</v>
      </c>
      <c r="H112" s="101">
        <f>IF(AND(M112&gt;0,M112&lt;=STATS!$C$22),1,"")</f>
        <v>1</v>
      </c>
      <c r="J112" s="22">
        <v>111</v>
      </c>
      <c r="K112" s="112">
        <v>46.09346</v>
      </c>
      <c r="L112" s="112">
        <v>-91.23783</v>
      </c>
      <c r="M112" s="4">
        <v>4</v>
      </c>
      <c r="N112" s="4" t="s">
        <v>481</v>
      </c>
      <c r="O112" s="4" t="s">
        <v>562</v>
      </c>
      <c r="Q112" s="4">
        <v>1</v>
      </c>
      <c r="R112" s="8"/>
      <c r="S112" s="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BP112" s="4">
        <v>1</v>
      </c>
      <c r="BR112" s="4">
        <v>1</v>
      </c>
      <c r="EZ112" s="98"/>
      <c r="FA112" s="98"/>
      <c r="FB112" s="98"/>
      <c r="FC112" s="98"/>
      <c r="FD112" s="98"/>
    </row>
    <row r="113" spans="2:160" ht="12.75">
      <c r="B113" s="83">
        <f t="shared" si="6"/>
        <v>1</v>
      </c>
      <c r="C113" s="83">
        <f t="shared" si="7"/>
        <v>1</v>
      </c>
      <c r="D113" s="83">
        <f t="shared" si="8"/>
        <v>1</v>
      </c>
      <c r="E113" s="83">
        <f t="shared" si="9"/>
        <v>1</v>
      </c>
      <c r="F113" s="83">
        <f t="shared" si="10"/>
        <v>1</v>
      </c>
      <c r="G113" s="83">
        <f t="shared" si="11"/>
        <v>2</v>
      </c>
      <c r="H113" s="101">
        <f>IF(AND(M113&gt;0,M113&lt;=STATS!$C$22),1,"")</f>
        <v>1</v>
      </c>
      <c r="J113" s="22">
        <v>112</v>
      </c>
      <c r="K113" s="112">
        <v>46.0935</v>
      </c>
      <c r="L113" s="112">
        <v>-91.23418</v>
      </c>
      <c r="M113" s="4">
        <v>2</v>
      </c>
      <c r="N113" s="4" t="s">
        <v>481</v>
      </c>
      <c r="O113" s="4" t="s">
        <v>562</v>
      </c>
      <c r="Q113" s="4">
        <v>3</v>
      </c>
      <c r="R113" s="8"/>
      <c r="S113" s="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T113" s="4">
        <v>3</v>
      </c>
      <c r="EZ113" s="98"/>
      <c r="FA113" s="98"/>
      <c r="FB113" s="98"/>
      <c r="FC113" s="98"/>
      <c r="FD113" s="98"/>
    </row>
    <row r="114" spans="2:160" ht="12.75">
      <c r="B114" s="83">
        <f t="shared" si="6"/>
        <v>0</v>
      </c>
      <c r="C114" s="83">
        <f t="shared" si="7"/>
      </c>
      <c r="D114" s="83">
        <f t="shared" si="8"/>
      </c>
      <c r="E114" s="83">
        <f t="shared" si="9"/>
        <v>0</v>
      </c>
      <c r="F114" s="83">
        <f t="shared" si="10"/>
        <v>0</v>
      </c>
      <c r="G114" s="83">
        <f t="shared" si="11"/>
      </c>
      <c r="H114" s="101">
        <f>IF(AND(M114&gt;0,M114&lt;=STATS!$C$22),1,"")</f>
        <v>1</v>
      </c>
      <c r="J114" s="22">
        <v>113</v>
      </c>
      <c r="K114" s="112">
        <v>46.0935</v>
      </c>
      <c r="L114" s="112">
        <v>-91.23357</v>
      </c>
      <c r="M114" s="4">
        <v>5</v>
      </c>
      <c r="N114" s="4" t="s">
        <v>480</v>
      </c>
      <c r="O114" s="4" t="s">
        <v>562</v>
      </c>
      <c r="R114" s="8"/>
      <c r="S114" s="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EZ114" s="98"/>
      <c r="FA114" s="98"/>
      <c r="FB114" s="98"/>
      <c r="FC114" s="98"/>
      <c r="FD114" s="98"/>
    </row>
    <row r="115" spans="2:160" ht="12.75">
      <c r="B115" s="83">
        <f t="shared" si="6"/>
        <v>1</v>
      </c>
      <c r="C115" s="83">
        <f t="shared" si="7"/>
        <v>1</v>
      </c>
      <c r="D115" s="83">
        <f t="shared" si="8"/>
        <v>1</v>
      </c>
      <c r="E115" s="83">
        <f t="shared" si="9"/>
        <v>1</v>
      </c>
      <c r="F115" s="83">
        <f t="shared" si="10"/>
        <v>1</v>
      </c>
      <c r="G115" s="83">
        <f t="shared" si="11"/>
        <v>5</v>
      </c>
      <c r="H115" s="101">
        <f>IF(AND(M115&gt;0,M115&lt;=STATS!$C$22),1,"")</f>
        <v>1</v>
      </c>
      <c r="J115" s="22">
        <v>114</v>
      </c>
      <c r="K115" s="112">
        <v>46.09351</v>
      </c>
      <c r="L115" s="112">
        <v>-91.23296</v>
      </c>
      <c r="M115" s="4">
        <v>5</v>
      </c>
      <c r="N115" s="4" t="s">
        <v>480</v>
      </c>
      <c r="O115" s="4" t="s">
        <v>562</v>
      </c>
      <c r="Q115" s="4">
        <v>2</v>
      </c>
      <c r="R115" s="8"/>
      <c r="S115" s="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BR115" s="4">
        <v>2</v>
      </c>
      <c r="EZ115" s="98"/>
      <c r="FA115" s="98"/>
      <c r="FB115" s="98"/>
      <c r="FC115" s="98"/>
      <c r="FD115" s="98"/>
    </row>
    <row r="116" spans="2:160" ht="12.75">
      <c r="B116" s="83">
        <f t="shared" si="6"/>
        <v>0</v>
      </c>
      <c r="C116" s="83">
        <f t="shared" si="7"/>
      </c>
      <c r="D116" s="83">
        <f t="shared" si="8"/>
      </c>
      <c r="E116" s="83">
        <f t="shared" si="9"/>
        <v>0</v>
      </c>
      <c r="F116" s="83">
        <f t="shared" si="10"/>
        <v>0</v>
      </c>
      <c r="G116" s="83">
        <f t="shared" si="11"/>
      </c>
      <c r="H116" s="101">
        <f>IF(AND(M116&gt;0,M116&lt;=STATS!$C$22),1,"")</f>
        <v>1</v>
      </c>
      <c r="J116" s="22">
        <v>115</v>
      </c>
      <c r="K116" s="112">
        <v>46.09351</v>
      </c>
      <c r="L116" s="112">
        <v>-91.23236</v>
      </c>
      <c r="M116" s="4">
        <v>4.5</v>
      </c>
      <c r="N116" s="4" t="s">
        <v>480</v>
      </c>
      <c r="O116" s="4" t="s">
        <v>562</v>
      </c>
      <c r="R116" s="8"/>
      <c r="S116" s="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CA116" s="4" t="s">
        <v>483</v>
      </c>
      <c r="EZ116" s="98"/>
      <c r="FA116" s="98"/>
      <c r="FB116" s="98"/>
      <c r="FC116" s="98"/>
      <c r="FD116" s="98"/>
    </row>
    <row r="117" spans="2:160" ht="12.75">
      <c r="B117" s="83">
        <f t="shared" si="6"/>
        <v>0</v>
      </c>
      <c r="C117" s="83">
        <f t="shared" si="7"/>
      </c>
      <c r="D117" s="83">
        <f t="shared" si="8"/>
      </c>
      <c r="E117" s="83">
        <f t="shared" si="9"/>
        <v>0</v>
      </c>
      <c r="F117" s="83">
        <f t="shared" si="10"/>
        <v>0</v>
      </c>
      <c r="G117" s="83">
        <f t="shared" si="11"/>
      </c>
      <c r="H117" s="101">
        <f>IF(AND(M117&gt;0,M117&lt;=STATS!$C$22),1,"")</f>
        <v>1</v>
      </c>
      <c r="J117" s="22">
        <v>116</v>
      </c>
      <c r="K117" s="112">
        <v>46.09383</v>
      </c>
      <c r="L117" s="112">
        <v>-91.2427</v>
      </c>
      <c r="M117" s="4">
        <v>5.5</v>
      </c>
      <c r="N117" s="4" t="s">
        <v>480</v>
      </c>
      <c r="O117" s="4" t="s">
        <v>562</v>
      </c>
      <c r="R117" s="8"/>
      <c r="S117" s="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EZ117" s="98"/>
      <c r="FA117" s="98"/>
      <c r="FB117" s="98"/>
      <c r="FC117" s="98"/>
      <c r="FD117" s="98"/>
    </row>
    <row r="118" spans="2:160" ht="12.75">
      <c r="B118" s="83">
        <f t="shared" si="6"/>
        <v>0</v>
      </c>
      <c r="C118" s="83">
        <f t="shared" si="7"/>
      </c>
      <c r="D118" s="83">
        <f t="shared" si="8"/>
      </c>
      <c r="E118" s="83">
        <f t="shared" si="9"/>
        <v>0</v>
      </c>
      <c r="F118" s="83">
        <f t="shared" si="10"/>
        <v>0</v>
      </c>
      <c r="G118" s="83">
        <f t="shared" si="11"/>
      </c>
      <c r="H118" s="101">
        <f>IF(AND(M118&gt;0,M118&lt;=STATS!$C$22),1,"")</f>
        <v>1</v>
      </c>
      <c r="J118" s="22">
        <v>117</v>
      </c>
      <c r="K118" s="112">
        <v>46.09383</v>
      </c>
      <c r="L118" s="112">
        <v>-91.24209</v>
      </c>
      <c r="M118" s="4">
        <v>6</v>
      </c>
      <c r="N118" s="4" t="s">
        <v>480</v>
      </c>
      <c r="O118" s="4" t="s">
        <v>562</v>
      </c>
      <c r="R118" s="8"/>
      <c r="S118" s="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EZ118" s="98"/>
      <c r="FA118" s="98"/>
      <c r="FB118" s="98"/>
      <c r="FC118" s="98"/>
      <c r="FD118" s="98"/>
    </row>
    <row r="119" spans="2:160" ht="12.75">
      <c r="B119" s="83">
        <f t="shared" si="6"/>
        <v>0</v>
      </c>
      <c r="C119" s="83">
        <f t="shared" si="7"/>
      </c>
      <c r="D119" s="83">
        <f t="shared" si="8"/>
      </c>
      <c r="E119" s="83">
        <f t="shared" si="9"/>
        <v>0</v>
      </c>
      <c r="F119" s="83">
        <f t="shared" si="10"/>
        <v>0</v>
      </c>
      <c r="G119" s="83">
        <f t="shared" si="11"/>
      </c>
      <c r="H119" s="101">
        <f>IF(AND(M119&gt;0,M119&lt;=STATS!$C$22),1,"")</f>
        <v>1</v>
      </c>
      <c r="J119" s="22">
        <v>118</v>
      </c>
      <c r="K119" s="112">
        <v>46.09384</v>
      </c>
      <c r="L119" s="112">
        <v>-91.24148</v>
      </c>
      <c r="M119" s="4">
        <v>5.5</v>
      </c>
      <c r="N119" s="4" t="s">
        <v>480</v>
      </c>
      <c r="O119" s="4" t="s">
        <v>562</v>
      </c>
      <c r="R119" s="8"/>
      <c r="S119" s="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EZ119" s="98"/>
      <c r="FA119" s="98"/>
      <c r="FB119" s="98"/>
      <c r="FC119" s="98"/>
      <c r="FD119" s="98"/>
    </row>
    <row r="120" spans="2:160" ht="12.75">
      <c r="B120" s="83">
        <f t="shared" si="6"/>
        <v>0</v>
      </c>
      <c r="C120" s="83">
        <f t="shared" si="7"/>
      </c>
      <c r="D120" s="83">
        <f t="shared" si="8"/>
      </c>
      <c r="E120" s="83">
        <f t="shared" si="9"/>
        <v>0</v>
      </c>
      <c r="F120" s="83">
        <f t="shared" si="10"/>
        <v>0</v>
      </c>
      <c r="G120" s="83">
        <f t="shared" si="11"/>
      </c>
      <c r="H120" s="101">
        <f>IF(AND(M120&gt;0,M120&lt;=STATS!$C$22),1,"")</f>
        <v>1</v>
      </c>
      <c r="J120" s="22">
        <v>119</v>
      </c>
      <c r="K120" s="112">
        <v>46.09385</v>
      </c>
      <c r="L120" s="112">
        <v>-91.24088</v>
      </c>
      <c r="M120" s="4">
        <v>5.5</v>
      </c>
      <c r="N120" s="4" t="s">
        <v>480</v>
      </c>
      <c r="O120" s="4" t="s">
        <v>562</v>
      </c>
      <c r="R120" s="8"/>
      <c r="S120" s="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EZ120" s="98"/>
      <c r="FA120" s="98"/>
      <c r="FB120" s="98"/>
      <c r="FC120" s="98"/>
      <c r="FD120" s="98"/>
    </row>
    <row r="121" spans="2:160" ht="12.75">
      <c r="B121" s="83">
        <f t="shared" si="6"/>
        <v>3</v>
      </c>
      <c r="C121" s="83">
        <f t="shared" si="7"/>
        <v>3</v>
      </c>
      <c r="D121" s="83">
        <f t="shared" si="8"/>
        <v>3</v>
      </c>
      <c r="E121" s="83">
        <f t="shared" si="9"/>
        <v>3</v>
      </c>
      <c r="F121" s="83">
        <f t="shared" si="10"/>
        <v>3</v>
      </c>
      <c r="G121" s="83">
        <f t="shared" si="11"/>
        <v>5</v>
      </c>
      <c r="H121" s="101">
        <f>IF(AND(M121&gt;0,M121&lt;=STATS!$C$22),1,"")</f>
        <v>1</v>
      </c>
      <c r="J121" s="22">
        <v>120</v>
      </c>
      <c r="K121" s="112">
        <v>46.09385</v>
      </c>
      <c r="L121" s="112">
        <v>-91.24027</v>
      </c>
      <c r="M121" s="4">
        <v>5</v>
      </c>
      <c r="N121" s="4" t="s">
        <v>480</v>
      </c>
      <c r="O121" s="4" t="s">
        <v>562</v>
      </c>
      <c r="Q121" s="4">
        <v>2</v>
      </c>
      <c r="R121" s="8"/>
      <c r="S121" s="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BR121" s="4">
        <v>1</v>
      </c>
      <c r="CI121" s="4">
        <v>1</v>
      </c>
      <c r="CW121" s="4" t="s">
        <v>483</v>
      </c>
      <c r="DK121" s="4">
        <v>2</v>
      </c>
      <c r="EZ121" s="98"/>
      <c r="FA121" s="98"/>
      <c r="FB121" s="98"/>
      <c r="FC121" s="98"/>
      <c r="FD121" s="98"/>
    </row>
    <row r="122" spans="2:160" ht="12.75">
      <c r="B122" s="83">
        <f t="shared" si="6"/>
        <v>1</v>
      </c>
      <c r="C122" s="83">
        <f t="shared" si="7"/>
        <v>1</v>
      </c>
      <c r="D122" s="83">
        <f t="shared" si="8"/>
        <v>1</v>
      </c>
      <c r="E122" s="83">
        <f t="shared" si="9"/>
        <v>1</v>
      </c>
      <c r="F122" s="83">
        <f t="shared" si="10"/>
        <v>1</v>
      </c>
      <c r="G122" s="83">
        <f t="shared" si="11"/>
        <v>5</v>
      </c>
      <c r="H122" s="101">
        <f>IF(AND(M122&gt;0,M122&lt;=STATS!$C$22),1,"")</f>
        <v>1</v>
      </c>
      <c r="J122" s="22">
        <v>121</v>
      </c>
      <c r="K122" s="112">
        <v>46.09386</v>
      </c>
      <c r="L122" s="112">
        <v>-91.23966</v>
      </c>
      <c r="M122" s="4">
        <v>5</v>
      </c>
      <c r="N122" s="4" t="s">
        <v>480</v>
      </c>
      <c r="O122" s="4" t="s">
        <v>562</v>
      </c>
      <c r="Q122" s="4">
        <v>1</v>
      </c>
      <c r="R122" s="8"/>
      <c r="S122" s="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CI122" s="4">
        <v>1</v>
      </c>
      <c r="EZ122" s="98"/>
      <c r="FA122" s="98"/>
      <c r="FB122" s="98"/>
      <c r="FC122" s="98"/>
      <c r="FD122" s="98"/>
    </row>
    <row r="123" spans="2:160" ht="12.75">
      <c r="B123" s="83">
        <f t="shared" si="6"/>
        <v>1</v>
      </c>
      <c r="C123" s="83">
        <f t="shared" si="7"/>
        <v>1</v>
      </c>
      <c r="D123" s="83">
        <f t="shared" si="8"/>
        <v>1</v>
      </c>
      <c r="E123" s="83">
        <f t="shared" si="9"/>
        <v>1</v>
      </c>
      <c r="F123" s="83">
        <f t="shared" si="10"/>
        <v>1</v>
      </c>
      <c r="G123" s="83">
        <f t="shared" si="11"/>
        <v>6</v>
      </c>
      <c r="H123" s="101">
        <f>IF(AND(M123&gt;0,M123&lt;=STATS!$C$22),1,"")</f>
        <v>1</v>
      </c>
      <c r="J123" s="22">
        <v>122</v>
      </c>
      <c r="K123" s="112">
        <v>46.09387</v>
      </c>
      <c r="L123" s="112">
        <v>-91.23905</v>
      </c>
      <c r="M123" s="4">
        <v>6</v>
      </c>
      <c r="N123" s="4" t="s">
        <v>480</v>
      </c>
      <c r="O123" s="4" t="s">
        <v>562</v>
      </c>
      <c r="Q123" s="4">
        <v>1</v>
      </c>
      <c r="R123" s="8"/>
      <c r="S123" s="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BR123" s="4">
        <v>1</v>
      </c>
      <c r="EZ123" s="98"/>
      <c r="FA123" s="98"/>
      <c r="FB123" s="98"/>
      <c r="FC123" s="98"/>
      <c r="FD123" s="98"/>
    </row>
    <row r="124" spans="2:160" ht="12.75">
      <c r="B124" s="83">
        <f t="shared" si="6"/>
        <v>1</v>
      </c>
      <c r="C124" s="83">
        <f t="shared" si="7"/>
        <v>1</v>
      </c>
      <c r="D124" s="83">
        <f t="shared" si="8"/>
        <v>1</v>
      </c>
      <c r="E124" s="83">
        <f t="shared" si="9"/>
        <v>1</v>
      </c>
      <c r="F124" s="83">
        <f t="shared" si="10"/>
        <v>1</v>
      </c>
      <c r="G124" s="83">
        <f t="shared" si="11"/>
        <v>3.5</v>
      </c>
      <c r="H124" s="101">
        <f>IF(AND(M124&gt;0,M124&lt;=STATS!$C$22),1,"")</f>
        <v>1</v>
      </c>
      <c r="J124" s="22">
        <v>123</v>
      </c>
      <c r="K124" s="112">
        <v>46.09392</v>
      </c>
      <c r="L124" s="112">
        <v>-91.23419</v>
      </c>
      <c r="M124" s="4">
        <v>3.5</v>
      </c>
      <c r="N124" s="4" t="s">
        <v>481</v>
      </c>
      <c r="O124" s="4" t="s">
        <v>562</v>
      </c>
      <c r="Q124" s="4">
        <v>2</v>
      </c>
      <c r="R124" s="8"/>
      <c r="S124" s="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EQ124" s="4">
        <v>2</v>
      </c>
      <c r="EZ124" s="98"/>
      <c r="FA124" s="98"/>
      <c r="FB124" s="98"/>
      <c r="FC124" s="98"/>
      <c r="FD124" s="98"/>
    </row>
    <row r="125" spans="2:160" ht="12.75">
      <c r="B125" s="83">
        <f t="shared" si="6"/>
        <v>0</v>
      </c>
      <c r="C125" s="83">
        <f t="shared" si="7"/>
      </c>
      <c r="D125" s="83">
        <f t="shared" si="8"/>
      </c>
      <c r="E125" s="83">
        <f t="shared" si="9"/>
        <v>0</v>
      </c>
      <c r="F125" s="83">
        <f t="shared" si="10"/>
        <v>0</v>
      </c>
      <c r="G125" s="83">
        <f t="shared" si="11"/>
      </c>
      <c r="H125" s="101">
        <f>IF(AND(M125&gt;0,M125&lt;=STATS!$C$22),1,"")</f>
        <v>1</v>
      </c>
      <c r="J125" s="22">
        <v>124</v>
      </c>
      <c r="K125" s="112">
        <v>46.09393</v>
      </c>
      <c r="L125" s="112">
        <v>-91.23358</v>
      </c>
      <c r="M125" s="4">
        <v>4.5</v>
      </c>
      <c r="N125" s="4" t="s">
        <v>480</v>
      </c>
      <c r="O125" s="4" t="s">
        <v>562</v>
      </c>
      <c r="R125" s="8"/>
      <c r="S125" s="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EZ125" s="98"/>
      <c r="FA125" s="98"/>
      <c r="FB125" s="98"/>
      <c r="FC125" s="98"/>
      <c r="FD125" s="98"/>
    </row>
    <row r="126" spans="2:160" ht="12.75">
      <c r="B126" s="83">
        <f t="shared" si="6"/>
        <v>0</v>
      </c>
      <c r="C126" s="83">
        <f t="shared" si="7"/>
      </c>
      <c r="D126" s="83">
        <f t="shared" si="8"/>
      </c>
      <c r="E126" s="83">
        <f t="shared" si="9"/>
        <v>0</v>
      </c>
      <c r="F126" s="83">
        <f t="shared" si="10"/>
        <v>0</v>
      </c>
      <c r="G126" s="83">
        <f t="shared" si="11"/>
      </c>
      <c r="H126" s="101">
        <f>IF(AND(M126&gt;0,M126&lt;=STATS!$C$22),1,"")</f>
        <v>1</v>
      </c>
      <c r="J126" s="22">
        <v>125</v>
      </c>
      <c r="K126" s="112">
        <v>46.09393</v>
      </c>
      <c r="L126" s="112">
        <v>-91.23297</v>
      </c>
      <c r="M126" s="4">
        <v>4.5</v>
      </c>
      <c r="N126" s="4" t="s">
        <v>480</v>
      </c>
      <c r="O126" s="4" t="s">
        <v>562</v>
      </c>
      <c r="R126" s="8"/>
      <c r="S126" s="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EZ126" s="98"/>
      <c r="FA126" s="98"/>
      <c r="FB126" s="98"/>
      <c r="FC126" s="98"/>
      <c r="FD126" s="98"/>
    </row>
    <row r="127" spans="2:160" ht="12.75">
      <c r="B127" s="83">
        <f t="shared" si="6"/>
        <v>1</v>
      </c>
      <c r="C127" s="83">
        <f t="shared" si="7"/>
        <v>1</v>
      </c>
      <c r="D127" s="83">
        <f t="shared" si="8"/>
        <v>1</v>
      </c>
      <c r="E127" s="83">
        <f t="shared" si="9"/>
        <v>1</v>
      </c>
      <c r="F127" s="83">
        <f t="shared" si="10"/>
        <v>1</v>
      </c>
      <c r="G127" s="83">
        <f t="shared" si="11"/>
        <v>4.5</v>
      </c>
      <c r="H127" s="101">
        <f>IF(AND(M127&gt;0,M127&lt;=STATS!$C$22),1,"")</f>
        <v>1</v>
      </c>
      <c r="J127" s="22">
        <v>126</v>
      </c>
      <c r="K127" s="112">
        <v>46.09394</v>
      </c>
      <c r="L127" s="112">
        <v>-91.23237</v>
      </c>
      <c r="M127" s="4">
        <v>4.5</v>
      </c>
      <c r="N127" s="4" t="s">
        <v>480</v>
      </c>
      <c r="O127" s="4" t="s">
        <v>562</v>
      </c>
      <c r="Q127" s="4">
        <v>1</v>
      </c>
      <c r="R127" s="8"/>
      <c r="S127" s="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CI127" s="4" t="s">
        <v>483</v>
      </c>
      <c r="DK127" s="4">
        <v>1</v>
      </c>
      <c r="EZ127" s="98"/>
      <c r="FA127" s="98"/>
      <c r="FB127" s="98"/>
      <c r="FC127" s="98"/>
      <c r="FD127" s="98"/>
    </row>
    <row r="128" spans="2:160" ht="12.75">
      <c r="B128" s="83">
        <f t="shared" si="6"/>
        <v>0</v>
      </c>
      <c r="C128" s="83">
        <f t="shared" si="7"/>
      </c>
      <c r="D128" s="83">
        <f t="shared" si="8"/>
      </c>
      <c r="E128" s="83">
        <f t="shared" si="9"/>
        <v>0</v>
      </c>
      <c r="F128" s="83">
        <f t="shared" si="10"/>
        <v>0</v>
      </c>
      <c r="G128" s="83">
        <f t="shared" si="11"/>
      </c>
      <c r="H128" s="101">
        <f>IF(AND(M128&gt;0,M128&lt;=STATS!$C$22),1,"")</f>
        <v>1</v>
      </c>
      <c r="J128" s="22">
        <v>127</v>
      </c>
      <c r="K128" s="112">
        <v>46.09394</v>
      </c>
      <c r="L128" s="112">
        <v>-91.23176</v>
      </c>
      <c r="M128" s="4">
        <v>5</v>
      </c>
      <c r="N128" s="4" t="s">
        <v>480</v>
      </c>
      <c r="O128" s="4" t="s">
        <v>562</v>
      </c>
      <c r="R128" s="8"/>
      <c r="S128" s="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EZ128" s="98"/>
      <c r="FA128" s="98"/>
      <c r="FB128" s="98"/>
      <c r="FC128" s="98"/>
      <c r="FD128" s="98"/>
    </row>
    <row r="129" spans="2:160" ht="12.75">
      <c r="B129" s="83">
        <f t="shared" si="6"/>
        <v>2</v>
      </c>
      <c r="C129" s="83">
        <f t="shared" si="7"/>
        <v>2</v>
      </c>
      <c r="D129" s="83">
        <f t="shared" si="8"/>
        <v>2</v>
      </c>
      <c r="E129" s="83">
        <f t="shared" si="9"/>
        <v>2</v>
      </c>
      <c r="F129" s="83">
        <f t="shared" si="10"/>
        <v>2</v>
      </c>
      <c r="G129" s="83">
        <f t="shared" si="11"/>
        <v>5.5</v>
      </c>
      <c r="H129" s="101">
        <f>IF(AND(M129&gt;0,M129&lt;=STATS!$C$22),1,"")</f>
        <v>1</v>
      </c>
      <c r="J129" s="22">
        <v>128</v>
      </c>
      <c r="K129" s="112">
        <v>46.09424</v>
      </c>
      <c r="L129" s="112">
        <v>-91.24332</v>
      </c>
      <c r="M129" s="4">
        <v>5.5</v>
      </c>
      <c r="N129" s="4" t="s">
        <v>480</v>
      </c>
      <c r="O129" s="4" t="s">
        <v>562</v>
      </c>
      <c r="Q129" s="4">
        <v>1</v>
      </c>
      <c r="R129" s="8"/>
      <c r="S129" s="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CI129" s="4">
        <v>1</v>
      </c>
      <c r="DA129" s="4">
        <v>1</v>
      </c>
      <c r="EZ129" s="98"/>
      <c r="FA129" s="98"/>
      <c r="FB129" s="98"/>
      <c r="FC129" s="98"/>
      <c r="FD129" s="98"/>
    </row>
    <row r="130" spans="2:160" ht="12.75">
      <c r="B130" s="83">
        <f aca="true" t="shared" si="12" ref="B130:B193">COUNT(R130:EY130,FE130:FM130)</f>
        <v>0</v>
      </c>
      <c r="C130" s="83">
        <f aca="true" t="shared" si="13" ref="C130:C193">IF(COUNT(R130:EY130,FE130:FM130)&gt;0,COUNT(R130:EY130,FE130:FM130),"")</f>
      </c>
      <c r="D130" s="83">
        <f aca="true" t="shared" si="14" ref="D130:D193">IF(COUNT(T130:BJ130,BL130:BT130,BV130:CB130,CD130:EY130,FE130:FM130)&gt;0,COUNT(T130:BJ130,BL130:BT130,BV130:CB130,CD130:EY130,FE130:FM130),"")</f>
      </c>
      <c r="E130" s="83">
        <f aca="true" t="shared" si="15" ref="E130:E193">IF(H130=1,COUNT(R130:EY130,FE130:FM130),"")</f>
        <v>0</v>
      </c>
      <c r="F130" s="83">
        <f aca="true" t="shared" si="16" ref="F130:F193">IF(H130=1,COUNT(T130:BJ130,BL130:BT130,BV130:CB130,CD130:EY130,FE130:FM130),"")</f>
        <v>0</v>
      </c>
      <c r="G130" s="83">
        <f aca="true" t="shared" si="17" ref="G130:G193">IF($B130&gt;=1,$M130,"")</f>
      </c>
      <c r="H130" s="101">
        <f>IF(AND(M130&gt;0,M130&lt;=STATS!$C$22),1,"")</f>
        <v>1</v>
      </c>
      <c r="J130" s="22">
        <v>129</v>
      </c>
      <c r="K130" s="112">
        <v>46.09425</v>
      </c>
      <c r="L130" s="112">
        <v>-91.24271</v>
      </c>
      <c r="M130" s="4">
        <v>5.5</v>
      </c>
      <c r="N130" s="4" t="s">
        <v>480</v>
      </c>
      <c r="O130" s="4" t="s">
        <v>562</v>
      </c>
      <c r="R130" s="8"/>
      <c r="S130" s="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EZ130" s="98"/>
      <c r="FA130" s="98"/>
      <c r="FB130" s="98"/>
      <c r="FC130" s="98"/>
      <c r="FD130" s="98"/>
    </row>
    <row r="131" spans="2:160" ht="12.75">
      <c r="B131" s="83">
        <f t="shared" si="12"/>
        <v>0</v>
      </c>
      <c r="C131" s="83">
        <f t="shared" si="13"/>
      </c>
      <c r="D131" s="83">
        <f t="shared" si="14"/>
      </c>
      <c r="E131" s="83">
        <f t="shared" si="15"/>
        <v>0</v>
      </c>
      <c r="F131" s="83">
        <f t="shared" si="16"/>
        <v>0</v>
      </c>
      <c r="G131" s="83">
        <f t="shared" si="17"/>
      </c>
      <c r="H131" s="101">
        <f>IF(AND(M131&gt;0,M131&lt;=STATS!$C$22),1,"")</f>
        <v>1</v>
      </c>
      <c r="J131" s="22">
        <v>130</v>
      </c>
      <c r="K131" s="112">
        <v>46.09426</v>
      </c>
      <c r="L131" s="112">
        <v>-91.2421</v>
      </c>
      <c r="M131" s="4">
        <v>6.5</v>
      </c>
      <c r="N131" s="4" t="s">
        <v>480</v>
      </c>
      <c r="O131" s="4" t="s">
        <v>562</v>
      </c>
      <c r="R131" s="8"/>
      <c r="S131" s="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EZ131" s="98"/>
      <c r="FA131" s="98"/>
      <c r="FB131" s="98"/>
      <c r="FC131" s="98"/>
      <c r="FD131" s="98"/>
    </row>
    <row r="132" spans="2:160" ht="12.75">
      <c r="B132" s="83">
        <f t="shared" si="12"/>
        <v>0</v>
      </c>
      <c r="C132" s="83">
        <f t="shared" si="13"/>
      </c>
      <c r="D132" s="83">
        <f t="shared" si="14"/>
      </c>
      <c r="E132" s="83">
        <f t="shared" si="15"/>
        <v>0</v>
      </c>
      <c r="F132" s="83">
        <f t="shared" si="16"/>
        <v>0</v>
      </c>
      <c r="G132" s="83">
        <f t="shared" si="17"/>
      </c>
      <c r="H132" s="101">
        <f>IF(AND(M132&gt;0,M132&lt;=STATS!$C$22),1,"")</f>
        <v>1</v>
      </c>
      <c r="J132" s="22">
        <v>131</v>
      </c>
      <c r="K132" s="112">
        <v>46.09426</v>
      </c>
      <c r="L132" s="112">
        <v>-91.24149</v>
      </c>
      <c r="M132" s="4">
        <v>5.5</v>
      </c>
      <c r="N132" s="4" t="s">
        <v>480</v>
      </c>
      <c r="O132" s="4" t="s">
        <v>562</v>
      </c>
      <c r="R132" s="8"/>
      <c r="S132" s="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EZ132" s="98"/>
      <c r="FA132" s="98"/>
      <c r="FB132" s="98"/>
      <c r="FC132" s="98"/>
      <c r="FD132" s="98"/>
    </row>
    <row r="133" spans="2:160" ht="12.75">
      <c r="B133" s="83">
        <f t="shared" si="12"/>
        <v>0</v>
      </c>
      <c r="C133" s="83">
        <f t="shared" si="13"/>
      </c>
      <c r="D133" s="83">
        <f t="shared" si="14"/>
      </c>
      <c r="E133" s="83">
        <f t="shared" si="15"/>
        <v>0</v>
      </c>
      <c r="F133" s="83">
        <f t="shared" si="16"/>
        <v>0</v>
      </c>
      <c r="G133" s="83">
        <f t="shared" si="17"/>
      </c>
      <c r="H133" s="101">
        <f>IF(AND(M133&gt;0,M133&lt;=STATS!$C$22),1,"")</f>
        <v>1</v>
      </c>
      <c r="J133" s="22">
        <v>132</v>
      </c>
      <c r="K133" s="112">
        <v>46.09427</v>
      </c>
      <c r="L133" s="112">
        <v>-91.24089</v>
      </c>
      <c r="M133" s="4">
        <v>6</v>
      </c>
      <c r="N133" s="4" t="s">
        <v>480</v>
      </c>
      <c r="O133" s="4" t="s">
        <v>562</v>
      </c>
      <c r="R133" s="8"/>
      <c r="S133" s="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EZ133" s="98"/>
      <c r="FA133" s="98"/>
      <c r="FB133" s="98"/>
      <c r="FC133" s="98"/>
      <c r="FD133" s="98"/>
    </row>
    <row r="134" spans="2:160" ht="12.75">
      <c r="B134" s="83">
        <f t="shared" si="12"/>
        <v>1</v>
      </c>
      <c r="C134" s="83">
        <f t="shared" si="13"/>
        <v>1</v>
      </c>
      <c r="D134" s="83">
        <f t="shared" si="14"/>
        <v>1</v>
      </c>
      <c r="E134" s="83">
        <f t="shared" si="15"/>
        <v>1</v>
      </c>
      <c r="F134" s="83">
        <f t="shared" si="16"/>
        <v>1</v>
      </c>
      <c r="G134" s="83">
        <f t="shared" si="17"/>
        <v>6</v>
      </c>
      <c r="H134" s="101">
        <f>IF(AND(M134&gt;0,M134&lt;=STATS!$C$22),1,"")</f>
        <v>1</v>
      </c>
      <c r="J134" s="22">
        <v>133</v>
      </c>
      <c r="K134" s="112">
        <v>46.09427</v>
      </c>
      <c r="L134" s="112">
        <v>-91.24028</v>
      </c>
      <c r="M134" s="4">
        <v>6</v>
      </c>
      <c r="N134" s="4" t="s">
        <v>480</v>
      </c>
      <c r="O134" s="4" t="s">
        <v>562</v>
      </c>
      <c r="Q134" s="4">
        <v>1</v>
      </c>
      <c r="R134" s="8"/>
      <c r="S134" s="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CW134" s="4">
        <v>1</v>
      </c>
      <c r="EZ134" s="98"/>
      <c r="FA134" s="98"/>
      <c r="FB134" s="98"/>
      <c r="FC134" s="98"/>
      <c r="FD134" s="98"/>
    </row>
    <row r="135" spans="2:160" ht="12.75">
      <c r="B135" s="83">
        <f t="shared" si="12"/>
        <v>0</v>
      </c>
      <c r="C135" s="83">
        <f t="shared" si="13"/>
      </c>
      <c r="D135" s="83">
        <f t="shared" si="14"/>
      </c>
      <c r="E135" s="83">
        <f t="shared" si="15"/>
        <v>0</v>
      </c>
      <c r="F135" s="83">
        <f t="shared" si="16"/>
        <v>0</v>
      </c>
      <c r="G135" s="83">
        <f t="shared" si="17"/>
      </c>
      <c r="H135" s="101">
        <f>IF(AND(M135&gt;0,M135&lt;=STATS!$C$22),1,"")</f>
        <v>1</v>
      </c>
      <c r="J135" s="22">
        <v>134</v>
      </c>
      <c r="K135" s="112">
        <v>46.09428</v>
      </c>
      <c r="L135" s="112">
        <v>-91.23967</v>
      </c>
      <c r="M135" s="4">
        <v>6</v>
      </c>
      <c r="N135" s="4" t="s">
        <v>480</v>
      </c>
      <c r="O135" s="4" t="s">
        <v>562</v>
      </c>
      <c r="R135" s="8"/>
      <c r="S135" s="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EZ135" s="98"/>
      <c r="FA135" s="98"/>
      <c r="FB135" s="98"/>
      <c r="FC135" s="98"/>
      <c r="FD135" s="98"/>
    </row>
    <row r="136" spans="2:160" ht="12.75">
      <c r="B136" s="83">
        <f t="shared" si="12"/>
        <v>0</v>
      </c>
      <c r="C136" s="83">
        <f t="shared" si="13"/>
      </c>
      <c r="D136" s="83">
        <f t="shared" si="14"/>
      </c>
      <c r="E136" s="83">
        <f t="shared" si="15"/>
        <v>0</v>
      </c>
      <c r="F136" s="83">
        <f t="shared" si="16"/>
        <v>0</v>
      </c>
      <c r="G136" s="83">
        <f t="shared" si="17"/>
      </c>
      <c r="H136" s="101">
        <f>IF(AND(M136&gt;0,M136&lt;=STATS!$C$22),1,"")</f>
        <v>1</v>
      </c>
      <c r="J136" s="22">
        <v>135</v>
      </c>
      <c r="K136" s="112">
        <v>46.09429</v>
      </c>
      <c r="L136" s="112">
        <v>-91.23906</v>
      </c>
      <c r="M136" s="4">
        <v>6</v>
      </c>
      <c r="N136" s="4" t="s">
        <v>480</v>
      </c>
      <c r="O136" s="4" t="s">
        <v>562</v>
      </c>
      <c r="R136" s="8"/>
      <c r="S136" s="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CI136" s="4" t="s">
        <v>483</v>
      </c>
      <c r="EZ136" s="98"/>
      <c r="FA136" s="98"/>
      <c r="FB136" s="98"/>
      <c r="FC136" s="98"/>
      <c r="FD136" s="98"/>
    </row>
    <row r="137" spans="2:160" ht="12.75">
      <c r="B137" s="83">
        <f t="shared" si="12"/>
        <v>1</v>
      </c>
      <c r="C137" s="83">
        <f t="shared" si="13"/>
        <v>1</v>
      </c>
      <c r="D137" s="83">
        <f t="shared" si="14"/>
        <v>1</v>
      </c>
      <c r="E137" s="83">
        <f t="shared" si="15"/>
        <v>1</v>
      </c>
      <c r="F137" s="83">
        <f t="shared" si="16"/>
        <v>1</v>
      </c>
      <c r="G137" s="83">
        <f t="shared" si="17"/>
        <v>5.5</v>
      </c>
      <c r="H137" s="101">
        <f>IF(AND(M137&gt;0,M137&lt;=STATS!$C$22),1,"")</f>
        <v>1</v>
      </c>
      <c r="J137" s="22">
        <v>136</v>
      </c>
      <c r="K137" s="112">
        <v>46.0943</v>
      </c>
      <c r="L137" s="112">
        <v>-91.23845</v>
      </c>
      <c r="M137" s="4">
        <v>5.5</v>
      </c>
      <c r="N137" s="4" t="s">
        <v>480</v>
      </c>
      <c r="O137" s="4" t="s">
        <v>562</v>
      </c>
      <c r="Q137" s="4">
        <v>1</v>
      </c>
      <c r="R137" s="8"/>
      <c r="S137" s="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CW137" s="4" t="s">
        <v>483</v>
      </c>
      <c r="DA137" s="4">
        <v>1</v>
      </c>
      <c r="EZ137" s="98"/>
      <c r="FA137" s="98"/>
      <c r="FB137" s="98"/>
      <c r="FC137" s="98"/>
      <c r="FD137" s="98"/>
    </row>
    <row r="138" spans="2:160" ht="12.75">
      <c r="B138" s="83">
        <f t="shared" si="12"/>
        <v>0</v>
      </c>
      <c r="C138" s="83">
        <f t="shared" si="13"/>
      </c>
      <c r="D138" s="83">
        <f t="shared" si="14"/>
      </c>
      <c r="E138" s="83">
        <f t="shared" si="15"/>
        <v>0</v>
      </c>
      <c r="F138" s="83">
        <f t="shared" si="16"/>
        <v>0</v>
      </c>
      <c r="G138" s="83">
        <f t="shared" si="17"/>
      </c>
      <c r="H138" s="101">
        <f>IF(AND(M138&gt;0,M138&lt;=STATS!$C$22),1,"")</f>
        <v>1</v>
      </c>
      <c r="J138" s="22">
        <v>137</v>
      </c>
      <c r="K138" s="112">
        <v>46.0943</v>
      </c>
      <c r="L138" s="112">
        <v>-91.23785</v>
      </c>
      <c r="M138" s="4">
        <v>7</v>
      </c>
      <c r="N138" s="4" t="s">
        <v>480</v>
      </c>
      <c r="O138" s="4" t="s">
        <v>562</v>
      </c>
      <c r="R138" s="8"/>
      <c r="S138" s="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EZ138" s="98"/>
      <c r="FA138" s="98"/>
      <c r="FB138" s="98"/>
      <c r="FC138" s="98"/>
      <c r="FD138" s="98"/>
    </row>
    <row r="139" spans="2:160" ht="12.75">
      <c r="B139" s="83">
        <f t="shared" si="12"/>
        <v>4</v>
      </c>
      <c r="C139" s="83">
        <f t="shared" si="13"/>
        <v>4</v>
      </c>
      <c r="D139" s="83">
        <f t="shared" si="14"/>
        <v>4</v>
      </c>
      <c r="E139" s="83">
        <f t="shared" si="15"/>
        <v>4</v>
      </c>
      <c r="F139" s="83">
        <f t="shared" si="16"/>
        <v>4</v>
      </c>
      <c r="G139" s="83">
        <f t="shared" si="17"/>
        <v>2</v>
      </c>
      <c r="H139" s="101">
        <f>IF(AND(M139&gt;0,M139&lt;=STATS!$C$22),1,"")</f>
        <v>1</v>
      </c>
      <c r="J139" s="22">
        <v>138</v>
      </c>
      <c r="K139" s="112">
        <v>46.09433</v>
      </c>
      <c r="L139" s="112">
        <v>-91.23481</v>
      </c>
      <c r="M139" s="4">
        <v>2</v>
      </c>
      <c r="N139" s="4" t="s">
        <v>481</v>
      </c>
      <c r="O139" s="4" t="s">
        <v>562</v>
      </c>
      <c r="Q139" s="4">
        <v>3</v>
      </c>
      <c r="R139" s="8"/>
      <c r="S139" s="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>
        <v>1</v>
      </c>
      <c r="AH139" s="24"/>
      <c r="AT139" s="4">
        <v>1</v>
      </c>
      <c r="BC139" s="4">
        <v>1</v>
      </c>
      <c r="BP139" s="4">
        <v>3</v>
      </c>
      <c r="EZ139" s="98"/>
      <c r="FA139" s="98"/>
      <c r="FB139" s="98"/>
      <c r="FC139" s="98"/>
      <c r="FD139" s="98"/>
    </row>
    <row r="140" spans="2:160" ht="12.75">
      <c r="B140" s="83">
        <f t="shared" si="12"/>
        <v>1</v>
      </c>
      <c r="C140" s="83">
        <f t="shared" si="13"/>
        <v>1</v>
      </c>
      <c r="D140" s="83">
        <f t="shared" si="14"/>
        <v>1</v>
      </c>
      <c r="E140" s="83">
        <f t="shared" si="15"/>
        <v>1</v>
      </c>
      <c r="F140" s="83">
        <f t="shared" si="16"/>
        <v>1</v>
      </c>
      <c r="G140" s="83">
        <f t="shared" si="17"/>
        <v>5</v>
      </c>
      <c r="H140" s="101">
        <f>IF(AND(M140&gt;0,M140&lt;=STATS!$C$22),1,"")</f>
        <v>1</v>
      </c>
      <c r="J140" s="22">
        <v>139</v>
      </c>
      <c r="K140" s="112">
        <v>46.09434</v>
      </c>
      <c r="L140" s="112">
        <v>-91.2342</v>
      </c>
      <c r="M140" s="4">
        <v>5</v>
      </c>
      <c r="N140" s="4" t="s">
        <v>480</v>
      </c>
      <c r="O140" s="4" t="s">
        <v>562</v>
      </c>
      <c r="Q140" s="4">
        <v>1</v>
      </c>
      <c r="R140" s="8"/>
      <c r="S140" s="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BR140" s="4">
        <v>1</v>
      </c>
      <c r="EZ140" s="98"/>
      <c r="FA140" s="98"/>
      <c r="FB140" s="98"/>
      <c r="FC140" s="98"/>
      <c r="FD140" s="98"/>
    </row>
    <row r="141" spans="2:160" ht="12.75">
      <c r="B141" s="83">
        <f t="shared" si="12"/>
        <v>0</v>
      </c>
      <c r="C141" s="83">
        <f t="shared" si="13"/>
      </c>
      <c r="D141" s="83">
        <f t="shared" si="14"/>
      </c>
      <c r="E141" s="83">
        <f t="shared" si="15"/>
        <v>0</v>
      </c>
      <c r="F141" s="83">
        <f t="shared" si="16"/>
        <v>0</v>
      </c>
      <c r="G141" s="83">
        <f t="shared" si="17"/>
      </c>
      <c r="H141" s="101">
        <f>IF(AND(M141&gt;0,M141&lt;=STATS!$C$22),1,"")</f>
        <v>1</v>
      </c>
      <c r="J141" s="22">
        <v>140</v>
      </c>
      <c r="K141" s="112">
        <v>46.09435</v>
      </c>
      <c r="L141" s="112">
        <v>-91.23359</v>
      </c>
      <c r="M141" s="4">
        <v>4.5</v>
      </c>
      <c r="N141" s="4" t="s">
        <v>480</v>
      </c>
      <c r="O141" s="4" t="s">
        <v>562</v>
      </c>
      <c r="R141" s="8"/>
      <c r="S141" s="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EZ141" s="98"/>
      <c r="FA141" s="98"/>
      <c r="FB141" s="98"/>
      <c r="FC141" s="98"/>
      <c r="FD141" s="98"/>
    </row>
    <row r="142" spans="2:160" ht="12.75">
      <c r="B142" s="83">
        <f t="shared" si="12"/>
        <v>0</v>
      </c>
      <c r="C142" s="83">
        <f t="shared" si="13"/>
      </c>
      <c r="D142" s="83">
        <f t="shared" si="14"/>
      </c>
      <c r="E142" s="83">
        <f t="shared" si="15"/>
        <v>0</v>
      </c>
      <c r="F142" s="83">
        <f t="shared" si="16"/>
        <v>0</v>
      </c>
      <c r="G142" s="83">
        <f t="shared" si="17"/>
      </c>
      <c r="H142" s="101">
        <f>IF(AND(M142&gt;0,M142&lt;=STATS!$C$22),1,"")</f>
        <v>1</v>
      </c>
      <c r="J142" s="22">
        <v>141</v>
      </c>
      <c r="K142" s="112">
        <v>46.09435</v>
      </c>
      <c r="L142" s="112">
        <v>-91.23298</v>
      </c>
      <c r="M142" s="4">
        <v>5</v>
      </c>
      <c r="N142" s="4" t="s">
        <v>480</v>
      </c>
      <c r="O142" s="4" t="s">
        <v>562</v>
      </c>
      <c r="R142" s="8"/>
      <c r="S142" s="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EZ142" s="98"/>
      <c r="FA142" s="98"/>
      <c r="FB142" s="98"/>
      <c r="FC142" s="98"/>
      <c r="FD142" s="98"/>
    </row>
    <row r="143" spans="2:160" ht="12.75">
      <c r="B143" s="83">
        <f t="shared" si="12"/>
        <v>0</v>
      </c>
      <c r="C143" s="83">
        <f t="shared" si="13"/>
      </c>
      <c r="D143" s="83">
        <f t="shared" si="14"/>
      </c>
      <c r="E143" s="83">
        <f t="shared" si="15"/>
        <v>0</v>
      </c>
      <c r="F143" s="83">
        <f t="shared" si="16"/>
        <v>0</v>
      </c>
      <c r="G143" s="83">
        <f t="shared" si="17"/>
      </c>
      <c r="H143" s="101">
        <f>IF(AND(M143&gt;0,M143&lt;=STATS!$C$22),1,"")</f>
        <v>1</v>
      </c>
      <c r="J143" s="22">
        <v>142</v>
      </c>
      <c r="K143" s="112">
        <v>46.09436</v>
      </c>
      <c r="L143" s="112">
        <v>-91.23237</v>
      </c>
      <c r="M143" s="4">
        <v>5</v>
      </c>
      <c r="N143" s="4" t="s">
        <v>480</v>
      </c>
      <c r="O143" s="4" t="s">
        <v>562</v>
      </c>
      <c r="R143" s="8"/>
      <c r="S143" s="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EZ143" s="98"/>
      <c r="FA143" s="98"/>
      <c r="FB143" s="98"/>
      <c r="FC143" s="98"/>
      <c r="FD143" s="98"/>
    </row>
    <row r="144" spans="2:160" ht="12.75">
      <c r="B144" s="83">
        <f t="shared" si="12"/>
        <v>0</v>
      </c>
      <c r="C144" s="83">
        <f t="shared" si="13"/>
      </c>
      <c r="D144" s="83">
        <f t="shared" si="14"/>
      </c>
      <c r="E144" s="83">
        <f t="shared" si="15"/>
        <v>0</v>
      </c>
      <c r="F144" s="83">
        <f t="shared" si="16"/>
        <v>0</v>
      </c>
      <c r="G144" s="83">
        <f t="shared" si="17"/>
      </c>
      <c r="H144" s="101">
        <f>IF(AND(M144&gt;0,M144&lt;=STATS!$C$22),1,"")</f>
        <v>1</v>
      </c>
      <c r="J144" s="22">
        <v>143</v>
      </c>
      <c r="K144" s="112">
        <v>46.09437</v>
      </c>
      <c r="L144" s="112">
        <v>-91.23177</v>
      </c>
      <c r="M144" s="4">
        <v>4.5</v>
      </c>
      <c r="N144" s="4" t="s">
        <v>480</v>
      </c>
      <c r="O144" s="4" t="s">
        <v>562</v>
      </c>
      <c r="R144" s="8"/>
      <c r="S144" s="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EZ144" s="98"/>
      <c r="FA144" s="98"/>
      <c r="FB144" s="98"/>
      <c r="FC144" s="98"/>
      <c r="FD144" s="98"/>
    </row>
    <row r="145" spans="2:160" ht="12.75">
      <c r="B145" s="83">
        <f t="shared" si="12"/>
        <v>1</v>
      </c>
      <c r="C145" s="83">
        <f t="shared" si="13"/>
        <v>1</v>
      </c>
      <c r="D145" s="83">
        <f t="shared" si="14"/>
        <v>1</v>
      </c>
      <c r="E145" s="83">
        <f t="shared" si="15"/>
        <v>1</v>
      </c>
      <c r="F145" s="83">
        <f t="shared" si="16"/>
        <v>1</v>
      </c>
      <c r="G145" s="83">
        <f t="shared" si="17"/>
        <v>1</v>
      </c>
      <c r="H145" s="101">
        <f>IF(AND(M145&gt;0,M145&lt;=STATS!$C$22),1,"")</f>
        <v>1</v>
      </c>
      <c r="J145" s="22">
        <v>144</v>
      </c>
      <c r="K145" s="112">
        <v>46.09465</v>
      </c>
      <c r="L145" s="112">
        <v>-91.24515</v>
      </c>
      <c r="M145" s="4">
        <v>1</v>
      </c>
      <c r="N145" s="4" t="s">
        <v>480</v>
      </c>
      <c r="O145" s="4" t="s">
        <v>562</v>
      </c>
      <c r="Q145" s="4">
        <v>2</v>
      </c>
      <c r="R145" s="8"/>
      <c r="S145" s="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CB145" s="4">
        <v>2</v>
      </c>
      <c r="EZ145" s="98"/>
      <c r="FA145" s="98"/>
      <c r="FB145" s="98"/>
      <c r="FC145" s="98"/>
      <c r="FD145" s="98"/>
    </row>
    <row r="146" spans="2:160" ht="12.75">
      <c r="B146" s="83">
        <f t="shared" si="12"/>
        <v>4</v>
      </c>
      <c r="C146" s="83">
        <f t="shared" si="13"/>
        <v>4</v>
      </c>
      <c r="D146" s="83">
        <f t="shared" si="14"/>
        <v>4</v>
      </c>
      <c r="E146" s="83">
        <f t="shared" si="15"/>
        <v>4</v>
      </c>
      <c r="F146" s="83">
        <f t="shared" si="16"/>
        <v>4</v>
      </c>
      <c r="G146" s="83">
        <f t="shared" si="17"/>
        <v>3.5</v>
      </c>
      <c r="H146" s="101">
        <f>IF(AND(M146&gt;0,M146&lt;=STATS!$C$22),1,"")</f>
        <v>1</v>
      </c>
      <c r="J146" s="22">
        <v>145</v>
      </c>
      <c r="K146" s="112">
        <v>46.09465</v>
      </c>
      <c r="L146" s="112">
        <v>-91.24454</v>
      </c>
      <c r="M146" s="4">
        <v>3.5</v>
      </c>
      <c r="N146" s="4" t="s">
        <v>480</v>
      </c>
      <c r="O146" s="4" t="s">
        <v>562</v>
      </c>
      <c r="Q146" s="4">
        <v>1</v>
      </c>
      <c r="R146" s="8"/>
      <c r="S146" s="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>
        <v>1</v>
      </c>
      <c r="AH146" s="24"/>
      <c r="BR146" s="4">
        <v>1</v>
      </c>
      <c r="CB146" s="4">
        <v>1</v>
      </c>
      <c r="CS146" s="4">
        <v>1</v>
      </c>
      <c r="EZ146" s="98"/>
      <c r="FA146" s="98"/>
      <c r="FB146" s="98"/>
      <c r="FC146" s="98"/>
      <c r="FD146" s="98"/>
    </row>
    <row r="147" spans="2:160" ht="12.75">
      <c r="B147" s="83">
        <f t="shared" si="12"/>
        <v>0</v>
      </c>
      <c r="C147" s="83">
        <f t="shared" si="13"/>
      </c>
      <c r="D147" s="83">
        <f t="shared" si="14"/>
      </c>
      <c r="E147" s="83">
        <f t="shared" si="15"/>
        <v>0</v>
      </c>
      <c r="F147" s="83">
        <f t="shared" si="16"/>
        <v>0</v>
      </c>
      <c r="G147" s="83">
        <f t="shared" si="17"/>
      </c>
      <c r="H147" s="101">
        <f>IF(AND(M147&gt;0,M147&lt;=STATS!$C$22),1,"")</f>
        <v>1</v>
      </c>
      <c r="J147" s="22">
        <v>146</v>
      </c>
      <c r="K147" s="112">
        <v>46.09466</v>
      </c>
      <c r="L147" s="112">
        <v>-91.24393</v>
      </c>
      <c r="M147" s="4">
        <v>4.5</v>
      </c>
      <c r="N147" s="4" t="s">
        <v>480</v>
      </c>
      <c r="O147" s="4" t="s">
        <v>562</v>
      </c>
      <c r="R147" s="8"/>
      <c r="S147" s="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EZ147" s="98"/>
      <c r="FA147" s="98"/>
      <c r="FB147" s="98"/>
      <c r="FC147" s="98"/>
      <c r="FD147" s="98"/>
    </row>
    <row r="148" spans="2:160" ht="12.75">
      <c r="B148" s="83">
        <f t="shared" si="12"/>
        <v>0</v>
      </c>
      <c r="C148" s="83">
        <f t="shared" si="13"/>
      </c>
      <c r="D148" s="83">
        <f t="shared" si="14"/>
      </c>
      <c r="E148" s="83">
        <f t="shared" si="15"/>
        <v>0</v>
      </c>
      <c r="F148" s="83">
        <f t="shared" si="16"/>
        <v>0</v>
      </c>
      <c r="G148" s="83">
        <f t="shared" si="17"/>
      </c>
      <c r="H148" s="101">
        <f>IF(AND(M148&gt;0,M148&lt;=STATS!$C$22),1,"")</f>
        <v>1</v>
      </c>
      <c r="J148" s="22">
        <v>147</v>
      </c>
      <c r="K148" s="112">
        <v>46.09466</v>
      </c>
      <c r="L148" s="112">
        <v>-91.24333</v>
      </c>
      <c r="M148" s="4">
        <v>4.5</v>
      </c>
      <c r="N148" s="4" t="s">
        <v>480</v>
      </c>
      <c r="O148" s="4" t="s">
        <v>562</v>
      </c>
      <c r="R148" s="8"/>
      <c r="S148" s="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EZ148" s="98"/>
      <c r="FA148" s="98"/>
      <c r="FB148" s="98"/>
      <c r="FC148" s="98"/>
      <c r="FD148" s="98"/>
    </row>
    <row r="149" spans="2:160" ht="12.75">
      <c r="B149" s="83">
        <f t="shared" si="12"/>
        <v>0</v>
      </c>
      <c r="C149" s="83">
        <f t="shared" si="13"/>
      </c>
      <c r="D149" s="83">
        <f t="shared" si="14"/>
      </c>
      <c r="E149" s="83">
        <f t="shared" si="15"/>
        <v>0</v>
      </c>
      <c r="F149" s="83">
        <f t="shared" si="16"/>
        <v>0</v>
      </c>
      <c r="G149" s="83">
        <f t="shared" si="17"/>
      </c>
      <c r="H149" s="101">
        <f>IF(AND(M149&gt;0,M149&lt;=STATS!$C$22),1,"")</f>
        <v>1</v>
      </c>
      <c r="J149" s="22">
        <v>148</v>
      </c>
      <c r="K149" s="112">
        <v>46.09467</v>
      </c>
      <c r="L149" s="112">
        <v>-91.24272</v>
      </c>
      <c r="M149" s="4">
        <v>5</v>
      </c>
      <c r="N149" s="4" t="s">
        <v>480</v>
      </c>
      <c r="O149" s="4" t="s">
        <v>562</v>
      </c>
      <c r="R149" s="8"/>
      <c r="S149" s="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EZ149" s="98"/>
      <c r="FA149" s="98"/>
      <c r="FB149" s="98"/>
      <c r="FC149" s="98"/>
      <c r="FD149" s="98"/>
    </row>
    <row r="150" spans="2:160" ht="12.75">
      <c r="B150" s="83">
        <f t="shared" si="12"/>
        <v>1</v>
      </c>
      <c r="C150" s="83">
        <f t="shared" si="13"/>
        <v>1</v>
      </c>
      <c r="D150" s="83">
        <f t="shared" si="14"/>
        <v>1</v>
      </c>
      <c r="E150" s="83">
        <f t="shared" si="15"/>
        <v>1</v>
      </c>
      <c r="F150" s="83">
        <f t="shared" si="16"/>
        <v>1</v>
      </c>
      <c r="G150" s="83">
        <f t="shared" si="17"/>
        <v>5.5</v>
      </c>
      <c r="H150" s="101">
        <f>IF(AND(M150&gt;0,M150&lt;=STATS!$C$22),1,"")</f>
        <v>1</v>
      </c>
      <c r="J150" s="22">
        <v>149</v>
      </c>
      <c r="K150" s="112">
        <v>46.09468</v>
      </c>
      <c r="L150" s="112">
        <v>-91.24211</v>
      </c>
      <c r="M150" s="4">
        <v>5.5</v>
      </c>
      <c r="N150" s="4" t="s">
        <v>480</v>
      </c>
      <c r="O150" s="4" t="s">
        <v>562</v>
      </c>
      <c r="Q150" s="4">
        <v>1</v>
      </c>
      <c r="R150" s="8"/>
      <c r="S150" s="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CP150" s="4">
        <v>1</v>
      </c>
      <c r="EZ150" s="98"/>
      <c r="FA150" s="98"/>
      <c r="FB150" s="98"/>
      <c r="FC150" s="98"/>
      <c r="FD150" s="98"/>
    </row>
    <row r="151" spans="2:160" ht="12.75">
      <c r="B151" s="83">
        <f t="shared" si="12"/>
        <v>2</v>
      </c>
      <c r="C151" s="83">
        <f t="shared" si="13"/>
        <v>2</v>
      </c>
      <c r="D151" s="83">
        <f t="shared" si="14"/>
        <v>2</v>
      </c>
      <c r="E151" s="83">
        <f t="shared" si="15"/>
        <v>2</v>
      </c>
      <c r="F151" s="83">
        <f t="shared" si="16"/>
        <v>2</v>
      </c>
      <c r="G151" s="83">
        <f t="shared" si="17"/>
        <v>5.5</v>
      </c>
      <c r="H151" s="101">
        <f>IF(AND(M151&gt;0,M151&lt;=STATS!$C$22),1,"")</f>
        <v>1</v>
      </c>
      <c r="J151" s="22">
        <v>150</v>
      </c>
      <c r="K151" s="112">
        <v>46.09469</v>
      </c>
      <c r="L151" s="112">
        <v>-91.2415</v>
      </c>
      <c r="M151" s="4">
        <v>5.5</v>
      </c>
      <c r="N151" s="4" t="s">
        <v>480</v>
      </c>
      <c r="O151" s="4" t="s">
        <v>562</v>
      </c>
      <c r="Q151" s="4">
        <v>1</v>
      </c>
      <c r="R151" s="8"/>
      <c r="S151" s="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BR151" s="4">
        <v>1</v>
      </c>
      <c r="DK151" s="4">
        <v>1</v>
      </c>
      <c r="EZ151" s="98"/>
      <c r="FA151" s="98"/>
      <c r="FB151" s="98"/>
      <c r="FC151" s="98"/>
      <c r="FD151" s="98"/>
    </row>
    <row r="152" spans="2:160" ht="12.75">
      <c r="B152" s="83">
        <f t="shared" si="12"/>
        <v>0</v>
      </c>
      <c r="C152" s="83">
        <f t="shared" si="13"/>
      </c>
      <c r="D152" s="83">
        <f t="shared" si="14"/>
      </c>
      <c r="E152" s="83">
        <f t="shared" si="15"/>
        <v>0</v>
      </c>
      <c r="F152" s="83">
        <f t="shared" si="16"/>
        <v>0</v>
      </c>
      <c r="G152" s="83">
        <f t="shared" si="17"/>
      </c>
      <c r="H152" s="101">
        <f>IF(AND(M152&gt;0,M152&lt;=STATS!$C$22),1,"")</f>
        <v>1</v>
      </c>
      <c r="J152" s="22">
        <v>151</v>
      </c>
      <c r="K152" s="112">
        <v>46.09469</v>
      </c>
      <c r="L152" s="112">
        <v>-91.24089</v>
      </c>
      <c r="M152" s="4">
        <v>6</v>
      </c>
      <c r="N152" s="4" t="s">
        <v>480</v>
      </c>
      <c r="O152" s="4" t="s">
        <v>562</v>
      </c>
      <c r="R152" s="8"/>
      <c r="S152" s="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EZ152" s="98"/>
      <c r="FA152" s="98"/>
      <c r="FB152" s="98"/>
      <c r="FC152" s="98"/>
      <c r="FD152" s="98"/>
    </row>
    <row r="153" spans="2:160" ht="12.75">
      <c r="B153" s="83">
        <f t="shared" si="12"/>
        <v>0</v>
      </c>
      <c r="C153" s="83">
        <f t="shared" si="13"/>
      </c>
      <c r="D153" s="83">
        <f t="shared" si="14"/>
      </c>
      <c r="E153" s="83">
        <f t="shared" si="15"/>
        <v>0</v>
      </c>
      <c r="F153" s="83">
        <f t="shared" si="16"/>
        <v>0</v>
      </c>
      <c r="G153" s="83">
        <f t="shared" si="17"/>
      </c>
      <c r="H153" s="101">
        <f>IF(AND(M153&gt;0,M153&lt;=STATS!$C$22),1,"")</f>
        <v>1</v>
      </c>
      <c r="J153" s="22">
        <v>152</v>
      </c>
      <c r="K153" s="112">
        <v>46.0947</v>
      </c>
      <c r="L153" s="112">
        <v>-91.24029</v>
      </c>
      <c r="M153" s="4">
        <v>6</v>
      </c>
      <c r="N153" s="4" t="s">
        <v>480</v>
      </c>
      <c r="O153" s="4" t="s">
        <v>562</v>
      </c>
      <c r="R153" s="8"/>
      <c r="S153" s="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EZ153" s="98"/>
      <c r="FA153" s="98"/>
      <c r="FB153" s="98"/>
      <c r="FC153" s="98"/>
      <c r="FD153" s="98"/>
    </row>
    <row r="154" spans="2:160" ht="12.75">
      <c r="B154" s="83">
        <f t="shared" si="12"/>
        <v>0</v>
      </c>
      <c r="C154" s="83">
        <f t="shared" si="13"/>
      </c>
      <c r="D154" s="83">
        <f t="shared" si="14"/>
      </c>
      <c r="E154" s="83">
        <f t="shared" si="15"/>
        <v>0</v>
      </c>
      <c r="F154" s="83">
        <f t="shared" si="16"/>
        <v>0</v>
      </c>
      <c r="G154" s="83">
        <f t="shared" si="17"/>
      </c>
      <c r="H154" s="101">
        <f>IF(AND(M154&gt;0,M154&lt;=STATS!$C$22),1,"")</f>
        <v>1</v>
      </c>
      <c r="J154" s="22">
        <v>153</v>
      </c>
      <c r="K154" s="112">
        <v>46.0947</v>
      </c>
      <c r="L154" s="112">
        <v>-91.23968</v>
      </c>
      <c r="M154" s="4">
        <v>6</v>
      </c>
      <c r="N154" s="4" t="s">
        <v>480</v>
      </c>
      <c r="O154" s="4" t="s">
        <v>562</v>
      </c>
      <c r="R154" s="8"/>
      <c r="S154" s="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EZ154" s="98"/>
      <c r="FA154" s="98"/>
      <c r="FB154" s="98"/>
      <c r="FC154" s="98"/>
      <c r="FD154" s="98"/>
    </row>
    <row r="155" spans="2:160" ht="12.75">
      <c r="B155" s="83">
        <f t="shared" si="12"/>
        <v>1</v>
      </c>
      <c r="C155" s="83">
        <f t="shared" si="13"/>
        <v>1</v>
      </c>
      <c r="D155" s="83">
        <f t="shared" si="14"/>
        <v>1</v>
      </c>
      <c r="E155" s="83">
        <f t="shared" si="15"/>
        <v>1</v>
      </c>
      <c r="F155" s="83">
        <f t="shared" si="16"/>
        <v>1</v>
      </c>
      <c r="G155" s="83">
        <f t="shared" si="17"/>
        <v>6</v>
      </c>
      <c r="H155" s="101">
        <f>IF(AND(M155&gt;0,M155&lt;=STATS!$C$22),1,"")</f>
        <v>1</v>
      </c>
      <c r="J155" s="22">
        <v>154</v>
      </c>
      <c r="K155" s="112">
        <v>46.09471</v>
      </c>
      <c r="L155" s="112">
        <v>-91.23907</v>
      </c>
      <c r="M155" s="4">
        <v>6</v>
      </c>
      <c r="N155" s="4" t="s">
        <v>480</v>
      </c>
      <c r="O155" s="4" t="s">
        <v>562</v>
      </c>
      <c r="Q155" s="4">
        <v>1</v>
      </c>
      <c r="R155" s="8"/>
      <c r="S155" s="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BR155" s="4">
        <v>1</v>
      </c>
      <c r="EZ155" s="98"/>
      <c r="FA155" s="98"/>
      <c r="FB155" s="98"/>
      <c r="FC155" s="98"/>
      <c r="FD155" s="98"/>
    </row>
    <row r="156" spans="2:160" ht="12.75">
      <c r="B156" s="83">
        <f t="shared" si="12"/>
        <v>0</v>
      </c>
      <c r="C156" s="83">
        <f t="shared" si="13"/>
      </c>
      <c r="D156" s="83">
        <f t="shared" si="14"/>
      </c>
      <c r="E156" s="83">
        <f t="shared" si="15"/>
        <v>0</v>
      </c>
      <c r="F156" s="83">
        <f t="shared" si="16"/>
        <v>0</v>
      </c>
      <c r="G156" s="83">
        <f t="shared" si="17"/>
      </c>
      <c r="H156" s="101">
        <f>IF(AND(M156&gt;0,M156&lt;=STATS!$C$22),1,"")</f>
        <v>1</v>
      </c>
      <c r="J156" s="22">
        <v>155</v>
      </c>
      <c r="K156" s="112">
        <v>46.09472</v>
      </c>
      <c r="L156" s="112">
        <v>-91.23846</v>
      </c>
      <c r="M156" s="4">
        <v>6</v>
      </c>
      <c r="N156" s="4" t="s">
        <v>480</v>
      </c>
      <c r="O156" s="4" t="s">
        <v>562</v>
      </c>
      <c r="R156" s="8"/>
      <c r="S156" s="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EZ156" s="98"/>
      <c r="FA156" s="98"/>
      <c r="FB156" s="98"/>
      <c r="FC156" s="98"/>
      <c r="FD156" s="98"/>
    </row>
    <row r="157" spans="2:160" ht="12.75">
      <c r="B157" s="83">
        <f t="shared" si="12"/>
        <v>0</v>
      </c>
      <c r="C157" s="83">
        <f t="shared" si="13"/>
      </c>
      <c r="D157" s="83">
        <f t="shared" si="14"/>
      </c>
      <c r="E157" s="83">
        <f t="shared" si="15"/>
        <v>0</v>
      </c>
      <c r="F157" s="83">
        <f t="shared" si="16"/>
        <v>0</v>
      </c>
      <c r="G157" s="83">
        <f t="shared" si="17"/>
      </c>
      <c r="H157" s="101">
        <f>IF(AND(M157&gt;0,M157&lt;=STATS!$C$22),1,"")</f>
        <v>1</v>
      </c>
      <c r="J157" s="22">
        <v>156</v>
      </c>
      <c r="K157" s="112">
        <v>46.09472</v>
      </c>
      <c r="L157" s="112">
        <v>-91.23785</v>
      </c>
      <c r="M157" s="4">
        <v>6</v>
      </c>
      <c r="N157" s="4" t="s">
        <v>480</v>
      </c>
      <c r="O157" s="4" t="s">
        <v>562</v>
      </c>
      <c r="R157" s="8"/>
      <c r="S157" s="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EZ157" s="98"/>
      <c r="FA157" s="98"/>
      <c r="FB157" s="98"/>
      <c r="FC157" s="98"/>
      <c r="FD157" s="98"/>
    </row>
    <row r="158" spans="2:160" ht="12.75">
      <c r="B158" s="83">
        <f t="shared" si="12"/>
        <v>0</v>
      </c>
      <c r="C158" s="83">
        <f t="shared" si="13"/>
      </c>
      <c r="D158" s="83">
        <f t="shared" si="14"/>
      </c>
      <c r="E158" s="83">
        <f t="shared" si="15"/>
        <v>0</v>
      </c>
      <c r="F158" s="83">
        <f t="shared" si="16"/>
        <v>0</v>
      </c>
      <c r="G158" s="83">
        <f t="shared" si="17"/>
      </c>
      <c r="H158" s="101">
        <f>IF(AND(M158&gt;0,M158&lt;=STATS!$C$22),1,"")</f>
        <v>1</v>
      </c>
      <c r="J158" s="22">
        <v>157</v>
      </c>
      <c r="K158" s="112">
        <v>46.09473</v>
      </c>
      <c r="L158" s="112">
        <v>-91.23725</v>
      </c>
      <c r="M158" s="4">
        <v>6</v>
      </c>
      <c r="N158" s="4" t="s">
        <v>480</v>
      </c>
      <c r="O158" s="4" t="s">
        <v>562</v>
      </c>
      <c r="R158" s="8"/>
      <c r="S158" s="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EZ158" s="98"/>
      <c r="FA158" s="98"/>
      <c r="FB158" s="98"/>
      <c r="FC158" s="98"/>
      <c r="FD158" s="98"/>
    </row>
    <row r="159" spans="2:160" ht="12.75">
      <c r="B159" s="83">
        <f t="shared" si="12"/>
        <v>0</v>
      </c>
      <c r="C159" s="83">
        <f t="shared" si="13"/>
      </c>
      <c r="D159" s="83">
        <f t="shared" si="14"/>
      </c>
      <c r="E159" s="83">
        <f t="shared" si="15"/>
        <v>0</v>
      </c>
      <c r="F159" s="83">
        <f t="shared" si="16"/>
        <v>0</v>
      </c>
      <c r="G159" s="83">
        <f t="shared" si="17"/>
      </c>
      <c r="H159" s="101">
        <f>IF(AND(M159&gt;0,M159&lt;=STATS!$C$22),1,"")</f>
        <v>1</v>
      </c>
      <c r="J159" s="22">
        <v>158</v>
      </c>
      <c r="K159" s="112">
        <v>46.09476</v>
      </c>
      <c r="L159" s="112">
        <v>-91.23482</v>
      </c>
      <c r="M159" s="4">
        <v>4.5</v>
      </c>
      <c r="N159" s="4" t="s">
        <v>481</v>
      </c>
      <c r="O159" s="4" t="s">
        <v>562</v>
      </c>
      <c r="R159" s="8"/>
      <c r="S159" s="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EZ159" s="98"/>
      <c r="FA159" s="98"/>
      <c r="FB159" s="98"/>
      <c r="FC159" s="98"/>
      <c r="FD159" s="98"/>
    </row>
    <row r="160" spans="2:160" ht="12.75">
      <c r="B160" s="83">
        <f t="shared" si="12"/>
        <v>0</v>
      </c>
      <c r="C160" s="83">
        <f t="shared" si="13"/>
      </c>
      <c r="D160" s="83">
        <f t="shared" si="14"/>
      </c>
      <c r="E160" s="83">
        <f t="shared" si="15"/>
        <v>0</v>
      </c>
      <c r="F160" s="83">
        <f t="shared" si="16"/>
        <v>0</v>
      </c>
      <c r="G160" s="83">
        <f t="shared" si="17"/>
      </c>
      <c r="H160" s="101">
        <f>IF(AND(M160&gt;0,M160&lt;=STATS!$C$22),1,"")</f>
        <v>1</v>
      </c>
      <c r="J160" s="22">
        <v>159</v>
      </c>
      <c r="K160" s="112">
        <v>46.09476</v>
      </c>
      <c r="L160" s="112">
        <v>-91.23421</v>
      </c>
      <c r="M160" s="4">
        <v>5.5</v>
      </c>
      <c r="N160" s="4" t="s">
        <v>480</v>
      </c>
      <c r="O160" s="4" t="s">
        <v>562</v>
      </c>
      <c r="R160" s="8"/>
      <c r="S160" s="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EZ160" s="98"/>
      <c r="FA160" s="98"/>
      <c r="FB160" s="98"/>
      <c r="FC160" s="98"/>
      <c r="FD160" s="98"/>
    </row>
    <row r="161" spans="2:160" ht="12.75">
      <c r="B161" s="83">
        <f t="shared" si="12"/>
        <v>1</v>
      </c>
      <c r="C161" s="83">
        <f t="shared" si="13"/>
        <v>1</v>
      </c>
      <c r="D161" s="83">
        <f t="shared" si="14"/>
        <v>1</v>
      </c>
      <c r="E161" s="83">
        <f t="shared" si="15"/>
        <v>1</v>
      </c>
      <c r="F161" s="83">
        <f t="shared" si="16"/>
        <v>1</v>
      </c>
      <c r="G161" s="83">
        <f t="shared" si="17"/>
        <v>4.5</v>
      </c>
      <c r="H161" s="101">
        <f>IF(AND(M161&gt;0,M161&lt;=STATS!$C$22),1,"")</f>
        <v>1</v>
      </c>
      <c r="J161" s="22">
        <v>160</v>
      </c>
      <c r="K161" s="112">
        <v>46.09477</v>
      </c>
      <c r="L161" s="112">
        <v>-91.2336</v>
      </c>
      <c r="M161" s="4">
        <v>4.5</v>
      </c>
      <c r="N161" s="4" t="s">
        <v>480</v>
      </c>
      <c r="O161" s="4" t="s">
        <v>562</v>
      </c>
      <c r="Q161" s="4">
        <v>1</v>
      </c>
      <c r="R161" s="8"/>
      <c r="S161" s="8"/>
      <c r="T161" s="24"/>
      <c r="U161" s="24"/>
      <c r="V161" s="24"/>
      <c r="W161" s="24"/>
      <c r="X161" s="24" t="s">
        <v>483</v>
      </c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CB161" s="4">
        <v>1</v>
      </c>
      <c r="EZ161" s="98"/>
      <c r="FA161" s="98"/>
      <c r="FB161" s="98"/>
      <c r="FC161" s="98"/>
      <c r="FD161" s="98"/>
    </row>
    <row r="162" spans="2:160" ht="12.75">
      <c r="B162" s="83">
        <f t="shared" si="12"/>
        <v>0</v>
      </c>
      <c r="C162" s="83">
        <f t="shared" si="13"/>
      </c>
      <c r="D162" s="83">
        <f t="shared" si="14"/>
      </c>
      <c r="E162" s="83">
        <f t="shared" si="15"/>
        <v>0</v>
      </c>
      <c r="F162" s="83">
        <f t="shared" si="16"/>
        <v>0</v>
      </c>
      <c r="G162" s="83">
        <f t="shared" si="17"/>
      </c>
      <c r="H162" s="101">
        <f>IF(AND(M162&gt;0,M162&lt;=STATS!$C$22),1,"")</f>
        <v>1</v>
      </c>
      <c r="J162" s="22">
        <v>161</v>
      </c>
      <c r="K162" s="112">
        <v>46.09478</v>
      </c>
      <c r="L162" s="112">
        <v>-91.23299</v>
      </c>
      <c r="M162" s="4">
        <v>6</v>
      </c>
      <c r="N162" s="4" t="s">
        <v>480</v>
      </c>
      <c r="O162" s="4" t="s">
        <v>562</v>
      </c>
      <c r="R162" s="8"/>
      <c r="S162" s="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EZ162" s="98"/>
      <c r="FA162" s="98"/>
      <c r="FB162" s="98"/>
      <c r="FC162" s="98"/>
      <c r="FD162" s="98"/>
    </row>
    <row r="163" spans="2:160" ht="12.75">
      <c r="B163" s="83">
        <f t="shared" si="12"/>
        <v>0</v>
      </c>
      <c r="C163" s="83">
        <f t="shared" si="13"/>
      </c>
      <c r="D163" s="83">
        <f t="shared" si="14"/>
      </c>
      <c r="E163" s="83">
        <f t="shared" si="15"/>
        <v>0</v>
      </c>
      <c r="F163" s="83">
        <f t="shared" si="16"/>
        <v>0</v>
      </c>
      <c r="G163" s="83">
        <f t="shared" si="17"/>
      </c>
      <c r="H163" s="101">
        <f>IF(AND(M163&gt;0,M163&lt;=STATS!$C$22),1,"")</f>
        <v>1</v>
      </c>
      <c r="J163" s="22">
        <v>162</v>
      </c>
      <c r="K163" s="112">
        <v>46.09478</v>
      </c>
      <c r="L163" s="112">
        <v>-91.23239</v>
      </c>
      <c r="M163" s="4">
        <v>5</v>
      </c>
      <c r="N163" s="4" t="s">
        <v>480</v>
      </c>
      <c r="O163" s="4" t="s">
        <v>562</v>
      </c>
      <c r="R163" s="8"/>
      <c r="S163" s="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EZ163" s="98"/>
      <c r="FA163" s="98"/>
      <c r="FB163" s="98"/>
      <c r="FC163" s="98"/>
      <c r="FD163" s="98"/>
    </row>
    <row r="164" spans="2:160" ht="12.75">
      <c r="B164" s="83">
        <f t="shared" si="12"/>
        <v>0</v>
      </c>
      <c r="C164" s="83">
        <f t="shared" si="13"/>
      </c>
      <c r="D164" s="83">
        <f t="shared" si="14"/>
      </c>
      <c r="E164" s="83">
        <f t="shared" si="15"/>
        <v>0</v>
      </c>
      <c r="F164" s="83">
        <f t="shared" si="16"/>
        <v>0</v>
      </c>
      <c r="G164" s="83">
        <f t="shared" si="17"/>
      </c>
      <c r="H164" s="101">
        <f>IF(AND(M164&gt;0,M164&lt;=STATS!$C$22),1,"")</f>
        <v>1</v>
      </c>
      <c r="J164" s="22">
        <v>163</v>
      </c>
      <c r="K164" s="112">
        <v>46.09479</v>
      </c>
      <c r="L164" s="112">
        <v>-91.23178</v>
      </c>
      <c r="M164" s="4">
        <v>4.5</v>
      </c>
      <c r="N164" s="4" t="s">
        <v>480</v>
      </c>
      <c r="O164" s="4" t="s">
        <v>562</v>
      </c>
      <c r="R164" s="8"/>
      <c r="S164" s="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EZ164" s="98"/>
      <c r="FA164" s="98"/>
      <c r="FB164" s="98"/>
      <c r="FC164" s="98"/>
      <c r="FD164" s="98"/>
    </row>
    <row r="165" spans="2:160" ht="12.75">
      <c r="B165" s="83">
        <f t="shared" si="12"/>
        <v>2</v>
      </c>
      <c r="C165" s="83">
        <f t="shared" si="13"/>
        <v>2</v>
      </c>
      <c r="D165" s="83">
        <f t="shared" si="14"/>
        <v>2</v>
      </c>
      <c r="E165" s="83">
        <f t="shared" si="15"/>
        <v>2</v>
      </c>
      <c r="F165" s="83">
        <f t="shared" si="16"/>
        <v>2</v>
      </c>
      <c r="G165" s="83">
        <f t="shared" si="17"/>
        <v>2</v>
      </c>
      <c r="H165" s="101">
        <f>IF(AND(M165&gt;0,M165&lt;=STATS!$C$22),1,"")</f>
        <v>1</v>
      </c>
      <c r="J165" s="22">
        <v>164</v>
      </c>
      <c r="K165" s="112">
        <v>46.09507</v>
      </c>
      <c r="L165" s="112">
        <v>-91.24516</v>
      </c>
      <c r="M165" s="4">
        <v>2</v>
      </c>
      <c r="N165" s="4" t="s">
        <v>480</v>
      </c>
      <c r="O165" s="4" t="s">
        <v>562</v>
      </c>
      <c r="Q165" s="4">
        <v>2</v>
      </c>
      <c r="R165" s="8"/>
      <c r="S165" s="8"/>
      <c r="T165" s="24"/>
      <c r="U165" s="24"/>
      <c r="V165" s="24"/>
      <c r="W165" s="24"/>
      <c r="X165" s="24">
        <v>1</v>
      </c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CB165" s="4">
        <v>2</v>
      </c>
      <c r="EZ165" s="98"/>
      <c r="FA165" s="98"/>
      <c r="FB165" s="98"/>
      <c r="FC165" s="98"/>
      <c r="FD165" s="98"/>
    </row>
    <row r="166" spans="2:160" ht="12.75">
      <c r="B166" s="83">
        <f t="shared" si="12"/>
        <v>1</v>
      </c>
      <c r="C166" s="83">
        <f t="shared" si="13"/>
        <v>1</v>
      </c>
      <c r="D166" s="83">
        <f t="shared" si="14"/>
        <v>1</v>
      </c>
      <c r="E166" s="83">
        <f t="shared" si="15"/>
        <v>1</v>
      </c>
      <c r="F166" s="83">
        <f t="shared" si="16"/>
        <v>1</v>
      </c>
      <c r="G166" s="83">
        <f t="shared" si="17"/>
        <v>2.5</v>
      </c>
      <c r="H166" s="101">
        <f>IF(AND(M166&gt;0,M166&lt;=STATS!$C$22),1,"")</f>
        <v>1</v>
      </c>
      <c r="J166" s="22">
        <v>165</v>
      </c>
      <c r="K166" s="112">
        <v>46.09508</v>
      </c>
      <c r="L166" s="112">
        <v>-91.24455</v>
      </c>
      <c r="M166" s="4">
        <v>2.5</v>
      </c>
      <c r="N166" s="4" t="s">
        <v>480</v>
      </c>
      <c r="O166" s="4" t="s">
        <v>562</v>
      </c>
      <c r="Q166" s="4">
        <v>2</v>
      </c>
      <c r="R166" s="8"/>
      <c r="S166" s="8"/>
      <c r="T166" s="24"/>
      <c r="U166" s="24"/>
      <c r="V166" s="24"/>
      <c r="W166" s="24"/>
      <c r="X166" s="24" t="s">
        <v>483</v>
      </c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CB166" s="4">
        <v>2</v>
      </c>
      <c r="EZ166" s="98"/>
      <c r="FA166" s="98"/>
      <c r="FB166" s="98"/>
      <c r="FC166" s="98"/>
      <c r="FD166" s="98"/>
    </row>
    <row r="167" spans="2:160" ht="12.75">
      <c r="B167" s="83">
        <f t="shared" si="12"/>
        <v>1</v>
      </c>
      <c r="C167" s="83">
        <f t="shared" si="13"/>
        <v>1</v>
      </c>
      <c r="D167" s="83">
        <f t="shared" si="14"/>
        <v>1</v>
      </c>
      <c r="E167" s="83">
        <f t="shared" si="15"/>
        <v>1</v>
      </c>
      <c r="F167" s="83">
        <f t="shared" si="16"/>
        <v>1</v>
      </c>
      <c r="G167" s="83">
        <f t="shared" si="17"/>
        <v>4.5</v>
      </c>
      <c r="H167" s="101">
        <f>IF(AND(M167&gt;0,M167&lt;=STATS!$C$22),1,"")</f>
        <v>1</v>
      </c>
      <c r="J167" s="22">
        <v>166</v>
      </c>
      <c r="K167" s="112">
        <v>46.09508</v>
      </c>
      <c r="L167" s="112">
        <v>-91.24394</v>
      </c>
      <c r="M167" s="4">
        <v>4.5</v>
      </c>
      <c r="N167" s="4" t="s">
        <v>480</v>
      </c>
      <c r="O167" s="4" t="s">
        <v>562</v>
      </c>
      <c r="Q167" s="4">
        <v>1</v>
      </c>
      <c r="R167" s="8"/>
      <c r="S167" s="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CB167" s="4">
        <v>1</v>
      </c>
      <c r="EZ167" s="98"/>
      <c r="FA167" s="98"/>
      <c r="FB167" s="98"/>
      <c r="FC167" s="98"/>
      <c r="FD167" s="98"/>
    </row>
    <row r="168" spans="2:160" ht="12.75">
      <c r="B168" s="83">
        <f t="shared" si="12"/>
        <v>0</v>
      </c>
      <c r="C168" s="83">
        <f t="shared" si="13"/>
      </c>
      <c r="D168" s="83">
        <f t="shared" si="14"/>
      </c>
      <c r="E168" s="83">
        <f t="shared" si="15"/>
        <v>0</v>
      </c>
      <c r="F168" s="83">
        <f t="shared" si="16"/>
        <v>0</v>
      </c>
      <c r="G168" s="83">
        <f t="shared" si="17"/>
      </c>
      <c r="H168" s="101">
        <f>IF(AND(M168&gt;0,M168&lt;=STATS!$C$22),1,"")</f>
        <v>1</v>
      </c>
      <c r="J168" s="22">
        <v>167</v>
      </c>
      <c r="K168" s="112">
        <v>46.09509</v>
      </c>
      <c r="L168" s="112">
        <v>-91.24334</v>
      </c>
      <c r="M168" s="4">
        <v>5</v>
      </c>
      <c r="N168" s="4" t="s">
        <v>480</v>
      </c>
      <c r="O168" s="4" t="s">
        <v>562</v>
      </c>
      <c r="R168" s="8"/>
      <c r="S168" s="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EZ168" s="98"/>
      <c r="FA168" s="98"/>
      <c r="FB168" s="98"/>
      <c r="FC168" s="98"/>
      <c r="FD168" s="98"/>
    </row>
    <row r="169" spans="2:160" ht="12.75">
      <c r="B169" s="83">
        <f t="shared" si="12"/>
        <v>1</v>
      </c>
      <c r="C169" s="83">
        <f t="shared" si="13"/>
        <v>1</v>
      </c>
      <c r="D169" s="83">
        <f t="shared" si="14"/>
        <v>1</v>
      </c>
      <c r="E169" s="83">
        <f t="shared" si="15"/>
        <v>1</v>
      </c>
      <c r="F169" s="83">
        <f t="shared" si="16"/>
        <v>1</v>
      </c>
      <c r="G169" s="83">
        <f t="shared" si="17"/>
        <v>5.5</v>
      </c>
      <c r="H169" s="101">
        <f>IF(AND(M169&gt;0,M169&lt;=STATS!$C$22),1,"")</f>
        <v>1</v>
      </c>
      <c r="J169" s="22">
        <v>168</v>
      </c>
      <c r="K169" s="112">
        <v>46.09509</v>
      </c>
      <c r="L169" s="112">
        <v>-91.24273</v>
      </c>
      <c r="M169" s="4">
        <v>5.5</v>
      </c>
      <c r="N169" s="4" t="s">
        <v>480</v>
      </c>
      <c r="O169" s="4" t="s">
        <v>562</v>
      </c>
      <c r="Q169" s="4">
        <v>1</v>
      </c>
      <c r="R169" s="8"/>
      <c r="S169" s="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DA169" s="4">
        <v>1</v>
      </c>
      <c r="EZ169" s="98"/>
      <c r="FA169" s="98"/>
      <c r="FB169" s="98"/>
      <c r="FC169" s="98"/>
      <c r="FD169" s="98"/>
    </row>
    <row r="170" spans="2:160" ht="12.75">
      <c r="B170" s="83">
        <f t="shared" si="12"/>
        <v>1</v>
      </c>
      <c r="C170" s="83">
        <f t="shared" si="13"/>
        <v>1</v>
      </c>
      <c r="D170" s="83">
        <f t="shared" si="14"/>
        <v>1</v>
      </c>
      <c r="E170" s="83">
        <f t="shared" si="15"/>
        <v>1</v>
      </c>
      <c r="F170" s="83">
        <f t="shared" si="16"/>
        <v>1</v>
      </c>
      <c r="G170" s="83">
        <f t="shared" si="17"/>
        <v>6</v>
      </c>
      <c r="H170" s="101">
        <f>IF(AND(M170&gt;0,M170&lt;=STATS!$C$22),1,"")</f>
        <v>1</v>
      </c>
      <c r="J170" s="22">
        <v>169</v>
      </c>
      <c r="K170" s="112">
        <v>46.0951</v>
      </c>
      <c r="L170" s="112">
        <v>-91.24212</v>
      </c>
      <c r="M170" s="4">
        <v>6</v>
      </c>
      <c r="N170" s="4" t="s">
        <v>480</v>
      </c>
      <c r="O170" s="4" t="s">
        <v>562</v>
      </c>
      <c r="Q170" s="4">
        <v>1</v>
      </c>
      <c r="R170" s="8"/>
      <c r="S170" s="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DK170" s="4">
        <v>1</v>
      </c>
      <c r="EZ170" s="98"/>
      <c r="FA170" s="98"/>
      <c r="FB170" s="98"/>
      <c r="FC170" s="98"/>
      <c r="FD170" s="98"/>
    </row>
    <row r="171" spans="2:160" ht="12.75">
      <c r="B171" s="83">
        <f t="shared" si="12"/>
        <v>0</v>
      </c>
      <c r="C171" s="83">
        <f t="shared" si="13"/>
      </c>
      <c r="D171" s="83">
        <f t="shared" si="14"/>
      </c>
      <c r="E171" s="83">
        <f t="shared" si="15"/>
        <v>0</v>
      </c>
      <c r="F171" s="83">
        <f t="shared" si="16"/>
        <v>0</v>
      </c>
      <c r="G171" s="83">
        <f t="shared" si="17"/>
      </c>
      <c r="H171" s="101">
        <f>IF(AND(M171&gt;0,M171&lt;=STATS!$C$22),1,"")</f>
        <v>1</v>
      </c>
      <c r="J171" s="22">
        <v>170</v>
      </c>
      <c r="K171" s="112">
        <v>46.09511</v>
      </c>
      <c r="L171" s="112">
        <v>-91.24151</v>
      </c>
      <c r="M171" s="4">
        <v>6</v>
      </c>
      <c r="N171" s="4" t="s">
        <v>480</v>
      </c>
      <c r="O171" s="4" t="s">
        <v>562</v>
      </c>
      <c r="R171" s="8"/>
      <c r="S171" s="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EZ171" s="98"/>
      <c r="FA171" s="98"/>
      <c r="FB171" s="98"/>
      <c r="FC171" s="98"/>
      <c r="FD171" s="98"/>
    </row>
    <row r="172" spans="2:160" ht="12.75">
      <c r="B172" s="83">
        <f t="shared" si="12"/>
        <v>0</v>
      </c>
      <c r="C172" s="83">
        <f t="shared" si="13"/>
      </c>
      <c r="D172" s="83">
        <f t="shared" si="14"/>
      </c>
      <c r="E172" s="83">
        <f t="shared" si="15"/>
        <v>0</v>
      </c>
      <c r="F172" s="83">
        <f t="shared" si="16"/>
        <v>0</v>
      </c>
      <c r="G172" s="83">
        <f t="shared" si="17"/>
      </c>
      <c r="H172" s="101">
        <f>IF(AND(M172&gt;0,M172&lt;=STATS!$C$22),1,"")</f>
        <v>1</v>
      </c>
      <c r="J172" s="22">
        <v>171</v>
      </c>
      <c r="K172" s="112">
        <v>46.09511</v>
      </c>
      <c r="L172" s="112">
        <v>-91.2409</v>
      </c>
      <c r="M172" s="4">
        <v>6</v>
      </c>
      <c r="N172" s="4" t="s">
        <v>480</v>
      </c>
      <c r="O172" s="4" t="s">
        <v>562</v>
      </c>
      <c r="R172" s="8"/>
      <c r="S172" s="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EZ172" s="98"/>
      <c r="FA172" s="98"/>
      <c r="FB172" s="98"/>
      <c r="FC172" s="98"/>
      <c r="FD172" s="98"/>
    </row>
    <row r="173" spans="2:160" ht="12.75">
      <c r="B173" s="83">
        <f t="shared" si="12"/>
        <v>0</v>
      </c>
      <c r="C173" s="83">
        <f t="shared" si="13"/>
      </c>
      <c r="D173" s="83">
        <f t="shared" si="14"/>
      </c>
      <c r="E173" s="83">
        <f t="shared" si="15"/>
        <v>0</v>
      </c>
      <c r="F173" s="83">
        <f t="shared" si="16"/>
        <v>0</v>
      </c>
      <c r="G173" s="83">
        <f t="shared" si="17"/>
      </c>
      <c r="H173" s="101">
        <f>IF(AND(M173&gt;0,M173&lt;=STATS!$C$22),1,"")</f>
        <v>1</v>
      </c>
      <c r="J173" s="22">
        <v>172</v>
      </c>
      <c r="K173" s="112">
        <v>46.09512</v>
      </c>
      <c r="L173" s="112">
        <v>-91.2403</v>
      </c>
      <c r="M173" s="4">
        <v>6</v>
      </c>
      <c r="N173" s="4" t="s">
        <v>480</v>
      </c>
      <c r="O173" s="4" t="s">
        <v>562</v>
      </c>
      <c r="R173" s="8"/>
      <c r="S173" s="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EZ173" s="98"/>
      <c r="FA173" s="98"/>
      <c r="FB173" s="98"/>
      <c r="FC173" s="98"/>
      <c r="FD173" s="98"/>
    </row>
    <row r="174" spans="2:160" ht="12.75">
      <c r="B174" s="83">
        <f t="shared" si="12"/>
        <v>0</v>
      </c>
      <c r="C174" s="83">
        <f t="shared" si="13"/>
      </c>
      <c r="D174" s="83">
        <f t="shared" si="14"/>
      </c>
      <c r="E174" s="83">
        <f t="shared" si="15"/>
        <v>0</v>
      </c>
      <c r="F174" s="83">
        <f t="shared" si="16"/>
        <v>0</v>
      </c>
      <c r="G174" s="83">
        <f t="shared" si="17"/>
      </c>
      <c r="H174" s="101">
        <f>IF(AND(M174&gt;0,M174&lt;=STATS!$C$22),1,"")</f>
        <v>1</v>
      </c>
      <c r="J174" s="22">
        <v>173</v>
      </c>
      <c r="K174" s="112">
        <v>46.09513</v>
      </c>
      <c r="L174" s="112">
        <v>-91.23969</v>
      </c>
      <c r="M174" s="4">
        <v>6</v>
      </c>
      <c r="N174" s="4" t="s">
        <v>480</v>
      </c>
      <c r="O174" s="4" t="s">
        <v>562</v>
      </c>
      <c r="R174" s="8"/>
      <c r="S174" s="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CW174" s="4" t="s">
        <v>483</v>
      </c>
      <c r="EZ174" s="98"/>
      <c r="FA174" s="98"/>
      <c r="FB174" s="98"/>
      <c r="FC174" s="98"/>
      <c r="FD174" s="98"/>
    </row>
    <row r="175" spans="2:160" ht="12.75">
      <c r="B175" s="83">
        <f t="shared" si="12"/>
        <v>0</v>
      </c>
      <c r="C175" s="83">
        <f t="shared" si="13"/>
      </c>
      <c r="D175" s="83">
        <f t="shared" si="14"/>
      </c>
      <c r="E175" s="83">
        <f t="shared" si="15"/>
        <v>0</v>
      </c>
      <c r="F175" s="83">
        <f t="shared" si="16"/>
        <v>0</v>
      </c>
      <c r="G175" s="83">
        <f t="shared" si="17"/>
      </c>
      <c r="H175" s="101">
        <f>IF(AND(M175&gt;0,M175&lt;=STATS!$C$22),1,"")</f>
        <v>1</v>
      </c>
      <c r="J175" s="22">
        <v>174</v>
      </c>
      <c r="K175" s="112">
        <v>46.09513</v>
      </c>
      <c r="L175" s="112">
        <v>-91.23908</v>
      </c>
      <c r="M175" s="4">
        <v>5.5</v>
      </c>
      <c r="N175" s="4" t="s">
        <v>480</v>
      </c>
      <c r="O175" s="4" t="s">
        <v>562</v>
      </c>
      <c r="R175" s="8"/>
      <c r="S175" s="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CP175" s="4" t="s">
        <v>483</v>
      </c>
      <c r="EZ175" s="98"/>
      <c r="FA175" s="98"/>
      <c r="FB175" s="98"/>
      <c r="FC175" s="98"/>
      <c r="FD175" s="98"/>
    </row>
    <row r="176" spans="2:160" ht="12.75">
      <c r="B176" s="83">
        <f t="shared" si="12"/>
        <v>0</v>
      </c>
      <c r="C176" s="83">
        <f t="shared" si="13"/>
      </c>
      <c r="D176" s="83">
        <f t="shared" si="14"/>
      </c>
      <c r="E176" s="83">
        <f t="shared" si="15"/>
        <v>0</v>
      </c>
      <c r="F176" s="83">
        <f t="shared" si="16"/>
        <v>0</v>
      </c>
      <c r="G176" s="83">
        <f t="shared" si="17"/>
      </c>
      <c r="H176" s="101">
        <f>IF(AND(M176&gt;0,M176&lt;=STATS!$C$22),1,"")</f>
        <v>1</v>
      </c>
      <c r="J176" s="22">
        <v>175</v>
      </c>
      <c r="K176" s="112">
        <v>46.09514</v>
      </c>
      <c r="L176" s="112">
        <v>-91.23847</v>
      </c>
      <c r="M176" s="4">
        <v>6.5</v>
      </c>
      <c r="N176" s="4" t="s">
        <v>480</v>
      </c>
      <c r="O176" s="4" t="s">
        <v>562</v>
      </c>
      <c r="R176" s="8"/>
      <c r="S176" s="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EZ176" s="98"/>
      <c r="FA176" s="98"/>
      <c r="FB176" s="98"/>
      <c r="FC176" s="98"/>
      <c r="FD176" s="98"/>
    </row>
    <row r="177" spans="2:160" ht="12.75">
      <c r="B177" s="83">
        <f t="shared" si="12"/>
        <v>0</v>
      </c>
      <c r="C177" s="83">
        <f t="shared" si="13"/>
      </c>
      <c r="D177" s="83">
        <f t="shared" si="14"/>
      </c>
      <c r="E177" s="83">
        <f t="shared" si="15"/>
        <v>0</v>
      </c>
      <c r="F177" s="83">
        <f t="shared" si="16"/>
        <v>0</v>
      </c>
      <c r="G177" s="83">
        <f t="shared" si="17"/>
      </c>
      <c r="H177" s="101">
        <f>IF(AND(M177&gt;0,M177&lt;=STATS!$C$22),1,"")</f>
        <v>1</v>
      </c>
      <c r="J177" s="22">
        <v>176</v>
      </c>
      <c r="K177" s="112">
        <v>46.09515</v>
      </c>
      <c r="L177" s="112">
        <v>-91.23787</v>
      </c>
      <c r="M177" s="4">
        <v>6</v>
      </c>
      <c r="N177" s="4" t="s">
        <v>480</v>
      </c>
      <c r="O177" s="4" t="s">
        <v>562</v>
      </c>
      <c r="R177" s="8"/>
      <c r="S177" s="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EZ177" s="98"/>
      <c r="FA177" s="98"/>
      <c r="FB177" s="98"/>
      <c r="FC177" s="98"/>
      <c r="FD177" s="98"/>
    </row>
    <row r="178" spans="2:160" ht="12.75">
      <c r="B178" s="83">
        <f t="shared" si="12"/>
        <v>0</v>
      </c>
      <c r="C178" s="83">
        <f t="shared" si="13"/>
      </c>
      <c r="D178" s="83">
        <f t="shared" si="14"/>
      </c>
      <c r="E178" s="83">
        <f t="shared" si="15"/>
        <v>0</v>
      </c>
      <c r="F178" s="83">
        <f t="shared" si="16"/>
        <v>0</v>
      </c>
      <c r="G178" s="83">
        <f t="shared" si="17"/>
      </c>
      <c r="H178" s="101">
        <f>IF(AND(M178&gt;0,M178&lt;=STATS!$C$22),1,"")</f>
        <v>1</v>
      </c>
      <c r="J178" s="22">
        <v>177</v>
      </c>
      <c r="K178" s="112">
        <v>46.09515</v>
      </c>
      <c r="L178" s="112">
        <v>-91.23726</v>
      </c>
      <c r="M178" s="4">
        <v>6</v>
      </c>
      <c r="N178" s="4" t="s">
        <v>480</v>
      </c>
      <c r="O178" s="4" t="s">
        <v>562</v>
      </c>
      <c r="R178" s="8"/>
      <c r="S178" s="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EZ178" s="98"/>
      <c r="FA178" s="98"/>
      <c r="FB178" s="98"/>
      <c r="FC178" s="98"/>
      <c r="FD178" s="98"/>
    </row>
    <row r="179" spans="2:160" ht="12.75">
      <c r="B179" s="83">
        <f t="shared" si="12"/>
        <v>1</v>
      </c>
      <c r="C179" s="83">
        <f t="shared" si="13"/>
        <v>1</v>
      </c>
      <c r="D179" s="83">
        <f t="shared" si="14"/>
        <v>1</v>
      </c>
      <c r="E179" s="83">
        <f t="shared" si="15"/>
        <v>1</v>
      </c>
      <c r="F179" s="83">
        <f t="shared" si="16"/>
        <v>1</v>
      </c>
      <c r="G179" s="83">
        <f t="shared" si="17"/>
        <v>6.5</v>
      </c>
      <c r="H179" s="101">
        <f>IF(AND(M179&gt;0,M179&lt;=STATS!$C$22),1,"")</f>
        <v>1</v>
      </c>
      <c r="J179" s="22">
        <v>178</v>
      </c>
      <c r="K179" s="112">
        <v>46.09516</v>
      </c>
      <c r="L179" s="112">
        <v>-91.23665</v>
      </c>
      <c r="M179" s="4">
        <v>6.5</v>
      </c>
      <c r="N179" s="4" t="s">
        <v>480</v>
      </c>
      <c r="O179" s="4" t="s">
        <v>562</v>
      </c>
      <c r="Q179" s="4">
        <v>2</v>
      </c>
      <c r="R179" s="8"/>
      <c r="S179" s="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BR179" s="4">
        <v>2</v>
      </c>
      <c r="EZ179" s="98"/>
      <c r="FA179" s="98"/>
      <c r="FB179" s="98"/>
      <c r="FC179" s="98"/>
      <c r="FD179" s="98"/>
    </row>
    <row r="180" spans="2:160" ht="12.75">
      <c r="B180" s="83">
        <f t="shared" si="12"/>
        <v>3</v>
      </c>
      <c r="C180" s="83">
        <f t="shared" si="13"/>
        <v>3</v>
      </c>
      <c r="D180" s="83">
        <f t="shared" si="14"/>
        <v>3</v>
      </c>
      <c r="E180" s="83">
        <f t="shared" si="15"/>
        <v>3</v>
      </c>
      <c r="F180" s="83">
        <f t="shared" si="16"/>
        <v>3</v>
      </c>
      <c r="G180" s="83">
        <f t="shared" si="17"/>
        <v>3</v>
      </c>
      <c r="H180" s="101">
        <f>IF(AND(M180&gt;0,M180&lt;=STATS!$C$22),1,"")</f>
        <v>1</v>
      </c>
      <c r="J180" s="22">
        <v>179</v>
      </c>
      <c r="K180" s="112">
        <v>46.09517</v>
      </c>
      <c r="L180" s="112">
        <v>-91.23543</v>
      </c>
      <c r="M180" s="4">
        <v>3</v>
      </c>
      <c r="N180" s="4" t="s">
        <v>482</v>
      </c>
      <c r="O180" s="4" t="s">
        <v>562</v>
      </c>
      <c r="Q180" s="4">
        <v>1</v>
      </c>
      <c r="R180" s="8"/>
      <c r="S180" s="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>
        <v>1</v>
      </c>
      <c r="AH180" s="24"/>
      <c r="AO180" s="4">
        <v>1</v>
      </c>
      <c r="BP180" s="4">
        <v>1</v>
      </c>
      <c r="EZ180" s="98"/>
      <c r="FA180" s="98"/>
      <c r="FB180" s="98"/>
      <c r="FC180" s="98"/>
      <c r="FD180" s="98"/>
    </row>
    <row r="181" spans="2:160" ht="12.75">
      <c r="B181" s="83">
        <f t="shared" si="12"/>
        <v>2</v>
      </c>
      <c r="C181" s="83">
        <f t="shared" si="13"/>
        <v>2</v>
      </c>
      <c r="D181" s="83">
        <f t="shared" si="14"/>
        <v>2</v>
      </c>
      <c r="E181" s="83">
        <f t="shared" si="15"/>
        <v>2</v>
      </c>
      <c r="F181" s="83">
        <f t="shared" si="16"/>
        <v>2</v>
      </c>
      <c r="G181" s="83">
        <f t="shared" si="17"/>
        <v>5.5</v>
      </c>
      <c r="H181" s="101">
        <f>IF(AND(M181&gt;0,M181&lt;=STATS!$C$22),1,"")</f>
        <v>1</v>
      </c>
      <c r="J181" s="22">
        <v>180</v>
      </c>
      <c r="K181" s="112">
        <v>46.09518</v>
      </c>
      <c r="L181" s="112">
        <v>-91.23482</v>
      </c>
      <c r="M181" s="4">
        <v>5.5</v>
      </c>
      <c r="N181" s="4" t="s">
        <v>482</v>
      </c>
      <c r="O181" s="4" t="s">
        <v>562</v>
      </c>
      <c r="Q181" s="4">
        <v>1</v>
      </c>
      <c r="R181" s="8"/>
      <c r="S181" s="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BR181" s="4">
        <v>1</v>
      </c>
      <c r="CP181" s="4">
        <v>1</v>
      </c>
      <c r="EZ181" s="98"/>
      <c r="FA181" s="98"/>
      <c r="FB181" s="98"/>
      <c r="FC181" s="98"/>
      <c r="FD181" s="98"/>
    </row>
    <row r="182" spans="2:160" ht="12.75">
      <c r="B182" s="83">
        <f t="shared" si="12"/>
        <v>1</v>
      </c>
      <c r="C182" s="83">
        <f t="shared" si="13"/>
        <v>1</v>
      </c>
      <c r="D182" s="83">
        <f t="shared" si="14"/>
        <v>1</v>
      </c>
      <c r="E182" s="83">
        <f t="shared" si="15"/>
        <v>1</v>
      </c>
      <c r="F182" s="83">
        <f t="shared" si="16"/>
        <v>1</v>
      </c>
      <c r="G182" s="83">
        <f t="shared" si="17"/>
        <v>6</v>
      </c>
      <c r="H182" s="101">
        <f>IF(AND(M182&gt;0,M182&lt;=STATS!$C$22),1,"")</f>
        <v>1</v>
      </c>
      <c r="J182" s="22">
        <v>181</v>
      </c>
      <c r="K182" s="112">
        <v>46.09519</v>
      </c>
      <c r="L182" s="112">
        <v>-91.23422</v>
      </c>
      <c r="M182" s="4">
        <v>6</v>
      </c>
      <c r="N182" s="4" t="s">
        <v>480</v>
      </c>
      <c r="O182" s="4" t="s">
        <v>562</v>
      </c>
      <c r="Q182" s="4">
        <v>2</v>
      </c>
      <c r="R182" s="8"/>
      <c r="S182" s="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BR182" s="4">
        <v>2</v>
      </c>
      <c r="EZ182" s="98"/>
      <c r="FA182" s="98"/>
      <c r="FB182" s="98"/>
      <c r="FC182" s="98"/>
      <c r="FD182" s="98"/>
    </row>
    <row r="183" spans="2:160" ht="12.75">
      <c r="B183" s="83">
        <f t="shared" si="12"/>
        <v>0</v>
      </c>
      <c r="C183" s="83">
        <f t="shared" si="13"/>
      </c>
      <c r="D183" s="83">
        <f t="shared" si="14"/>
      </c>
      <c r="E183" s="83">
        <f t="shared" si="15"/>
        <v>0</v>
      </c>
      <c r="F183" s="83">
        <f t="shared" si="16"/>
        <v>0</v>
      </c>
      <c r="G183" s="83">
        <f t="shared" si="17"/>
      </c>
      <c r="H183" s="101">
        <f>IF(AND(M183&gt;0,M183&lt;=STATS!$C$22),1,"")</f>
        <v>1</v>
      </c>
      <c r="J183" s="22">
        <v>182</v>
      </c>
      <c r="K183" s="112">
        <v>46.09519</v>
      </c>
      <c r="L183" s="112">
        <v>-91.23361</v>
      </c>
      <c r="M183" s="4">
        <v>6</v>
      </c>
      <c r="N183" s="4" t="s">
        <v>480</v>
      </c>
      <c r="O183" s="4" t="s">
        <v>562</v>
      </c>
      <c r="R183" s="8"/>
      <c r="S183" s="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EZ183" s="98"/>
      <c r="FA183" s="98"/>
      <c r="FB183" s="98"/>
      <c r="FC183" s="98"/>
      <c r="FD183" s="98"/>
    </row>
    <row r="184" spans="2:160" ht="12.75">
      <c r="B184" s="83">
        <f t="shared" si="12"/>
        <v>0</v>
      </c>
      <c r="C184" s="83">
        <f t="shared" si="13"/>
      </c>
      <c r="D184" s="83">
        <f t="shared" si="14"/>
      </c>
      <c r="E184" s="83">
        <f t="shared" si="15"/>
        <v>0</v>
      </c>
      <c r="F184" s="83">
        <f t="shared" si="16"/>
        <v>0</v>
      </c>
      <c r="G184" s="83">
        <f t="shared" si="17"/>
      </c>
      <c r="H184" s="101">
        <f>IF(AND(M184&gt;0,M184&lt;=STATS!$C$22),1,"")</f>
        <v>1</v>
      </c>
      <c r="J184" s="22">
        <v>183</v>
      </c>
      <c r="K184" s="112">
        <v>46.0952</v>
      </c>
      <c r="L184" s="112">
        <v>-91.233</v>
      </c>
      <c r="M184" s="4">
        <v>6</v>
      </c>
      <c r="N184" s="4" t="s">
        <v>480</v>
      </c>
      <c r="O184" s="4" t="s">
        <v>562</v>
      </c>
      <c r="R184" s="8"/>
      <c r="S184" s="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EZ184" s="98"/>
      <c r="FA184" s="98"/>
      <c r="FB184" s="98"/>
      <c r="FC184" s="98"/>
      <c r="FD184" s="98"/>
    </row>
    <row r="185" spans="2:160" ht="12.75">
      <c r="B185" s="83">
        <f t="shared" si="12"/>
        <v>0</v>
      </c>
      <c r="C185" s="83">
        <f t="shared" si="13"/>
      </c>
      <c r="D185" s="83">
        <f t="shared" si="14"/>
      </c>
      <c r="E185" s="83">
        <f t="shared" si="15"/>
        <v>0</v>
      </c>
      <c r="F185" s="83">
        <f t="shared" si="16"/>
        <v>0</v>
      </c>
      <c r="G185" s="83">
        <f t="shared" si="17"/>
      </c>
      <c r="H185" s="101">
        <f>IF(AND(M185&gt;0,M185&lt;=STATS!$C$22),1,"")</f>
        <v>1</v>
      </c>
      <c r="J185" s="22">
        <v>184</v>
      </c>
      <c r="K185" s="112">
        <v>46.09521</v>
      </c>
      <c r="L185" s="112">
        <v>-91.23239</v>
      </c>
      <c r="M185" s="4">
        <v>5.5</v>
      </c>
      <c r="N185" s="4" t="s">
        <v>480</v>
      </c>
      <c r="O185" s="4" t="s">
        <v>562</v>
      </c>
      <c r="R185" s="8"/>
      <c r="S185" s="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EZ185" s="98"/>
      <c r="FA185" s="98"/>
      <c r="FB185" s="98"/>
      <c r="FC185" s="98"/>
      <c r="FD185" s="98"/>
    </row>
    <row r="186" spans="2:160" ht="12.75">
      <c r="B186" s="83">
        <f t="shared" si="12"/>
        <v>0</v>
      </c>
      <c r="C186" s="83">
        <f t="shared" si="13"/>
      </c>
      <c r="D186" s="83">
        <f t="shared" si="14"/>
      </c>
      <c r="E186" s="83">
        <f t="shared" si="15"/>
        <v>0</v>
      </c>
      <c r="F186" s="83">
        <f t="shared" si="16"/>
        <v>0</v>
      </c>
      <c r="G186" s="83">
        <f t="shared" si="17"/>
      </c>
      <c r="H186" s="101">
        <f>IF(AND(M186&gt;0,M186&lt;=STATS!$C$22),1,"")</f>
        <v>1</v>
      </c>
      <c r="J186" s="22">
        <v>185</v>
      </c>
      <c r="K186" s="112">
        <v>46.09521</v>
      </c>
      <c r="L186" s="112">
        <v>-91.23179</v>
      </c>
      <c r="M186" s="4">
        <v>6</v>
      </c>
      <c r="N186" s="4" t="s">
        <v>480</v>
      </c>
      <c r="O186" s="4" t="s">
        <v>562</v>
      </c>
      <c r="R186" s="8"/>
      <c r="S186" s="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EZ186" s="98"/>
      <c r="FA186" s="98"/>
      <c r="FB186" s="98"/>
      <c r="FC186" s="98"/>
      <c r="FD186" s="98"/>
    </row>
    <row r="187" spans="2:160" ht="12.75">
      <c r="B187" s="83">
        <f t="shared" si="12"/>
        <v>0</v>
      </c>
      <c r="C187" s="83">
        <f t="shared" si="13"/>
      </c>
      <c r="D187" s="83">
        <f t="shared" si="14"/>
      </c>
      <c r="E187" s="83">
        <f t="shared" si="15"/>
        <v>0</v>
      </c>
      <c r="F187" s="83">
        <f t="shared" si="16"/>
        <v>0</v>
      </c>
      <c r="G187" s="83">
        <f t="shared" si="17"/>
      </c>
      <c r="H187" s="101">
        <f>IF(AND(M187&gt;0,M187&lt;=STATS!$C$22),1,"")</f>
        <v>1</v>
      </c>
      <c r="J187" s="22">
        <v>186</v>
      </c>
      <c r="K187" s="112">
        <v>46.09522</v>
      </c>
      <c r="L187" s="112">
        <v>-91.23118</v>
      </c>
      <c r="M187" s="4">
        <v>6.5</v>
      </c>
      <c r="N187" s="4" t="s">
        <v>480</v>
      </c>
      <c r="O187" s="4" t="s">
        <v>562</v>
      </c>
      <c r="R187" s="8"/>
      <c r="S187" s="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EZ187" s="98"/>
      <c r="FA187" s="98"/>
      <c r="FB187" s="98"/>
      <c r="FC187" s="98"/>
      <c r="FD187" s="98"/>
    </row>
    <row r="188" spans="2:160" ht="12.75">
      <c r="B188" s="83">
        <f t="shared" si="12"/>
        <v>3</v>
      </c>
      <c r="C188" s="83">
        <f t="shared" si="13"/>
        <v>3</v>
      </c>
      <c r="D188" s="83">
        <f t="shared" si="14"/>
        <v>3</v>
      </c>
      <c r="E188" s="83">
        <f t="shared" si="15"/>
        <v>3</v>
      </c>
      <c r="F188" s="83">
        <f t="shared" si="16"/>
        <v>3</v>
      </c>
      <c r="G188" s="83">
        <f t="shared" si="17"/>
        <v>2</v>
      </c>
      <c r="H188" s="101">
        <f>IF(AND(M188&gt;0,M188&lt;=STATS!$C$22),1,"")</f>
        <v>1</v>
      </c>
      <c r="J188" s="22">
        <v>187</v>
      </c>
      <c r="K188" s="112">
        <v>46.09549</v>
      </c>
      <c r="L188" s="112">
        <v>-91.24517</v>
      </c>
      <c r="M188" s="4">
        <v>2</v>
      </c>
      <c r="N188" s="4" t="s">
        <v>480</v>
      </c>
      <c r="O188" s="4" t="s">
        <v>562</v>
      </c>
      <c r="Q188" s="4">
        <v>2</v>
      </c>
      <c r="R188" s="8"/>
      <c r="S188" s="8"/>
      <c r="T188" s="24"/>
      <c r="U188" s="24"/>
      <c r="V188" s="24"/>
      <c r="W188" s="24"/>
      <c r="X188" s="24">
        <v>1</v>
      </c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CA188" s="4">
        <v>1</v>
      </c>
      <c r="CB188" s="4">
        <v>2</v>
      </c>
      <c r="EZ188" s="98"/>
      <c r="FA188" s="98"/>
      <c r="FB188" s="98"/>
      <c r="FC188" s="98"/>
      <c r="FD188" s="98"/>
    </row>
    <row r="189" spans="2:160" ht="12.75">
      <c r="B189" s="83">
        <f t="shared" si="12"/>
        <v>1</v>
      </c>
      <c r="C189" s="83">
        <f t="shared" si="13"/>
        <v>1</v>
      </c>
      <c r="D189" s="83">
        <f t="shared" si="14"/>
        <v>1</v>
      </c>
      <c r="E189" s="83">
        <f t="shared" si="15"/>
        <v>1</v>
      </c>
      <c r="F189" s="83">
        <f t="shared" si="16"/>
        <v>1</v>
      </c>
      <c r="G189" s="83">
        <f t="shared" si="17"/>
        <v>4</v>
      </c>
      <c r="H189" s="101">
        <f>IF(AND(M189&gt;0,M189&lt;=STATS!$C$22),1,"")</f>
        <v>1</v>
      </c>
      <c r="J189" s="22">
        <v>188</v>
      </c>
      <c r="K189" s="112">
        <v>46.0955</v>
      </c>
      <c r="L189" s="112">
        <v>-91.24456</v>
      </c>
      <c r="M189" s="4">
        <v>4</v>
      </c>
      <c r="N189" s="4" t="s">
        <v>480</v>
      </c>
      <c r="O189" s="4" t="s">
        <v>562</v>
      </c>
      <c r="Q189" s="4">
        <v>1</v>
      </c>
      <c r="R189" s="8"/>
      <c r="S189" s="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CB189" s="4">
        <v>1</v>
      </c>
      <c r="EZ189" s="98"/>
      <c r="FA189" s="98"/>
      <c r="FB189" s="98"/>
      <c r="FC189" s="98"/>
      <c r="FD189" s="98"/>
    </row>
    <row r="190" spans="2:160" ht="12.75">
      <c r="B190" s="83">
        <f t="shared" si="12"/>
        <v>1</v>
      </c>
      <c r="C190" s="83">
        <f t="shared" si="13"/>
        <v>1</v>
      </c>
      <c r="D190" s="83">
        <f t="shared" si="14"/>
        <v>1</v>
      </c>
      <c r="E190" s="83">
        <f t="shared" si="15"/>
        <v>1</v>
      </c>
      <c r="F190" s="83">
        <f t="shared" si="16"/>
        <v>1</v>
      </c>
      <c r="G190" s="83">
        <f t="shared" si="17"/>
        <v>5</v>
      </c>
      <c r="H190" s="101">
        <f>IF(AND(M190&gt;0,M190&lt;=STATS!$C$22),1,"")</f>
        <v>1</v>
      </c>
      <c r="J190" s="22">
        <v>189</v>
      </c>
      <c r="K190" s="112">
        <v>46.0955</v>
      </c>
      <c r="L190" s="112">
        <v>-91.24395</v>
      </c>
      <c r="M190" s="4">
        <v>5</v>
      </c>
      <c r="N190" s="4" t="s">
        <v>480</v>
      </c>
      <c r="O190" s="4" t="s">
        <v>562</v>
      </c>
      <c r="Q190" s="4">
        <v>1</v>
      </c>
      <c r="R190" s="8"/>
      <c r="S190" s="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CI190" s="4">
        <v>1</v>
      </c>
      <c r="EZ190" s="98"/>
      <c r="FA190" s="98"/>
      <c r="FB190" s="98"/>
      <c r="FC190" s="98"/>
      <c r="FD190" s="98"/>
    </row>
    <row r="191" spans="2:160" ht="12.75">
      <c r="B191" s="83">
        <f t="shared" si="12"/>
        <v>2</v>
      </c>
      <c r="C191" s="83">
        <f t="shared" si="13"/>
        <v>2</v>
      </c>
      <c r="D191" s="83">
        <f t="shared" si="14"/>
        <v>2</v>
      </c>
      <c r="E191" s="83">
        <f t="shared" si="15"/>
        <v>2</v>
      </c>
      <c r="F191" s="83">
        <f t="shared" si="16"/>
        <v>2</v>
      </c>
      <c r="G191" s="83">
        <f t="shared" si="17"/>
        <v>5.5</v>
      </c>
      <c r="H191" s="101">
        <f>IF(AND(M191&gt;0,M191&lt;=STATS!$C$22),1,"")</f>
        <v>1</v>
      </c>
      <c r="J191" s="22">
        <v>190</v>
      </c>
      <c r="K191" s="112">
        <v>46.09551</v>
      </c>
      <c r="L191" s="112">
        <v>-91.24335</v>
      </c>
      <c r="M191" s="4">
        <v>5.5</v>
      </c>
      <c r="N191" s="4" t="s">
        <v>480</v>
      </c>
      <c r="O191" s="4" t="s">
        <v>562</v>
      </c>
      <c r="Q191" s="4">
        <v>1</v>
      </c>
      <c r="R191" s="8"/>
      <c r="S191" s="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BR191" s="4">
        <v>1</v>
      </c>
      <c r="BT191" s="4">
        <v>1</v>
      </c>
      <c r="EZ191" s="98"/>
      <c r="FA191" s="98"/>
      <c r="FB191" s="98"/>
      <c r="FC191" s="98"/>
      <c r="FD191" s="98"/>
    </row>
    <row r="192" spans="2:160" ht="12.75">
      <c r="B192" s="83">
        <f t="shared" si="12"/>
        <v>3</v>
      </c>
      <c r="C192" s="83">
        <f t="shared" si="13"/>
        <v>3</v>
      </c>
      <c r="D192" s="83">
        <f t="shared" si="14"/>
        <v>3</v>
      </c>
      <c r="E192" s="83">
        <f t="shared" si="15"/>
        <v>3</v>
      </c>
      <c r="F192" s="83">
        <f t="shared" si="16"/>
        <v>3</v>
      </c>
      <c r="G192" s="83">
        <f t="shared" si="17"/>
        <v>5</v>
      </c>
      <c r="H192" s="101">
        <f>IF(AND(M192&gt;0,M192&lt;=STATS!$C$22),1,"")</f>
        <v>1</v>
      </c>
      <c r="J192" s="22">
        <v>191</v>
      </c>
      <c r="K192" s="112">
        <v>46.09552</v>
      </c>
      <c r="L192" s="112">
        <v>-91.24274</v>
      </c>
      <c r="M192" s="4">
        <v>5</v>
      </c>
      <c r="N192" s="4" t="s">
        <v>480</v>
      </c>
      <c r="O192" s="4" t="s">
        <v>562</v>
      </c>
      <c r="Q192" s="4">
        <v>2</v>
      </c>
      <c r="R192" s="8"/>
      <c r="S192" s="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BT192" s="4">
        <v>1</v>
      </c>
      <c r="CW192" s="4">
        <v>1</v>
      </c>
      <c r="DA192" s="4">
        <v>2</v>
      </c>
      <c r="EZ192" s="98"/>
      <c r="FA192" s="98"/>
      <c r="FB192" s="98"/>
      <c r="FC192" s="98"/>
      <c r="FD192" s="98"/>
    </row>
    <row r="193" spans="2:160" ht="12.75">
      <c r="B193" s="83">
        <f t="shared" si="12"/>
        <v>0</v>
      </c>
      <c r="C193" s="83">
        <f t="shared" si="13"/>
      </c>
      <c r="D193" s="83">
        <f t="shared" si="14"/>
      </c>
      <c r="E193" s="83">
        <f t="shared" si="15"/>
        <v>0</v>
      </c>
      <c r="F193" s="83">
        <f t="shared" si="16"/>
        <v>0</v>
      </c>
      <c r="G193" s="83">
        <f t="shared" si="17"/>
      </c>
      <c r="H193" s="101">
        <f>IF(AND(M193&gt;0,M193&lt;=STATS!$C$22),1,"")</f>
        <v>1</v>
      </c>
      <c r="J193" s="22">
        <v>192</v>
      </c>
      <c r="K193" s="112">
        <v>46.09552</v>
      </c>
      <c r="L193" s="112">
        <v>-91.24213</v>
      </c>
      <c r="M193" s="4">
        <v>6</v>
      </c>
      <c r="N193" s="4" t="s">
        <v>480</v>
      </c>
      <c r="O193" s="4" t="s">
        <v>562</v>
      </c>
      <c r="R193" s="8"/>
      <c r="S193" s="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EZ193" s="98"/>
      <c r="FA193" s="98"/>
      <c r="FB193" s="98"/>
      <c r="FC193" s="98"/>
      <c r="FD193" s="98"/>
    </row>
    <row r="194" spans="2:160" ht="12.75">
      <c r="B194" s="83">
        <f aca="true" t="shared" si="18" ref="B194:B257">COUNT(R194:EY194,FE194:FM194)</f>
        <v>1</v>
      </c>
      <c r="C194" s="83">
        <f aca="true" t="shared" si="19" ref="C194:C257">IF(COUNT(R194:EY194,FE194:FM194)&gt;0,COUNT(R194:EY194,FE194:FM194),"")</f>
        <v>1</v>
      </c>
      <c r="D194" s="83">
        <f aca="true" t="shared" si="20" ref="D194:D257">IF(COUNT(T194:BJ194,BL194:BT194,BV194:CB194,CD194:EY194,FE194:FM194)&gt;0,COUNT(T194:BJ194,BL194:BT194,BV194:CB194,CD194:EY194,FE194:FM194),"")</f>
        <v>1</v>
      </c>
      <c r="E194" s="83">
        <f aca="true" t="shared" si="21" ref="E194:E257">IF(H194=1,COUNT(R194:EY194,FE194:FM194),"")</f>
        <v>1</v>
      </c>
      <c r="F194" s="83">
        <f aca="true" t="shared" si="22" ref="F194:F257">IF(H194=1,COUNT(T194:BJ194,BL194:BT194,BV194:CB194,CD194:EY194,FE194:FM194),"")</f>
        <v>1</v>
      </c>
      <c r="G194" s="83">
        <f aca="true" t="shared" si="23" ref="G194:G257">IF($B194&gt;=1,$M194,"")</f>
        <v>6</v>
      </c>
      <c r="H194" s="101">
        <f>IF(AND(M194&gt;0,M194&lt;=STATS!$C$22),1,"")</f>
        <v>1</v>
      </c>
      <c r="J194" s="22">
        <v>193</v>
      </c>
      <c r="K194" s="112">
        <v>46.09553</v>
      </c>
      <c r="L194" s="112">
        <v>-91.24152</v>
      </c>
      <c r="M194" s="4">
        <v>6</v>
      </c>
      <c r="N194" s="4" t="s">
        <v>480</v>
      </c>
      <c r="O194" s="4" t="s">
        <v>562</v>
      </c>
      <c r="Q194" s="4">
        <v>1</v>
      </c>
      <c r="R194" s="8"/>
      <c r="S194" s="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BR194" s="4">
        <v>1</v>
      </c>
      <c r="EZ194" s="98"/>
      <c r="FA194" s="98"/>
      <c r="FB194" s="98"/>
      <c r="FC194" s="98"/>
      <c r="FD194" s="98"/>
    </row>
    <row r="195" spans="2:160" ht="12.75">
      <c r="B195" s="83">
        <f t="shared" si="18"/>
        <v>1</v>
      </c>
      <c r="C195" s="83">
        <f t="shared" si="19"/>
        <v>1</v>
      </c>
      <c r="D195" s="83">
        <f t="shared" si="20"/>
        <v>1</v>
      </c>
      <c r="E195" s="83">
        <f t="shared" si="21"/>
        <v>1</v>
      </c>
      <c r="F195" s="83">
        <f t="shared" si="22"/>
        <v>1</v>
      </c>
      <c r="G195" s="83">
        <f t="shared" si="23"/>
        <v>6</v>
      </c>
      <c r="H195" s="101">
        <f>IF(AND(M195&gt;0,M195&lt;=STATS!$C$22),1,"")</f>
        <v>1</v>
      </c>
      <c r="J195" s="22">
        <v>194</v>
      </c>
      <c r="K195" s="112">
        <v>46.09554</v>
      </c>
      <c r="L195" s="112">
        <v>-91.24091</v>
      </c>
      <c r="M195" s="4">
        <v>6</v>
      </c>
      <c r="N195" s="4" t="s">
        <v>480</v>
      </c>
      <c r="O195" s="4" t="s">
        <v>562</v>
      </c>
      <c r="Q195" s="4">
        <v>1</v>
      </c>
      <c r="R195" s="8"/>
      <c r="S195" s="8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CP195" s="4">
        <v>1</v>
      </c>
      <c r="EZ195" s="98"/>
      <c r="FA195" s="98"/>
      <c r="FB195" s="98"/>
      <c r="FC195" s="98"/>
      <c r="FD195" s="98"/>
    </row>
    <row r="196" spans="2:160" ht="12.75">
      <c r="B196" s="83">
        <f t="shared" si="18"/>
        <v>0</v>
      </c>
      <c r="C196" s="83">
        <f t="shared" si="19"/>
      </c>
      <c r="D196" s="83">
        <f t="shared" si="20"/>
      </c>
      <c r="E196" s="83">
        <f t="shared" si="21"/>
        <v>0</v>
      </c>
      <c r="F196" s="83">
        <f t="shared" si="22"/>
        <v>0</v>
      </c>
      <c r="G196" s="83">
        <f t="shared" si="23"/>
      </c>
      <c r="H196" s="101">
        <f>IF(AND(M196&gt;0,M196&lt;=STATS!$C$22),1,"")</f>
        <v>1</v>
      </c>
      <c r="J196" s="22">
        <v>195</v>
      </c>
      <c r="K196" s="112">
        <v>46.09554</v>
      </c>
      <c r="L196" s="112">
        <v>-91.24031</v>
      </c>
      <c r="M196" s="4">
        <v>6</v>
      </c>
      <c r="N196" s="4" t="s">
        <v>480</v>
      </c>
      <c r="O196" s="4" t="s">
        <v>562</v>
      </c>
      <c r="R196" s="8"/>
      <c r="S196" s="8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EZ196" s="98"/>
      <c r="FA196" s="98"/>
      <c r="FB196" s="98"/>
      <c r="FC196" s="98"/>
      <c r="FD196" s="98"/>
    </row>
    <row r="197" spans="2:160" ht="12.75">
      <c r="B197" s="83">
        <f t="shared" si="18"/>
        <v>0</v>
      </c>
      <c r="C197" s="83">
        <f t="shared" si="19"/>
      </c>
      <c r="D197" s="83">
        <f t="shared" si="20"/>
      </c>
      <c r="E197" s="83">
        <f t="shared" si="21"/>
        <v>0</v>
      </c>
      <c r="F197" s="83">
        <f t="shared" si="22"/>
        <v>0</v>
      </c>
      <c r="G197" s="83">
        <f t="shared" si="23"/>
      </c>
      <c r="H197" s="101">
        <f>IF(AND(M197&gt;0,M197&lt;=STATS!$C$22),1,"")</f>
        <v>1</v>
      </c>
      <c r="J197" s="22">
        <v>196</v>
      </c>
      <c r="K197" s="112">
        <v>46.09555</v>
      </c>
      <c r="L197" s="112">
        <v>-91.2397</v>
      </c>
      <c r="M197" s="4">
        <v>5.5</v>
      </c>
      <c r="N197" s="4" t="s">
        <v>480</v>
      </c>
      <c r="O197" s="4" t="s">
        <v>562</v>
      </c>
      <c r="R197" s="8"/>
      <c r="S197" s="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EZ197" s="98"/>
      <c r="FA197" s="98"/>
      <c r="FB197" s="98"/>
      <c r="FC197" s="98"/>
      <c r="FD197" s="98"/>
    </row>
    <row r="198" spans="2:160" ht="12.75">
      <c r="B198" s="83">
        <f t="shared" si="18"/>
        <v>2</v>
      </c>
      <c r="C198" s="83">
        <f t="shared" si="19"/>
        <v>2</v>
      </c>
      <c r="D198" s="83">
        <f t="shared" si="20"/>
        <v>2</v>
      </c>
      <c r="E198" s="83">
        <f t="shared" si="21"/>
        <v>2</v>
      </c>
      <c r="F198" s="83">
        <f t="shared" si="22"/>
        <v>2</v>
      </c>
      <c r="G198" s="83">
        <f t="shared" si="23"/>
        <v>6</v>
      </c>
      <c r="H198" s="101">
        <f>IF(AND(M198&gt;0,M198&lt;=STATS!$C$22),1,"")</f>
        <v>1</v>
      </c>
      <c r="J198" s="22">
        <v>197</v>
      </c>
      <c r="K198" s="112">
        <v>46.09556</v>
      </c>
      <c r="L198" s="112">
        <v>-91.23909</v>
      </c>
      <c r="M198" s="4">
        <v>6</v>
      </c>
      <c r="N198" s="4" t="s">
        <v>480</v>
      </c>
      <c r="O198" s="4" t="s">
        <v>562</v>
      </c>
      <c r="Q198" s="4">
        <v>1</v>
      </c>
      <c r="R198" s="8"/>
      <c r="S198" s="8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CP198" s="4">
        <v>1</v>
      </c>
      <c r="DK198" s="4">
        <v>1</v>
      </c>
      <c r="EZ198" s="98"/>
      <c r="FA198" s="98"/>
      <c r="FB198" s="98"/>
      <c r="FC198" s="98"/>
      <c r="FD198" s="98"/>
    </row>
    <row r="199" spans="2:160" ht="12.75">
      <c r="B199" s="83">
        <f t="shared" si="18"/>
        <v>0</v>
      </c>
      <c r="C199" s="83">
        <f t="shared" si="19"/>
      </c>
      <c r="D199" s="83">
        <f t="shared" si="20"/>
      </c>
      <c r="E199" s="83">
        <f t="shared" si="21"/>
        <v>0</v>
      </c>
      <c r="F199" s="83">
        <f t="shared" si="22"/>
        <v>0</v>
      </c>
      <c r="G199" s="83">
        <f t="shared" si="23"/>
      </c>
      <c r="H199" s="101">
        <f>IF(AND(M199&gt;0,M199&lt;=STATS!$C$22),1,"")</f>
        <v>1</v>
      </c>
      <c r="J199" s="22">
        <v>198</v>
      </c>
      <c r="K199" s="112">
        <v>46.09556</v>
      </c>
      <c r="L199" s="112">
        <v>-91.23848</v>
      </c>
      <c r="M199" s="4">
        <v>6</v>
      </c>
      <c r="N199" s="4" t="s">
        <v>480</v>
      </c>
      <c r="O199" s="4" t="s">
        <v>562</v>
      </c>
      <c r="R199" s="8"/>
      <c r="S199" s="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EZ199" s="98"/>
      <c r="FA199" s="98"/>
      <c r="FB199" s="98"/>
      <c r="FC199" s="98"/>
      <c r="FD199" s="98"/>
    </row>
    <row r="200" spans="2:160" ht="12.75">
      <c r="B200" s="83">
        <f t="shared" si="18"/>
        <v>0</v>
      </c>
      <c r="C200" s="83">
        <f t="shared" si="19"/>
      </c>
      <c r="D200" s="83">
        <f t="shared" si="20"/>
      </c>
      <c r="E200" s="83">
        <f t="shared" si="21"/>
        <v>0</v>
      </c>
      <c r="F200" s="83">
        <f t="shared" si="22"/>
        <v>0</v>
      </c>
      <c r="G200" s="83">
        <f t="shared" si="23"/>
      </c>
      <c r="H200" s="101">
        <f>IF(AND(M200&gt;0,M200&lt;=STATS!$C$22),1,"")</f>
        <v>1</v>
      </c>
      <c r="J200" s="22">
        <v>199</v>
      </c>
      <c r="K200" s="112">
        <v>46.09557</v>
      </c>
      <c r="L200" s="112">
        <v>-91.23787</v>
      </c>
      <c r="M200" s="4">
        <v>6</v>
      </c>
      <c r="N200" s="4" t="s">
        <v>480</v>
      </c>
      <c r="O200" s="4" t="s">
        <v>562</v>
      </c>
      <c r="R200" s="8"/>
      <c r="S200" s="8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EZ200" s="98"/>
      <c r="FA200" s="98"/>
      <c r="FB200" s="98"/>
      <c r="FC200" s="98"/>
      <c r="FD200" s="98"/>
    </row>
    <row r="201" spans="2:160" ht="12.75">
      <c r="B201" s="83">
        <f t="shared" si="18"/>
        <v>1</v>
      </c>
      <c r="C201" s="83">
        <f t="shared" si="19"/>
        <v>1</v>
      </c>
      <c r="D201" s="83">
        <f t="shared" si="20"/>
        <v>1</v>
      </c>
      <c r="E201" s="83">
        <f t="shared" si="21"/>
        <v>1</v>
      </c>
      <c r="F201" s="83">
        <f t="shared" si="22"/>
        <v>1</v>
      </c>
      <c r="G201" s="83">
        <f t="shared" si="23"/>
        <v>6</v>
      </c>
      <c r="H201" s="101">
        <f>IF(AND(M201&gt;0,M201&lt;=STATS!$C$22),1,"")</f>
        <v>1</v>
      </c>
      <c r="J201" s="22">
        <v>200</v>
      </c>
      <c r="K201" s="112">
        <v>46.09558</v>
      </c>
      <c r="L201" s="112">
        <v>-91.23727</v>
      </c>
      <c r="M201" s="4">
        <v>6</v>
      </c>
      <c r="N201" s="4" t="s">
        <v>480</v>
      </c>
      <c r="O201" s="4" t="s">
        <v>562</v>
      </c>
      <c r="Q201" s="4">
        <v>1</v>
      </c>
      <c r="R201" s="8"/>
      <c r="S201" s="8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DA201" s="4">
        <v>1</v>
      </c>
      <c r="EZ201" s="98"/>
      <c r="FA201" s="98"/>
      <c r="FB201" s="98"/>
      <c r="FC201" s="98"/>
      <c r="FD201" s="98"/>
    </row>
    <row r="202" spans="2:160" ht="12.75">
      <c r="B202" s="83">
        <f t="shared" si="18"/>
        <v>1</v>
      </c>
      <c r="C202" s="83">
        <f t="shared" si="19"/>
        <v>1</v>
      </c>
      <c r="D202" s="83">
        <f t="shared" si="20"/>
        <v>1</v>
      </c>
      <c r="E202" s="83">
        <f t="shared" si="21"/>
        <v>1</v>
      </c>
      <c r="F202" s="83">
        <f t="shared" si="22"/>
        <v>1</v>
      </c>
      <c r="G202" s="83">
        <f t="shared" si="23"/>
        <v>8.5</v>
      </c>
      <c r="H202" s="101">
        <f>IF(AND(M202&gt;0,M202&lt;=STATS!$C$22),1,"")</f>
        <v>1</v>
      </c>
      <c r="J202" s="22">
        <v>201</v>
      </c>
      <c r="K202" s="112">
        <v>46.09558</v>
      </c>
      <c r="L202" s="112">
        <v>-91.23666</v>
      </c>
      <c r="M202" s="4">
        <v>8.5</v>
      </c>
      <c r="N202" s="4" t="s">
        <v>480</v>
      </c>
      <c r="O202" s="4" t="s">
        <v>562</v>
      </c>
      <c r="Q202" s="4">
        <v>1</v>
      </c>
      <c r="R202" s="8"/>
      <c r="S202" s="8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CI202" s="4">
        <v>1</v>
      </c>
      <c r="EZ202" s="98"/>
      <c r="FA202" s="98"/>
      <c r="FB202" s="98"/>
      <c r="FC202" s="98"/>
      <c r="FD202" s="98"/>
    </row>
    <row r="203" spans="2:160" ht="12.75">
      <c r="B203" s="83">
        <f t="shared" si="18"/>
        <v>0</v>
      </c>
      <c r="C203" s="83">
        <f t="shared" si="19"/>
      </c>
      <c r="D203" s="83">
        <f t="shared" si="20"/>
      </c>
      <c r="E203" s="83">
        <f t="shared" si="21"/>
        <v>0</v>
      </c>
      <c r="F203" s="83">
        <f t="shared" si="22"/>
        <v>0</v>
      </c>
      <c r="G203" s="83">
        <f t="shared" si="23"/>
      </c>
      <c r="H203" s="101">
        <f>IF(AND(M203&gt;0,M203&lt;=STATS!$C$22),1,"")</f>
        <v>1</v>
      </c>
      <c r="J203" s="22">
        <v>202</v>
      </c>
      <c r="K203" s="112">
        <v>46.09559</v>
      </c>
      <c r="L203" s="112">
        <v>-91.23605</v>
      </c>
      <c r="M203" s="4">
        <v>8.5</v>
      </c>
      <c r="N203" s="4" t="s">
        <v>480</v>
      </c>
      <c r="O203" s="4" t="s">
        <v>562</v>
      </c>
      <c r="R203" s="8"/>
      <c r="S203" s="8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EZ203" s="98"/>
      <c r="FA203" s="98"/>
      <c r="FB203" s="98"/>
      <c r="FC203" s="98"/>
      <c r="FD203" s="98"/>
    </row>
    <row r="204" spans="2:160" ht="12.75">
      <c r="B204" s="83">
        <f t="shared" si="18"/>
        <v>1</v>
      </c>
      <c r="C204" s="83">
        <f t="shared" si="19"/>
        <v>1</v>
      </c>
      <c r="D204" s="83">
        <f t="shared" si="20"/>
        <v>1</v>
      </c>
      <c r="E204" s="83">
        <f t="shared" si="21"/>
        <v>1</v>
      </c>
      <c r="F204" s="83">
        <f t="shared" si="22"/>
        <v>1</v>
      </c>
      <c r="G204" s="83">
        <f t="shared" si="23"/>
        <v>5.5</v>
      </c>
      <c r="H204" s="101">
        <f>IF(AND(M204&gt;0,M204&lt;=STATS!$C$22),1,"")</f>
        <v>1</v>
      </c>
      <c r="J204" s="22">
        <v>203</v>
      </c>
      <c r="K204" s="112">
        <v>46.0956</v>
      </c>
      <c r="L204" s="112">
        <v>-91.23544</v>
      </c>
      <c r="M204" s="4">
        <v>5.5</v>
      </c>
      <c r="N204" s="4" t="s">
        <v>482</v>
      </c>
      <c r="O204" s="4" t="s">
        <v>562</v>
      </c>
      <c r="Q204" s="4">
        <v>1</v>
      </c>
      <c r="R204" s="8"/>
      <c r="S204" s="8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>
        <v>1</v>
      </c>
      <c r="AH204" s="24"/>
      <c r="EZ204" s="98"/>
      <c r="FA204" s="98"/>
      <c r="FB204" s="98"/>
      <c r="FC204" s="98"/>
      <c r="FD204" s="98"/>
    </row>
    <row r="205" spans="2:160" ht="12.75">
      <c r="B205" s="83">
        <f t="shared" si="18"/>
        <v>0</v>
      </c>
      <c r="C205" s="83">
        <f t="shared" si="19"/>
      </c>
      <c r="D205" s="83">
        <f t="shared" si="20"/>
      </c>
      <c r="E205" s="83">
        <f t="shared" si="21"/>
        <v>0</v>
      </c>
      <c r="F205" s="83">
        <f t="shared" si="22"/>
        <v>0</v>
      </c>
      <c r="G205" s="83">
        <f t="shared" si="23"/>
      </c>
      <c r="H205" s="101">
        <f>IF(AND(M205&gt;0,M205&lt;=STATS!$C$22),1,"")</f>
        <v>1</v>
      </c>
      <c r="J205" s="22">
        <v>204</v>
      </c>
      <c r="K205" s="112">
        <v>46.0956</v>
      </c>
      <c r="L205" s="112">
        <v>-91.23483</v>
      </c>
      <c r="M205" s="4">
        <v>7</v>
      </c>
      <c r="N205" s="4" t="s">
        <v>480</v>
      </c>
      <c r="O205" s="4" t="s">
        <v>562</v>
      </c>
      <c r="R205" s="8"/>
      <c r="S205" s="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EZ205" s="98"/>
      <c r="FA205" s="98"/>
      <c r="FB205" s="98"/>
      <c r="FC205" s="98"/>
      <c r="FD205" s="98"/>
    </row>
    <row r="206" spans="2:160" ht="12.75">
      <c r="B206" s="83">
        <f t="shared" si="18"/>
        <v>0</v>
      </c>
      <c r="C206" s="83">
        <f t="shared" si="19"/>
      </c>
      <c r="D206" s="83">
        <f t="shared" si="20"/>
      </c>
      <c r="E206" s="83">
        <f t="shared" si="21"/>
        <v>0</v>
      </c>
      <c r="F206" s="83">
        <f t="shared" si="22"/>
        <v>0</v>
      </c>
      <c r="G206" s="83">
        <f t="shared" si="23"/>
      </c>
      <c r="H206" s="101">
        <f>IF(AND(M206&gt;0,M206&lt;=STATS!$C$22),1,"")</f>
        <v>1</v>
      </c>
      <c r="J206" s="22">
        <v>205</v>
      </c>
      <c r="K206" s="112">
        <v>46.09561</v>
      </c>
      <c r="L206" s="112">
        <v>-91.23423</v>
      </c>
      <c r="M206" s="4">
        <v>7</v>
      </c>
      <c r="N206" s="4" t="s">
        <v>480</v>
      </c>
      <c r="O206" s="4" t="s">
        <v>562</v>
      </c>
      <c r="R206" s="8"/>
      <c r="S206" s="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EZ206" s="98"/>
      <c r="FA206" s="98"/>
      <c r="FB206" s="98"/>
      <c r="FC206" s="98"/>
      <c r="FD206" s="98"/>
    </row>
    <row r="207" spans="2:160" ht="12.75">
      <c r="B207" s="83">
        <f t="shared" si="18"/>
        <v>0</v>
      </c>
      <c r="C207" s="83">
        <f t="shared" si="19"/>
      </c>
      <c r="D207" s="83">
        <f t="shared" si="20"/>
      </c>
      <c r="E207" s="83">
        <f t="shared" si="21"/>
        <v>0</v>
      </c>
      <c r="F207" s="83">
        <f t="shared" si="22"/>
        <v>0</v>
      </c>
      <c r="G207" s="83">
        <f t="shared" si="23"/>
      </c>
      <c r="H207" s="101">
        <f>IF(AND(M207&gt;0,M207&lt;=STATS!$C$22),1,"")</f>
        <v>1</v>
      </c>
      <c r="J207" s="22">
        <v>206</v>
      </c>
      <c r="K207" s="112">
        <v>46.09562</v>
      </c>
      <c r="L207" s="112">
        <v>-91.23362</v>
      </c>
      <c r="M207" s="4">
        <v>7</v>
      </c>
      <c r="N207" s="4" t="s">
        <v>480</v>
      </c>
      <c r="O207" s="4" t="s">
        <v>562</v>
      </c>
      <c r="R207" s="8"/>
      <c r="S207" s="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EZ207" s="98"/>
      <c r="FA207" s="98"/>
      <c r="FB207" s="98"/>
      <c r="FC207" s="98"/>
      <c r="FD207" s="98"/>
    </row>
    <row r="208" spans="2:160" ht="12.75">
      <c r="B208" s="83">
        <f t="shared" si="18"/>
        <v>0</v>
      </c>
      <c r="C208" s="83">
        <f t="shared" si="19"/>
      </c>
      <c r="D208" s="83">
        <f t="shared" si="20"/>
      </c>
      <c r="E208" s="83">
        <f t="shared" si="21"/>
        <v>0</v>
      </c>
      <c r="F208" s="83">
        <f t="shared" si="22"/>
        <v>0</v>
      </c>
      <c r="G208" s="83">
        <f t="shared" si="23"/>
      </c>
      <c r="H208" s="101">
        <f>IF(AND(M208&gt;0,M208&lt;=STATS!$C$22),1,"")</f>
        <v>1</v>
      </c>
      <c r="J208" s="22">
        <v>207</v>
      </c>
      <c r="K208" s="112">
        <v>46.09562</v>
      </c>
      <c r="L208" s="112">
        <v>-91.23301</v>
      </c>
      <c r="M208" s="4">
        <v>7</v>
      </c>
      <c r="N208" s="4" t="s">
        <v>480</v>
      </c>
      <c r="O208" s="4" t="s">
        <v>562</v>
      </c>
      <c r="P208" s="110"/>
      <c r="R208" s="8"/>
      <c r="S208" s="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EZ208" s="98"/>
      <c r="FA208" s="98"/>
      <c r="FB208" s="98"/>
      <c r="FC208" s="98"/>
      <c r="FD208" s="98"/>
    </row>
    <row r="209" spans="2:160" ht="12.75">
      <c r="B209" s="83">
        <f t="shared" si="18"/>
        <v>0</v>
      </c>
      <c r="C209" s="83">
        <f t="shared" si="19"/>
      </c>
      <c r="D209" s="83">
        <f t="shared" si="20"/>
      </c>
      <c r="E209" s="83">
        <f t="shared" si="21"/>
        <v>0</v>
      </c>
      <c r="F209" s="83">
        <f t="shared" si="22"/>
        <v>0</v>
      </c>
      <c r="G209" s="83">
        <f t="shared" si="23"/>
      </c>
      <c r="H209" s="101">
        <f>IF(AND(M209&gt;0,M209&lt;=STATS!$C$22),1,"")</f>
        <v>1</v>
      </c>
      <c r="J209" s="22">
        <v>208</v>
      </c>
      <c r="K209" s="112">
        <v>46.09563</v>
      </c>
      <c r="L209" s="112">
        <v>-91.2324</v>
      </c>
      <c r="M209" s="4">
        <v>6.5</v>
      </c>
      <c r="N209" s="4" t="s">
        <v>480</v>
      </c>
      <c r="O209" s="4" t="s">
        <v>562</v>
      </c>
      <c r="R209" s="8"/>
      <c r="S209" s="8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EZ209" s="98"/>
      <c r="FA209" s="98"/>
      <c r="FB209" s="98"/>
      <c r="FC209" s="98"/>
      <c r="FD209" s="98"/>
    </row>
    <row r="210" spans="2:160" ht="12.75">
      <c r="B210" s="83">
        <f t="shared" si="18"/>
        <v>0</v>
      </c>
      <c r="C210" s="83">
        <f t="shared" si="19"/>
      </c>
      <c r="D210" s="83">
        <f t="shared" si="20"/>
      </c>
      <c r="E210" s="83">
        <f t="shared" si="21"/>
        <v>0</v>
      </c>
      <c r="F210" s="83">
        <f t="shared" si="22"/>
        <v>0</v>
      </c>
      <c r="G210" s="83">
        <f t="shared" si="23"/>
      </c>
      <c r="H210" s="101">
        <f>IF(AND(M210&gt;0,M210&lt;=STATS!$C$22),1,"")</f>
        <v>1</v>
      </c>
      <c r="J210" s="22">
        <v>209</v>
      </c>
      <c r="K210" s="112">
        <v>46.09564</v>
      </c>
      <c r="L210" s="112">
        <v>-91.2318</v>
      </c>
      <c r="M210" s="4">
        <v>6</v>
      </c>
      <c r="N210" s="4" t="s">
        <v>480</v>
      </c>
      <c r="O210" s="4" t="s">
        <v>562</v>
      </c>
      <c r="R210" s="8"/>
      <c r="S210" s="8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EZ210" s="98"/>
      <c r="FA210" s="98"/>
      <c r="FB210" s="98"/>
      <c r="FC210" s="98"/>
      <c r="FD210" s="98"/>
    </row>
    <row r="211" spans="2:160" ht="12.75">
      <c r="B211" s="83">
        <f t="shared" si="18"/>
        <v>0</v>
      </c>
      <c r="C211" s="83">
        <f t="shared" si="19"/>
      </c>
      <c r="D211" s="83">
        <f t="shared" si="20"/>
      </c>
      <c r="E211" s="83">
        <f t="shared" si="21"/>
        <v>0</v>
      </c>
      <c r="F211" s="83">
        <f t="shared" si="22"/>
        <v>0</v>
      </c>
      <c r="G211" s="83">
        <f t="shared" si="23"/>
      </c>
      <c r="H211" s="101">
        <f>IF(AND(M211&gt;0,M211&lt;=STATS!$C$22),1,"")</f>
        <v>1</v>
      </c>
      <c r="J211" s="22">
        <v>210</v>
      </c>
      <c r="K211" s="112">
        <v>46.09564</v>
      </c>
      <c r="L211" s="112">
        <v>-91.23119</v>
      </c>
      <c r="M211" s="4">
        <v>6</v>
      </c>
      <c r="N211" s="4" t="s">
        <v>480</v>
      </c>
      <c r="O211" s="4" t="s">
        <v>562</v>
      </c>
      <c r="R211" s="8"/>
      <c r="S211" s="8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EZ211" s="98"/>
      <c r="FA211" s="98"/>
      <c r="FB211" s="98"/>
      <c r="FC211" s="98"/>
      <c r="FD211" s="98"/>
    </row>
    <row r="212" spans="2:160" ht="12.75">
      <c r="B212" s="83">
        <f t="shared" si="18"/>
        <v>0</v>
      </c>
      <c r="C212" s="83">
        <f t="shared" si="19"/>
      </c>
      <c r="D212" s="83">
        <f t="shared" si="20"/>
      </c>
      <c r="E212" s="83">
        <f t="shared" si="21"/>
        <v>0</v>
      </c>
      <c r="F212" s="83">
        <f t="shared" si="22"/>
        <v>0</v>
      </c>
      <c r="G212" s="83">
        <f t="shared" si="23"/>
      </c>
      <c r="H212" s="101">
        <f>IF(AND(M212&gt;0,M212&lt;=STATS!$C$22),1,"")</f>
        <v>1</v>
      </c>
      <c r="J212" s="22">
        <v>211</v>
      </c>
      <c r="K212" s="112">
        <v>46.09565</v>
      </c>
      <c r="L212" s="112">
        <v>-91.23058</v>
      </c>
      <c r="M212" s="4">
        <v>7</v>
      </c>
      <c r="N212" s="4" t="s">
        <v>480</v>
      </c>
      <c r="O212" s="4" t="s">
        <v>562</v>
      </c>
      <c r="R212" s="8"/>
      <c r="S212" s="8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EZ212" s="98"/>
      <c r="FA212" s="98"/>
      <c r="FB212" s="98"/>
      <c r="FC212" s="98"/>
      <c r="FD212" s="98"/>
    </row>
    <row r="213" spans="2:160" ht="12.75">
      <c r="B213" s="83">
        <f t="shared" si="18"/>
        <v>2</v>
      </c>
      <c r="C213" s="83">
        <f t="shared" si="19"/>
        <v>2</v>
      </c>
      <c r="D213" s="83">
        <f t="shared" si="20"/>
        <v>2</v>
      </c>
      <c r="E213" s="83">
        <f t="shared" si="21"/>
        <v>2</v>
      </c>
      <c r="F213" s="83">
        <f t="shared" si="22"/>
        <v>2</v>
      </c>
      <c r="G213" s="83">
        <f t="shared" si="23"/>
        <v>0.5</v>
      </c>
      <c r="H213" s="101">
        <f>IF(AND(M213&gt;0,M213&lt;=STATS!$C$22),1,"")</f>
        <v>1</v>
      </c>
      <c r="J213" s="22">
        <v>212</v>
      </c>
      <c r="K213" s="112">
        <v>46.09591</v>
      </c>
      <c r="L213" s="112">
        <v>-91.24518</v>
      </c>
      <c r="M213" s="4">
        <v>0.5</v>
      </c>
      <c r="N213" s="4" t="s">
        <v>480</v>
      </c>
      <c r="O213" s="4" t="s">
        <v>562</v>
      </c>
      <c r="Q213" s="4">
        <v>2</v>
      </c>
      <c r="R213" s="8"/>
      <c r="S213" s="8"/>
      <c r="T213" s="24"/>
      <c r="U213" s="24"/>
      <c r="V213" s="24"/>
      <c r="W213" s="24"/>
      <c r="X213" s="24">
        <v>2</v>
      </c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CB213" s="4">
        <v>1</v>
      </c>
      <c r="CG213" s="4" t="s">
        <v>483</v>
      </c>
      <c r="EZ213" s="98"/>
      <c r="FA213" s="98"/>
      <c r="FB213" s="98"/>
      <c r="FC213" s="98"/>
      <c r="FD213" s="98"/>
    </row>
    <row r="214" spans="2:160" ht="12.75">
      <c r="B214" s="83">
        <f t="shared" si="18"/>
        <v>0</v>
      </c>
      <c r="C214" s="83">
        <f t="shared" si="19"/>
      </c>
      <c r="D214" s="83">
        <f t="shared" si="20"/>
      </c>
      <c r="E214" s="83">
        <f t="shared" si="21"/>
        <v>0</v>
      </c>
      <c r="F214" s="83">
        <f t="shared" si="22"/>
        <v>0</v>
      </c>
      <c r="G214" s="83">
        <f t="shared" si="23"/>
      </c>
      <c r="H214" s="101">
        <f>IF(AND(M214&gt;0,M214&lt;=STATS!$C$22),1,"")</f>
        <v>1</v>
      </c>
      <c r="J214" s="22">
        <v>213</v>
      </c>
      <c r="K214" s="112">
        <v>46.09592</v>
      </c>
      <c r="L214" s="112">
        <v>-91.24457</v>
      </c>
      <c r="M214" s="4">
        <v>5.5</v>
      </c>
      <c r="N214" s="4" t="s">
        <v>480</v>
      </c>
      <c r="O214" s="4" t="s">
        <v>562</v>
      </c>
      <c r="R214" s="8"/>
      <c r="S214" s="8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EZ214" s="98"/>
      <c r="FA214" s="98"/>
      <c r="FB214" s="98"/>
      <c r="FC214" s="98"/>
      <c r="FD214" s="98"/>
    </row>
    <row r="215" spans="2:160" ht="12.75">
      <c r="B215" s="83">
        <f t="shared" si="18"/>
        <v>0</v>
      </c>
      <c r="C215" s="83">
        <f t="shared" si="19"/>
      </c>
      <c r="D215" s="83">
        <f t="shared" si="20"/>
      </c>
      <c r="E215" s="83">
        <f t="shared" si="21"/>
        <v>0</v>
      </c>
      <c r="F215" s="83">
        <f t="shared" si="22"/>
        <v>0</v>
      </c>
      <c r="G215" s="83">
        <f t="shared" si="23"/>
      </c>
      <c r="H215" s="101">
        <f>IF(AND(M215&gt;0,M215&lt;=STATS!$C$22),1,"")</f>
        <v>1</v>
      </c>
      <c r="J215" s="22">
        <v>214</v>
      </c>
      <c r="K215" s="112">
        <v>46.09593</v>
      </c>
      <c r="L215" s="112">
        <v>-91.24396</v>
      </c>
      <c r="M215" s="4">
        <v>5.5</v>
      </c>
      <c r="N215" s="4" t="s">
        <v>480</v>
      </c>
      <c r="O215" s="4" t="s">
        <v>562</v>
      </c>
      <c r="R215" s="8"/>
      <c r="S215" s="8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EZ215" s="98"/>
      <c r="FA215" s="98"/>
      <c r="FB215" s="98"/>
      <c r="FC215" s="98"/>
      <c r="FD215" s="98"/>
    </row>
    <row r="216" spans="2:160" ht="12.75">
      <c r="B216" s="83">
        <f t="shared" si="18"/>
        <v>1</v>
      </c>
      <c r="C216" s="83">
        <f t="shared" si="19"/>
        <v>1</v>
      </c>
      <c r="D216" s="83">
        <f t="shared" si="20"/>
        <v>1</v>
      </c>
      <c r="E216" s="83">
        <f t="shared" si="21"/>
        <v>1</v>
      </c>
      <c r="F216" s="83">
        <f t="shared" si="22"/>
        <v>1</v>
      </c>
      <c r="G216" s="83">
        <f t="shared" si="23"/>
        <v>5.5</v>
      </c>
      <c r="H216" s="101">
        <f>IF(AND(M216&gt;0,M216&lt;=STATS!$C$22),1,"")</f>
        <v>1</v>
      </c>
      <c r="J216" s="22">
        <v>215</v>
      </c>
      <c r="K216" s="112">
        <v>46.09593</v>
      </c>
      <c r="L216" s="112">
        <v>-91.24336</v>
      </c>
      <c r="M216" s="4">
        <v>5.5</v>
      </c>
      <c r="N216" s="4" t="s">
        <v>480</v>
      </c>
      <c r="O216" s="4" t="s">
        <v>562</v>
      </c>
      <c r="Q216" s="4">
        <v>1</v>
      </c>
      <c r="R216" s="8"/>
      <c r="S216" s="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CI216" s="4">
        <v>1</v>
      </c>
      <c r="EZ216" s="98"/>
      <c r="FA216" s="98"/>
      <c r="FB216" s="98"/>
      <c r="FC216" s="98"/>
      <c r="FD216" s="98"/>
    </row>
    <row r="217" spans="2:160" ht="12.75">
      <c r="B217" s="83">
        <f t="shared" si="18"/>
        <v>1</v>
      </c>
      <c r="C217" s="83">
        <f t="shared" si="19"/>
        <v>1</v>
      </c>
      <c r="D217" s="83">
        <f t="shared" si="20"/>
        <v>1</v>
      </c>
      <c r="E217" s="83">
        <f t="shared" si="21"/>
        <v>1</v>
      </c>
      <c r="F217" s="83">
        <f t="shared" si="22"/>
        <v>1</v>
      </c>
      <c r="G217" s="83">
        <f t="shared" si="23"/>
        <v>6</v>
      </c>
      <c r="H217" s="101">
        <f>IF(AND(M217&gt;0,M217&lt;=STATS!$C$22),1,"")</f>
        <v>1</v>
      </c>
      <c r="J217" s="22">
        <v>216</v>
      </c>
      <c r="K217" s="112">
        <v>46.09594</v>
      </c>
      <c r="L217" s="112">
        <v>-91.24275</v>
      </c>
      <c r="M217" s="4">
        <v>6</v>
      </c>
      <c r="N217" s="4" t="s">
        <v>480</v>
      </c>
      <c r="O217" s="4" t="s">
        <v>562</v>
      </c>
      <c r="Q217" s="4">
        <v>1</v>
      </c>
      <c r="R217" s="8"/>
      <c r="S217" s="8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DA217" s="4">
        <v>1</v>
      </c>
      <c r="EZ217" s="98"/>
      <c r="FA217" s="98"/>
      <c r="FB217" s="98"/>
      <c r="FC217" s="98"/>
      <c r="FD217" s="98"/>
    </row>
    <row r="218" spans="2:160" ht="12.75">
      <c r="B218" s="83">
        <f t="shared" si="18"/>
        <v>2</v>
      </c>
      <c r="C218" s="83">
        <f t="shared" si="19"/>
        <v>2</v>
      </c>
      <c r="D218" s="83">
        <f t="shared" si="20"/>
        <v>2</v>
      </c>
      <c r="E218" s="83">
        <f t="shared" si="21"/>
        <v>2</v>
      </c>
      <c r="F218" s="83">
        <f t="shared" si="22"/>
        <v>2</v>
      </c>
      <c r="G218" s="83">
        <f t="shared" si="23"/>
        <v>6</v>
      </c>
      <c r="H218" s="101">
        <f>IF(AND(M218&gt;0,M218&lt;=STATS!$C$22),1,"")</f>
        <v>1</v>
      </c>
      <c r="J218" s="22">
        <v>217</v>
      </c>
      <c r="K218" s="112">
        <v>46.09595</v>
      </c>
      <c r="L218" s="112">
        <v>-91.24214</v>
      </c>
      <c r="M218" s="4">
        <v>6</v>
      </c>
      <c r="N218" s="4" t="s">
        <v>480</v>
      </c>
      <c r="O218" s="4" t="s">
        <v>562</v>
      </c>
      <c r="Q218" s="4">
        <v>2</v>
      </c>
      <c r="R218" s="8"/>
      <c r="S218" s="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CI218" s="4">
        <v>2</v>
      </c>
      <c r="CW218" s="4" t="s">
        <v>483</v>
      </c>
      <c r="DA218" s="4">
        <v>1</v>
      </c>
      <c r="EZ218" s="98"/>
      <c r="FA218" s="98"/>
      <c r="FB218" s="98"/>
      <c r="FC218" s="98"/>
      <c r="FD218" s="98"/>
    </row>
    <row r="219" spans="2:160" ht="12.75">
      <c r="B219" s="83">
        <f t="shared" si="18"/>
        <v>0</v>
      </c>
      <c r="C219" s="83">
        <f t="shared" si="19"/>
      </c>
      <c r="D219" s="83">
        <f t="shared" si="20"/>
      </c>
      <c r="E219" s="83">
        <f t="shared" si="21"/>
        <v>0</v>
      </c>
      <c r="F219" s="83">
        <f t="shared" si="22"/>
        <v>0</v>
      </c>
      <c r="G219" s="83">
        <f t="shared" si="23"/>
      </c>
      <c r="H219" s="101">
        <f>IF(AND(M219&gt;0,M219&lt;=STATS!$C$22),1,"")</f>
        <v>1</v>
      </c>
      <c r="J219" s="22">
        <v>218</v>
      </c>
      <c r="K219" s="112">
        <v>46.09595</v>
      </c>
      <c r="L219" s="112">
        <v>-91.24153</v>
      </c>
      <c r="M219" s="4">
        <v>6</v>
      </c>
      <c r="N219" s="4" t="s">
        <v>480</v>
      </c>
      <c r="O219" s="4" t="s">
        <v>562</v>
      </c>
      <c r="R219" s="8"/>
      <c r="S219" s="8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EZ219" s="98"/>
      <c r="FA219" s="98"/>
      <c r="FB219" s="98"/>
      <c r="FC219" s="98"/>
      <c r="FD219" s="98"/>
    </row>
    <row r="220" spans="2:160" ht="12.75">
      <c r="B220" s="83">
        <f t="shared" si="18"/>
        <v>1</v>
      </c>
      <c r="C220" s="83">
        <f t="shared" si="19"/>
        <v>1</v>
      </c>
      <c r="D220" s="83">
        <f t="shared" si="20"/>
        <v>1</v>
      </c>
      <c r="E220" s="83">
        <f t="shared" si="21"/>
        <v>1</v>
      </c>
      <c r="F220" s="83">
        <f t="shared" si="22"/>
        <v>1</v>
      </c>
      <c r="G220" s="83">
        <f t="shared" si="23"/>
        <v>6</v>
      </c>
      <c r="H220" s="101">
        <f>IF(AND(M220&gt;0,M220&lt;=STATS!$C$22),1,"")</f>
        <v>1</v>
      </c>
      <c r="J220" s="22">
        <v>219</v>
      </c>
      <c r="K220" s="112">
        <v>46.09596</v>
      </c>
      <c r="L220" s="112">
        <v>-91.24092</v>
      </c>
      <c r="M220" s="4">
        <v>6</v>
      </c>
      <c r="N220" s="4" t="s">
        <v>480</v>
      </c>
      <c r="O220" s="4" t="s">
        <v>562</v>
      </c>
      <c r="Q220" s="4">
        <v>1</v>
      </c>
      <c r="R220" s="8"/>
      <c r="S220" s="8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BR220" s="4">
        <v>1</v>
      </c>
      <c r="EZ220" s="98"/>
      <c r="FA220" s="98"/>
      <c r="FB220" s="98"/>
      <c r="FC220" s="98"/>
      <c r="FD220" s="98"/>
    </row>
    <row r="221" spans="2:160" ht="12.75">
      <c r="B221" s="83">
        <f t="shared" si="18"/>
        <v>0</v>
      </c>
      <c r="C221" s="83">
        <f t="shared" si="19"/>
      </c>
      <c r="D221" s="83">
        <f t="shared" si="20"/>
      </c>
      <c r="E221" s="83">
        <f t="shared" si="21"/>
        <v>0</v>
      </c>
      <c r="F221" s="83">
        <f t="shared" si="22"/>
        <v>0</v>
      </c>
      <c r="G221" s="83">
        <f t="shared" si="23"/>
      </c>
      <c r="H221" s="101">
        <f>IF(AND(M221&gt;0,M221&lt;=STATS!$C$22),1,"")</f>
        <v>1</v>
      </c>
      <c r="J221" s="22">
        <v>220</v>
      </c>
      <c r="K221" s="112">
        <v>46.09597</v>
      </c>
      <c r="L221" s="112">
        <v>-91.24031</v>
      </c>
      <c r="M221" s="4">
        <v>6.5</v>
      </c>
      <c r="N221" s="4" t="s">
        <v>480</v>
      </c>
      <c r="O221" s="4" t="s">
        <v>562</v>
      </c>
      <c r="R221" s="8"/>
      <c r="S221" s="8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EZ221" s="98"/>
      <c r="FA221" s="98"/>
      <c r="FB221" s="98"/>
      <c r="FC221" s="98"/>
      <c r="FD221" s="98"/>
    </row>
    <row r="222" spans="2:160" ht="12.75">
      <c r="B222" s="83">
        <f t="shared" si="18"/>
        <v>0</v>
      </c>
      <c r="C222" s="83">
        <f t="shared" si="19"/>
      </c>
      <c r="D222" s="83">
        <f t="shared" si="20"/>
      </c>
      <c r="E222" s="83">
        <f t="shared" si="21"/>
        <v>0</v>
      </c>
      <c r="F222" s="83">
        <f t="shared" si="22"/>
        <v>0</v>
      </c>
      <c r="G222" s="83">
        <f t="shared" si="23"/>
      </c>
      <c r="H222" s="101">
        <f>IF(AND(M222&gt;0,M222&lt;=STATS!$C$22),1,"")</f>
        <v>1</v>
      </c>
      <c r="J222" s="22">
        <v>221</v>
      </c>
      <c r="K222" s="112">
        <v>46.09597</v>
      </c>
      <c r="L222" s="112">
        <v>-91.23971</v>
      </c>
      <c r="M222" s="4">
        <v>6</v>
      </c>
      <c r="N222" s="4" t="s">
        <v>480</v>
      </c>
      <c r="O222" s="4" t="s">
        <v>562</v>
      </c>
      <c r="R222" s="8"/>
      <c r="S222" s="8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CW222" s="4" t="s">
        <v>483</v>
      </c>
      <c r="EZ222" s="98"/>
      <c r="FA222" s="98"/>
      <c r="FB222" s="98"/>
      <c r="FC222" s="98"/>
      <c r="FD222" s="98"/>
    </row>
    <row r="223" spans="2:160" ht="12.75">
      <c r="B223" s="83">
        <f t="shared" si="18"/>
        <v>1</v>
      </c>
      <c r="C223" s="83">
        <f t="shared" si="19"/>
        <v>1</v>
      </c>
      <c r="D223" s="83">
        <f t="shared" si="20"/>
        <v>1</v>
      </c>
      <c r="E223" s="83">
        <f t="shared" si="21"/>
        <v>1</v>
      </c>
      <c r="F223" s="83">
        <f t="shared" si="22"/>
        <v>1</v>
      </c>
      <c r="G223" s="83">
        <f t="shared" si="23"/>
        <v>6</v>
      </c>
      <c r="H223" s="101">
        <f>IF(AND(M223&gt;0,M223&lt;=STATS!$C$22),1,"")</f>
        <v>1</v>
      </c>
      <c r="J223" s="22">
        <v>222</v>
      </c>
      <c r="K223" s="112">
        <v>46.09598</v>
      </c>
      <c r="L223" s="112">
        <v>-91.2391</v>
      </c>
      <c r="M223" s="4">
        <v>6</v>
      </c>
      <c r="N223" s="4" t="s">
        <v>480</v>
      </c>
      <c r="O223" s="4" t="s">
        <v>562</v>
      </c>
      <c r="Q223" s="4">
        <v>1</v>
      </c>
      <c r="R223" s="8"/>
      <c r="S223" s="8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BR223" s="4">
        <v>1</v>
      </c>
      <c r="EZ223" s="98"/>
      <c r="FA223" s="98"/>
      <c r="FB223" s="98"/>
      <c r="FC223" s="98"/>
      <c r="FD223" s="98"/>
    </row>
    <row r="224" spans="2:160" ht="12.75">
      <c r="B224" s="83">
        <f t="shared" si="18"/>
        <v>0</v>
      </c>
      <c r="C224" s="83">
        <f t="shared" si="19"/>
      </c>
      <c r="D224" s="83">
        <f t="shared" si="20"/>
      </c>
      <c r="E224" s="83">
        <f t="shared" si="21"/>
        <v>0</v>
      </c>
      <c r="F224" s="83">
        <f t="shared" si="22"/>
        <v>0</v>
      </c>
      <c r="G224" s="83">
        <f t="shared" si="23"/>
      </c>
      <c r="H224" s="101">
        <f>IF(AND(M224&gt;0,M224&lt;=STATS!$C$22),1,"")</f>
        <v>1</v>
      </c>
      <c r="J224" s="22">
        <v>223</v>
      </c>
      <c r="K224" s="112">
        <v>46.09599</v>
      </c>
      <c r="L224" s="112">
        <v>-91.23849</v>
      </c>
      <c r="M224" s="4">
        <v>6.5</v>
      </c>
      <c r="N224" s="4" t="s">
        <v>480</v>
      </c>
      <c r="O224" s="4" t="s">
        <v>562</v>
      </c>
      <c r="R224" s="8"/>
      <c r="S224" s="8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CI224" s="4" t="s">
        <v>483</v>
      </c>
      <c r="EZ224" s="98"/>
      <c r="FA224" s="98"/>
      <c r="FB224" s="98"/>
      <c r="FC224" s="98"/>
      <c r="FD224" s="98"/>
    </row>
    <row r="225" spans="2:160" ht="12.75">
      <c r="B225" s="83">
        <f t="shared" si="18"/>
        <v>0</v>
      </c>
      <c r="C225" s="83">
        <f t="shared" si="19"/>
      </c>
      <c r="D225" s="83">
        <f t="shared" si="20"/>
      </c>
      <c r="E225" s="83">
        <f t="shared" si="21"/>
        <v>0</v>
      </c>
      <c r="F225" s="83">
        <f t="shared" si="22"/>
        <v>0</v>
      </c>
      <c r="G225" s="83">
        <f t="shared" si="23"/>
      </c>
      <c r="H225" s="101">
        <f>IF(AND(M225&gt;0,M225&lt;=STATS!$C$22),1,"")</f>
        <v>1</v>
      </c>
      <c r="J225" s="22">
        <v>224</v>
      </c>
      <c r="K225" s="112">
        <v>46.09599</v>
      </c>
      <c r="L225" s="112">
        <v>-91.23788</v>
      </c>
      <c r="M225" s="4">
        <v>6</v>
      </c>
      <c r="N225" s="4" t="s">
        <v>480</v>
      </c>
      <c r="O225" s="4" t="s">
        <v>562</v>
      </c>
      <c r="R225" s="8"/>
      <c r="S225" s="8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EZ225" s="98"/>
      <c r="FA225" s="98"/>
      <c r="FB225" s="98"/>
      <c r="FC225" s="98"/>
      <c r="FD225" s="98"/>
    </row>
    <row r="226" spans="2:160" ht="12.75">
      <c r="B226" s="83">
        <f t="shared" si="18"/>
        <v>0</v>
      </c>
      <c r="C226" s="83">
        <f t="shared" si="19"/>
      </c>
      <c r="D226" s="83">
        <f t="shared" si="20"/>
      </c>
      <c r="E226" s="83">
        <f t="shared" si="21"/>
        <v>0</v>
      </c>
      <c r="F226" s="83">
        <f t="shared" si="22"/>
        <v>0</v>
      </c>
      <c r="G226" s="83">
        <f t="shared" si="23"/>
      </c>
      <c r="H226" s="101">
        <f>IF(AND(M226&gt;0,M226&lt;=STATS!$C$22),1,"")</f>
        <v>1</v>
      </c>
      <c r="J226" s="22">
        <v>225</v>
      </c>
      <c r="K226" s="112">
        <v>46.096</v>
      </c>
      <c r="L226" s="112">
        <v>-91.23728</v>
      </c>
      <c r="M226" s="4">
        <v>6.5</v>
      </c>
      <c r="N226" s="4" t="s">
        <v>480</v>
      </c>
      <c r="O226" s="4" t="s">
        <v>562</v>
      </c>
      <c r="R226" s="8"/>
      <c r="S226" s="8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EZ226" s="98"/>
      <c r="FA226" s="98"/>
      <c r="FB226" s="98"/>
      <c r="FC226" s="98"/>
      <c r="FD226" s="98"/>
    </row>
    <row r="227" spans="2:160" ht="12.75">
      <c r="B227" s="83">
        <f t="shared" si="18"/>
        <v>0</v>
      </c>
      <c r="C227" s="83">
        <f t="shared" si="19"/>
      </c>
      <c r="D227" s="83">
        <f t="shared" si="20"/>
      </c>
      <c r="E227" s="83">
        <f t="shared" si="21"/>
        <v>0</v>
      </c>
      <c r="F227" s="83">
        <f t="shared" si="22"/>
        <v>0</v>
      </c>
      <c r="G227" s="83">
        <f t="shared" si="23"/>
      </c>
      <c r="H227" s="101">
        <f>IF(AND(M227&gt;0,M227&lt;=STATS!$C$22),1,"")</f>
        <v>1</v>
      </c>
      <c r="J227" s="22">
        <v>226</v>
      </c>
      <c r="K227" s="112">
        <v>46.09601</v>
      </c>
      <c r="L227" s="112">
        <v>-91.23667</v>
      </c>
      <c r="M227" s="4">
        <v>6.5</v>
      </c>
      <c r="N227" s="4" t="s">
        <v>480</v>
      </c>
      <c r="O227" s="4" t="s">
        <v>562</v>
      </c>
      <c r="R227" s="8"/>
      <c r="S227" s="8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EZ227" s="98"/>
      <c r="FA227" s="98"/>
      <c r="FB227" s="98"/>
      <c r="FC227" s="98"/>
      <c r="FD227" s="98"/>
    </row>
    <row r="228" spans="2:160" ht="12.75">
      <c r="B228" s="83">
        <f t="shared" si="18"/>
        <v>0</v>
      </c>
      <c r="C228" s="83">
        <f t="shared" si="19"/>
      </c>
      <c r="D228" s="83">
        <f t="shared" si="20"/>
      </c>
      <c r="E228" s="83">
        <f t="shared" si="21"/>
        <v>0</v>
      </c>
      <c r="F228" s="83">
        <f t="shared" si="22"/>
        <v>0</v>
      </c>
      <c r="G228" s="83">
        <f t="shared" si="23"/>
      </c>
      <c r="H228" s="101">
        <f>IF(AND(M228&gt;0,M228&lt;=STATS!$C$22),1,"")</f>
        <v>1</v>
      </c>
      <c r="J228" s="22">
        <v>227</v>
      </c>
      <c r="K228" s="112">
        <v>46.09601</v>
      </c>
      <c r="L228" s="112">
        <v>-91.23606</v>
      </c>
      <c r="M228" s="4">
        <v>7.5</v>
      </c>
      <c r="N228" s="4" t="s">
        <v>480</v>
      </c>
      <c r="O228" s="4" t="s">
        <v>562</v>
      </c>
      <c r="R228" s="8"/>
      <c r="S228" s="8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EZ228" s="98"/>
      <c r="FA228" s="98"/>
      <c r="FB228" s="98"/>
      <c r="FC228" s="98"/>
      <c r="FD228" s="98"/>
    </row>
    <row r="229" spans="2:160" ht="12.75">
      <c r="B229" s="83">
        <f t="shared" si="18"/>
        <v>0</v>
      </c>
      <c r="C229" s="83">
        <f t="shared" si="19"/>
      </c>
      <c r="D229" s="83">
        <f t="shared" si="20"/>
      </c>
      <c r="E229" s="83">
        <f t="shared" si="21"/>
        <v>0</v>
      </c>
      <c r="F229" s="83">
        <f t="shared" si="22"/>
        <v>0</v>
      </c>
      <c r="G229" s="83">
        <f t="shared" si="23"/>
      </c>
      <c r="H229" s="101">
        <f>IF(AND(M229&gt;0,M229&lt;=STATS!$C$22),1,"")</f>
        <v>1</v>
      </c>
      <c r="J229" s="22">
        <v>228</v>
      </c>
      <c r="K229" s="112">
        <v>46.09602</v>
      </c>
      <c r="L229" s="112">
        <v>-91.23545</v>
      </c>
      <c r="M229" s="4">
        <v>8.5</v>
      </c>
      <c r="N229" s="4" t="s">
        <v>480</v>
      </c>
      <c r="O229" s="4" t="s">
        <v>562</v>
      </c>
      <c r="R229" s="8"/>
      <c r="S229" s="8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EZ229" s="98"/>
      <c r="FA229" s="98"/>
      <c r="FB229" s="98"/>
      <c r="FC229" s="98"/>
      <c r="FD229" s="98"/>
    </row>
    <row r="230" spans="2:160" ht="12.75">
      <c r="B230" s="83">
        <f t="shared" si="18"/>
        <v>0</v>
      </c>
      <c r="C230" s="83">
        <f t="shared" si="19"/>
      </c>
      <c r="D230" s="83">
        <f t="shared" si="20"/>
      </c>
      <c r="E230" s="83">
        <f t="shared" si="21"/>
        <v>0</v>
      </c>
      <c r="F230" s="83">
        <f t="shared" si="22"/>
        <v>0</v>
      </c>
      <c r="G230" s="83">
        <f t="shared" si="23"/>
      </c>
      <c r="H230" s="101">
        <f>IF(AND(M230&gt;0,M230&lt;=STATS!$C$22),1,"")</f>
        <v>1</v>
      </c>
      <c r="J230" s="22">
        <v>229</v>
      </c>
      <c r="K230" s="112">
        <v>46.09603</v>
      </c>
      <c r="L230" s="112">
        <v>-91.23484</v>
      </c>
      <c r="M230" s="4">
        <v>7.5</v>
      </c>
      <c r="N230" s="4" t="s">
        <v>481</v>
      </c>
      <c r="O230" s="4" t="s">
        <v>562</v>
      </c>
      <c r="R230" s="8"/>
      <c r="S230" s="8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EZ230" s="98"/>
      <c r="FA230" s="98"/>
      <c r="FB230" s="98"/>
      <c r="FC230" s="98"/>
      <c r="FD230" s="98"/>
    </row>
    <row r="231" spans="2:160" ht="12.75">
      <c r="B231" s="83">
        <f t="shared" si="18"/>
        <v>0</v>
      </c>
      <c r="C231" s="83">
        <f t="shared" si="19"/>
      </c>
      <c r="D231" s="83">
        <f t="shared" si="20"/>
      </c>
      <c r="E231" s="83">
        <f t="shared" si="21"/>
        <v>0</v>
      </c>
      <c r="F231" s="83">
        <f t="shared" si="22"/>
        <v>0</v>
      </c>
      <c r="G231" s="83">
        <f t="shared" si="23"/>
      </c>
      <c r="H231" s="101">
        <f>IF(AND(M231&gt;0,M231&lt;=STATS!$C$22),1,"")</f>
        <v>1</v>
      </c>
      <c r="J231" s="22">
        <v>230</v>
      </c>
      <c r="K231" s="112">
        <v>46.09603</v>
      </c>
      <c r="L231" s="112">
        <v>-91.23424</v>
      </c>
      <c r="M231" s="4">
        <v>7</v>
      </c>
      <c r="N231" s="4" t="s">
        <v>480</v>
      </c>
      <c r="O231" s="4" t="s">
        <v>562</v>
      </c>
      <c r="R231" s="8"/>
      <c r="S231" s="8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EZ231" s="98"/>
      <c r="FA231" s="98"/>
      <c r="FB231" s="98"/>
      <c r="FC231" s="98"/>
      <c r="FD231" s="98"/>
    </row>
    <row r="232" spans="2:160" ht="12.75">
      <c r="B232" s="83">
        <f t="shared" si="18"/>
        <v>0</v>
      </c>
      <c r="C232" s="83">
        <f t="shared" si="19"/>
      </c>
      <c r="D232" s="83">
        <f t="shared" si="20"/>
      </c>
      <c r="E232" s="83">
        <f t="shared" si="21"/>
        <v>0</v>
      </c>
      <c r="F232" s="83">
        <f t="shared" si="22"/>
        <v>0</v>
      </c>
      <c r="G232" s="83">
        <f t="shared" si="23"/>
      </c>
      <c r="H232" s="101">
        <f>IF(AND(M232&gt;0,M232&lt;=STATS!$C$22),1,"")</f>
        <v>1</v>
      </c>
      <c r="J232" s="22">
        <v>231</v>
      </c>
      <c r="K232" s="112">
        <v>46.09604</v>
      </c>
      <c r="L232" s="112">
        <v>-91.23363</v>
      </c>
      <c r="M232" s="4">
        <v>7</v>
      </c>
      <c r="N232" s="4" t="s">
        <v>480</v>
      </c>
      <c r="O232" s="4" t="s">
        <v>562</v>
      </c>
      <c r="R232" s="8"/>
      <c r="S232" s="8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EZ232" s="98"/>
      <c r="FA232" s="98"/>
      <c r="FB232" s="98"/>
      <c r="FC232" s="98"/>
      <c r="FD232" s="98"/>
    </row>
    <row r="233" spans="2:160" ht="12.75">
      <c r="B233" s="83">
        <f t="shared" si="18"/>
        <v>0</v>
      </c>
      <c r="C233" s="83">
        <f t="shared" si="19"/>
      </c>
      <c r="D233" s="83">
        <f t="shared" si="20"/>
      </c>
      <c r="E233" s="83">
        <f t="shared" si="21"/>
        <v>0</v>
      </c>
      <c r="F233" s="83">
        <f t="shared" si="22"/>
        <v>0</v>
      </c>
      <c r="G233" s="83">
        <f t="shared" si="23"/>
      </c>
      <c r="H233" s="101">
        <f>IF(AND(M233&gt;0,M233&lt;=STATS!$C$22),1,"")</f>
        <v>1</v>
      </c>
      <c r="J233" s="22">
        <v>232</v>
      </c>
      <c r="K233" s="112">
        <v>46.09605</v>
      </c>
      <c r="L233" s="112">
        <v>-91.23302</v>
      </c>
      <c r="M233" s="4">
        <v>6.5</v>
      </c>
      <c r="N233" s="4" t="s">
        <v>480</v>
      </c>
      <c r="O233" s="4" t="s">
        <v>562</v>
      </c>
      <c r="R233" s="8"/>
      <c r="S233" s="8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EZ233" s="98"/>
      <c r="FA233" s="98"/>
      <c r="FB233" s="98"/>
      <c r="FC233" s="98"/>
      <c r="FD233" s="98"/>
    </row>
    <row r="234" spans="2:160" ht="12.75">
      <c r="B234" s="83">
        <f t="shared" si="18"/>
        <v>0</v>
      </c>
      <c r="C234" s="83">
        <f t="shared" si="19"/>
      </c>
      <c r="D234" s="83">
        <f t="shared" si="20"/>
      </c>
      <c r="E234" s="83">
        <f t="shared" si="21"/>
        <v>0</v>
      </c>
      <c r="F234" s="83">
        <f t="shared" si="22"/>
        <v>0</v>
      </c>
      <c r="G234" s="83">
        <f t="shared" si="23"/>
      </c>
      <c r="H234" s="101">
        <f>IF(AND(M234&gt;0,M234&lt;=STATS!$C$22),1,"")</f>
        <v>1</v>
      </c>
      <c r="J234" s="22">
        <v>233</v>
      </c>
      <c r="K234" s="112">
        <v>46.09605</v>
      </c>
      <c r="L234" s="112">
        <v>-91.23241</v>
      </c>
      <c r="M234" s="4">
        <v>7</v>
      </c>
      <c r="N234" s="4" t="s">
        <v>480</v>
      </c>
      <c r="O234" s="4" t="s">
        <v>562</v>
      </c>
      <c r="R234" s="8"/>
      <c r="S234" s="8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EZ234" s="98"/>
      <c r="FA234" s="98"/>
      <c r="FB234" s="98"/>
      <c r="FC234" s="98"/>
      <c r="FD234" s="98"/>
    </row>
    <row r="235" spans="2:160" ht="12.75">
      <c r="B235" s="83">
        <f t="shared" si="18"/>
        <v>0</v>
      </c>
      <c r="C235" s="83">
        <f t="shared" si="19"/>
      </c>
      <c r="D235" s="83">
        <f t="shared" si="20"/>
      </c>
      <c r="E235" s="83">
        <f t="shared" si="21"/>
        <v>0</v>
      </c>
      <c r="F235" s="83">
        <f t="shared" si="22"/>
        <v>0</v>
      </c>
      <c r="G235" s="83">
        <f t="shared" si="23"/>
      </c>
      <c r="H235" s="101">
        <f>IF(AND(M235&gt;0,M235&lt;=STATS!$C$22),1,"")</f>
        <v>1</v>
      </c>
      <c r="J235" s="22">
        <v>234</v>
      </c>
      <c r="K235" s="112">
        <v>46.09606</v>
      </c>
      <c r="L235" s="112">
        <v>-91.2318</v>
      </c>
      <c r="M235" s="4">
        <v>6</v>
      </c>
      <c r="N235" s="4" t="s">
        <v>480</v>
      </c>
      <c r="O235" s="4" t="s">
        <v>562</v>
      </c>
      <c r="R235" s="8"/>
      <c r="S235" s="8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EZ235" s="98"/>
      <c r="FA235" s="98"/>
      <c r="FB235" s="98"/>
      <c r="FC235" s="98"/>
      <c r="FD235" s="98"/>
    </row>
    <row r="236" spans="2:160" ht="12.75">
      <c r="B236" s="83">
        <f t="shared" si="18"/>
        <v>1</v>
      </c>
      <c r="C236" s="83">
        <f t="shared" si="19"/>
        <v>1</v>
      </c>
      <c r="D236" s="83">
        <f t="shared" si="20"/>
        <v>1</v>
      </c>
      <c r="E236" s="83">
        <f t="shared" si="21"/>
        <v>1</v>
      </c>
      <c r="F236" s="83">
        <f t="shared" si="22"/>
        <v>1</v>
      </c>
      <c r="G236" s="83">
        <f t="shared" si="23"/>
        <v>6.5</v>
      </c>
      <c r="H236" s="101">
        <f>IF(AND(M236&gt;0,M236&lt;=STATS!$C$22),1,"")</f>
        <v>1</v>
      </c>
      <c r="J236" s="22">
        <v>235</v>
      </c>
      <c r="K236" s="112">
        <v>46.09607</v>
      </c>
      <c r="L236" s="112">
        <v>-91.2312</v>
      </c>
      <c r="M236" s="4">
        <v>6.5</v>
      </c>
      <c r="N236" s="4" t="s">
        <v>480</v>
      </c>
      <c r="O236" s="4" t="s">
        <v>562</v>
      </c>
      <c r="Q236" s="4">
        <v>1</v>
      </c>
      <c r="R236" s="8"/>
      <c r="S236" s="8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CI236" s="4" t="s">
        <v>483</v>
      </c>
      <c r="DK236" s="4">
        <v>1</v>
      </c>
      <c r="EZ236" s="98"/>
      <c r="FA236" s="98"/>
      <c r="FB236" s="98"/>
      <c r="FC236" s="98"/>
      <c r="FD236" s="98"/>
    </row>
    <row r="237" spans="2:160" ht="12.75">
      <c r="B237" s="83">
        <f t="shared" si="18"/>
        <v>1</v>
      </c>
      <c r="C237" s="83">
        <f t="shared" si="19"/>
        <v>1</v>
      </c>
      <c r="D237" s="83">
        <f t="shared" si="20"/>
        <v>1</v>
      </c>
      <c r="E237" s="83">
        <f t="shared" si="21"/>
        <v>1</v>
      </c>
      <c r="F237" s="83">
        <f t="shared" si="22"/>
        <v>1</v>
      </c>
      <c r="G237" s="83">
        <f t="shared" si="23"/>
        <v>6</v>
      </c>
      <c r="H237" s="101">
        <f>IF(AND(M237&gt;0,M237&lt;=STATS!$C$22),1,"")</f>
        <v>1</v>
      </c>
      <c r="J237" s="22">
        <v>236</v>
      </c>
      <c r="K237" s="112">
        <v>46.09607</v>
      </c>
      <c r="L237" s="112">
        <v>-91.23059</v>
      </c>
      <c r="M237" s="4">
        <v>6</v>
      </c>
      <c r="N237" s="4" t="s">
        <v>480</v>
      </c>
      <c r="O237" s="4" t="s">
        <v>562</v>
      </c>
      <c r="Q237" s="4">
        <v>2</v>
      </c>
      <c r="R237" s="8"/>
      <c r="S237" s="8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BR237" s="4">
        <v>2</v>
      </c>
      <c r="EZ237" s="98"/>
      <c r="FA237" s="98"/>
      <c r="FB237" s="98"/>
      <c r="FC237" s="98"/>
      <c r="FD237" s="98"/>
    </row>
    <row r="238" spans="2:160" ht="12.75">
      <c r="B238" s="83">
        <f t="shared" si="18"/>
        <v>1</v>
      </c>
      <c r="C238" s="83">
        <f t="shared" si="19"/>
        <v>1</v>
      </c>
      <c r="D238" s="83">
        <f t="shared" si="20"/>
        <v>1</v>
      </c>
      <c r="E238" s="83">
        <f t="shared" si="21"/>
        <v>1</v>
      </c>
      <c r="F238" s="83">
        <f t="shared" si="22"/>
        <v>1</v>
      </c>
      <c r="G238" s="83">
        <f t="shared" si="23"/>
        <v>6</v>
      </c>
      <c r="H238" s="101">
        <f>IF(AND(M238&gt;0,M238&lt;=STATS!$C$22),1,"")</f>
        <v>1</v>
      </c>
      <c r="J238" s="22">
        <v>237</v>
      </c>
      <c r="K238" s="112">
        <v>46.09608</v>
      </c>
      <c r="L238" s="112">
        <v>-91.22998</v>
      </c>
      <c r="M238" s="4">
        <v>6</v>
      </c>
      <c r="N238" s="4" t="s">
        <v>480</v>
      </c>
      <c r="O238" s="4" t="s">
        <v>562</v>
      </c>
      <c r="Q238" s="4">
        <v>2</v>
      </c>
      <c r="R238" s="8"/>
      <c r="S238" s="8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DA238" s="4">
        <v>2</v>
      </c>
      <c r="EZ238" s="98"/>
      <c r="FA238" s="98"/>
      <c r="FB238" s="98"/>
      <c r="FC238" s="98"/>
      <c r="FD238" s="98"/>
    </row>
    <row r="239" spans="2:160" ht="12.75">
      <c r="B239" s="83">
        <f t="shared" si="18"/>
        <v>3</v>
      </c>
      <c r="C239" s="83">
        <f t="shared" si="19"/>
        <v>3</v>
      </c>
      <c r="D239" s="83">
        <f t="shared" si="20"/>
        <v>3</v>
      </c>
      <c r="E239" s="83">
        <f t="shared" si="21"/>
        <v>3</v>
      </c>
      <c r="F239" s="83">
        <f t="shared" si="22"/>
        <v>3</v>
      </c>
      <c r="G239" s="83">
        <f t="shared" si="23"/>
        <v>5.5</v>
      </c>
      <c r="H239" s="101">
        <f>IF(AND(M239&gt;0,M239&lt;=STATS!$C$22),1,"")</f>
        <v>1</v>
      </c>
      <c r="J239" s="22">
        <v>238</v>
      </c>
      <c r="K239" s="112">
        <v>46.09608</v>
      </c>
      <c r="L239" s="112">
        <v>-91.22937</v>
      </c>
      <c r="M239" s="4">
        <v>5.5</v>
      </c>
      <c r="N239" s="4" t="s">
        <v>480</v>
      </c>
      <c r="O239" s="4" t="s">
        <v>562</v>
      </c>
      <c r="Q239" s="4">
        <v>2</v>
      </c>
      <c r="R239" s="8"/>
      <c r="S239" s="8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BR239" s="4">
        <v>2</v>
      </c>
      <c r="CI239" s="4">
        <v>2</v>
      </c>
      <c r="CW239" s="4">
        <v>1</v>
      </c>
      <c r="EZ239" s="98"/>
      <c r="FA239" s="98"/>
      <c r="FB239" s="98"/>
      <c r="FC239" s="98"/>
      <c r="FD239" s="98"/>
    </row>
    <row r="240" spans="2:160" ht="12.75">
      <c r="B240" s="83">
        <f t="shared" si="18"/>
        <v>0</v>
      </c>
      <c r="C240" s="83">
        <f t="shared" si="19"/>
      </c>
      <c r="D240" s="83">
        <f t="shared" si="20"/>
      </c>
      <c r="E240" s="83">
        <f t="shared" si="21"/>
        <v>0</v>
      </c>
      <c r="F240" s="83">
        <f t="shared" si="22"/>
        <v>0</v>
      </c>
      <c r="G240" s="83">
        <f t="shared" si="23"/>
      </c>
      <c r="H240" s="101">
        <f>IF(AND(M240&gt;0,M240&lt;=STATS!$C$22),1,"")</f>
        <v>1</v>
      </c>
      <c r="J240" s="22">
        <v>239</v>
      </c>
      <c r="K240" s="112">
        <v>46.09609</v>
      </c>
      <c r="L240" s="112">
        <v>-91.22876</v>
      </c>
      <c r="M240" s="4">
        <v>6</v>
      </c>
      <c r="N240" s="4" t="s">
        <v>480</v>
      </c>
      <c r="O240" s="4" t="s">
        <v>562</v>
      </c>
      <c r="R240" s="8"/>
      <c r="S240" s="8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EZ240" s="98"/>
      <c r="FA240" s="98"/>
      <c r="FB240" s="98"/>
      <c r="FC240" s="98"/>
      <c r="FD240" s="98"/>
    </row>
    <row r="241" spans="2:160" ht="12.75">
      <c r="B241" s="83">
        <f t="shared" si="18"/>
        <v>0</v>
      </c>
      <c r="C241" s="83">
        <f t="shared" si="19"/>
      </c>
      <c r="D241" s="83">
        <f t="shared" si="20"/>
      </c>
      <c r="E241" s="83">
        <f t="shared" si="21"/>
        <v>0</v>
      </c>
      <c r="F241" s="83">
        <f t="shared" si="22"/>
        <v>0</v>
      </c>
      <c r="G241" s="83">
        <f t="shared" si="23"/>
      </c>
      <c r="H241" s="101">
        <f>IF(AND(M241&gt;0,M241&lt;=STATS!$C$22),1,"")</f>
        <v>1</v>
      </c>
      <c r="J241" s="22">
        <v>240</v>
      </c>
      <c r="K241" s="112">
        <v>46.09635</v>
      </c>
      <c r="L241" s="112">
        <v>-91.24397</v>
      </c>
      <c r="M241" s="4">
        <v>4</v>
      </c>
      <c r="N241" s="4" t="s">
        <v>480</v>
      </c>
      <c r="O241" s="4" t="s">
        <v>562</v>
      </c>
      <c r="R241" s="8"/>
      <c r="S241" s="8"/>
      <c r="T241" s="24"/>
      <c r="U241" s="24"/>
      <c r="V241" s="24"/>
      <c r="W241" s="24"/>
      <c r="X241" s="24" t="s">
        <v>483</v>
      </c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EZ241" s="98"/>
      <c r="FA241" s="98"/>
      <c r="FB241" s="98"/>
      <c r="FC241" s="98"/>
      <c r="FD241" s="98"/>
    </row>
    <row r="242" spans="2:160" ht="12.75">
      <c r="B242" s="83">
        <f t="shared" si="18"/>
        <v>0</v>
      </c>
      <c r="C242" s="83">
        <f t="shared" si="19"/>
      </c>
      <c r="D242" s="83">
        <f t="shared" si="20"/>
      </c>
      <c r="E242" s="83">
        <f t="shared" si="21"/>
        <v>0</v>
      </c>
      <c r="F242" s="83">
        <f t="shared" si="22"/>
        <v>0</v>
      </c>
      <c r="G242" s="83">
        <f t="shared" si="23"/>
      </c>
      <c r="H242" s="101">
        <f>IF(AND(M242&gt;0,M242&lt;=STATS!$C$22),1,"")</f>
        <v>1</v>
      </c>
      <c r="J242" s="22">
        <v>241</v>
      </c>
      <c r="K242" s="112">
        <v>46.09636</v>
      </c>
      <c r="L242" s="112">
        <v>-91.24336</v>
      </c>
      <c r="M242" s="4">
        <v>4.5</v>
      </c>
      <c r="N242" s="4" t="s">
        <v>480</v>
      </c>
      <c r="O242" s="4" t="s">
        <v>562</v>
      </c>
      <c r="R242" s="8"/>
      <c r="S242" s="8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EZ242" s="98"/>
      <c r="FA242" s="98"/>
      <c r="FB242" s="98"/>
      <c r="FC242" s="98"/>
      <c r="FD242" s="98"/>
    </row>
    <row r="243" spans="2:160" ht="12.75">
      <c r="B243" s="83">
        <f t="shared" si="18"/>
        <v>1</v>
      </c>
      <c r="C243" s="83">
        <f t="shared" si="19"/>
        <v>1</v>
      </c>
      <c r="D243" s="83">
        <f t="shared" si="20"/>
        <v>1</v>
      </c>
      <c r="E243" s="83">
        <f t="shared" si="21"/>
        <v>1</v>
      </c>
      <c r="F243" s="83">
        <f t="shared" si="22"/>
        <v>1</v>
      </c>
      <c r="G243" s="83">
        <f t="shared" si="23"/>
        <v>5.5</v>
      </c>
      <c r="H243" s="101">
        <f>IF(AND(M243&gt;0,M243&lt;=STATS!$C$22),1,"")</f>
        <v>1</v>
      </c>
      <c r="J243" s="22">
        <v>242</v>
      </c>
      <c r="K243" s="112">
        <v>46.09636</v>
      </c>
      <c r="L243" s="112">
        <v>-91.24276</v>
      </c>
      <c r="M243" s="4">
        <v>5.5</v>
      </c>
      <c r="N243" s="4" t="s">
        <v>480</v>
      </c>
      <c r="O243" s="4" t="s">
        <v>562</v>
      </c>
      <c r="Q243" s="4">
        <v>1</v>
      </c>
      <c r="R243" s="8"/>
      <c r="S243" s="8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BR243" s="4">
        <v>1</v>
      </c>
      <c r="CI243" s="4" t="s">
        <v>483</v>
      </c>
      <c r="EZ243" s="98"/>
      <c r="FA243" s="98"/>
      <c r="FB243" s="98"/>
      <c r="FC243" s="98"/>
      <c r="FD243" s="98"/>
    </row>
    <row r="244" spans="2:160" ht="12.75">
      <c r="B244" s="83">
        <f t="shared" si="18"/>
        <v>0</v>
      </c>
      <c r="C244" s="83">
        <f t="shared" si="19"/>
      </c>
      <c r="D244" s="83">
        <f t="shared" si="20"/>
      </c>
      <c r="E244" s="83">
        <f t="shared" si="21"/>
        <v>0</v>
      </c>
      <c r="F244" s="83">
        <f t="shared" si="22"/>
        <v>0</v>
      </c>
      <c r="G244" s="83">
        <f t="shared" si="23"/>
      </c>
      <c r="H244" s="101">
        <f>IF(AND(M244&gt;0,M244&lt;=STATS!$C$22),1,"")</f>
        <v>1</v>
      </c>
      <c r="J244" s="22">
        <v>243</v>
      </c>
      <c r="K244" s="112">
        <v>46.09637</v>
      </c>
      <c r="L244" s="112">
        <v>-91.24215</v>
      </c>
      <c r="M244" s="4">
        <v>6</v>
      </c>
      <c r="N244" s="4" t="s">
        <v>480</v>
      </c>
      <c r="O244" s="4" t="s">
        <v>562</v>
      </c>
      <c r="R244" s="8"/>
      <c r="S244" s="8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EZ244" s="98"/>
      <c r="FA244" s="98"/>
      <c r="FB244" s="98"/>
      <c r="FC244" s="98"/>
      <c r="FD244" s="98"/>
    </row>
    <row r="245" spans="2:160" ht="12.75">
      <c r="B245" s="83">
        <f t="shared" si="18"/>
        <v>0</v>
      </c>
      <c r="C245" s="83">
        <f t="shared" si="19"/>
      </c>
      <c r="D245" s="83">
        <f t="shared" si="20"/>
      </c>
      <c r="E245" s="83">
        <f t="shared" si="21"/>
        <v>0</v>
      </c>
      <c r="F245" s="83">
        <f t="shared" si="22"/>
        <v>0</v>
      </c>
      <c r="G245" s="83">
        <f t="shared" si="23"/>
      </c>
      <c r="H245" s="101">
        <f>IF(AND(M245&gt;0,M245&lt;=STATS!$C$22),1,"")</f>
        <v>1</v>
      </c>
      <c r="J245" s="22">
        <v>244</v>
      </c>
      <c r="K245" s="112">
        <v>46.09638</v>
      </c>
      <c r="L245" s="112">
        <v>-91.24154</v>
      </c>
      <c r="M245" s="4">
        <v>6</v>
      </c>
      <c r="N245" s="4" t="s">
        <v>480</v>
      </c>
      <c r="O245" s="4" t="s">
        <v>562</v>
      </c>
      <c r="R245" s="8"/>
      <c r="S245" s="8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EZ245" s="98"/>
      <c r="FA245" s="98"/>
      <c r="FB245" s="98"/>
      <c r="FC245" s="98"/>
      <c r="FD245" s="98"/>
    </row>
    <row r="246" spans="2:160" ht="12.75">
      <c r="B246" s="83">
        <f t="shared" si="18"/>
        <v>1</v>
      </c>
      <c r="C246" s="83">
        <f t="shared" si="19"/>
        <v>1</v>
      </c>
      <c r="D246" s="83">
        <f t="shared" si="20"/>
        <v>1</v>
      </c>
      <c r="E246" s="83">
        <f t="shared" si="21"/>
        <v>1</v>
      </c>
      <c r="F246" s="83">
        <f t="shared" si="22"/>
        <v>1</v>
      </c>
      <c r="G246" s="83">
        <f t="shared" si="23"/>
        <v>6</v>
      </c>
      <c r="H246" s="101">
        <f>IF(AND(M246&gt;0,M246&lt;=STATS!$C$22),1,"")</f>
        <v>1</v>
      </c>
      <c r="J246" s="22">
        <v>245</v>
      </c>
      <c r="K246" s="112">
        <v>46.09638</v>
      </c>
      <c r="L246" s="112">
        <v>-91.24093</v>
      </c>
      <c r="M246" s="4">
        <v>6</v>
      </c>
      <c r="N246" s="4" t="s">
        <v>480</v>
      </c>
      <c r="O246" s="4" t="s">
        <v>562</v>
      </c>
      <c r="Q246" s="4">
        <v>1</v>
      </c>
      <c r="R246" s="8"/>
      <c r="S246" s="8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BR246" s="4">
        <v>1</v>
      </c>
      <c r="EZ246" s="98"/>
      <c r="FA246" s="98"/>
      <c r="FB246" s="98"/>
      <c r="FC246" s="98"/>
      <c r="FD246" s="98"/>
    </row>
    <row r="247" spans="2:160" ht="12.75">
      <c r="B247" s="83">
        <f t="shared" si="18"/>
        <v>0</v>
      </c>
      <c r="C247" s="83">
        <f t="shared" si="19"/>
      </c>
      <c r="D247" s="83">
        <f t="shared" si="20"/>
      </c>
      <c r="E247" s="83">
        <f t="shared" si="21"/>
        <v>0</v>
      </c>
      <c r="F247" s="83">
        <f t="shared" si="22"/>
        <v>0</v>
      </c>
      <c r="G247" s="83">
        <f t="shared" si="23"/>
      </c>
      <c r="H247" s="101">
        <f>IF(AND(M247&gt;0,M247&lt;=STATS!$C$22),1,"")</f>
        <v>1</v>
      </c>
      <c r="J247" s="22">
        <v>246</v>
      </c>
      <c r="K247" s="112">
        <v>46.09639</v>
      </c>
      <c r="L247" s="112">
        <v>-91.24033</v>
      </c>
      <c r="M247" s="4">
        <v>6</v>
      </c>
      <c r="N247" s="4" t="s">
        <v>480</v>
      </c>
      <c r="O247" s="4" t="s">
        <v>562</v>
      </c>
      <c r="R247" s="8"/>
      <c r="S247" s="8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EZ247" s="98"/>
      <c r="FA247" s="98"/>
      <c r="FB247" s="98"/>
      <c r="FC247" s="98"/>
      <c r="FD247" s="98"/>
    </row>
    <row r="248" spans="2:160" ht="12.75">
      <c r="B248" s="83">
        <f t="shared" si="18"/>
        <v>0</v>
      </c>
      <c r="C248" s="83">
        <f t="shared" si="19"/>
      </c>
      <c r="D248" s="83">
        <f t="shared" si="20"/>
      </c>
      <c r="E248" s="83">
        <f t="shared" si="21"/>
        <v>0</v>
      </c>
      <c r="F248" s="83">
        <f t="shared" si="22"/>
        <v>0</v>
      </c>
      <c r="G248" s="83">
        <f t="shared" si="23"/>
      </c>
      <c r="H248" s="101">
        <f>IF(AND(M248&gt;0,M248&lt;=STATS!$C$22),1,"")</f>
        <v>1</v>
      </c>
      <c r="J248" s="22">
        <v>247</v>
      </c>
      <c r="K248" s="112">
        <v>46.0964</v>
      </c>
      <c r="L248" s="112">
        <v>-91.23972</v>
      </c>
      <c r="M248" s="4">
        <v>6</v>
      </c>
      <c r="N248" s="4" t="s">
        <v>480</v>
      </c>
      <c r="O248" s="4" t="s">
        <v>562</v>
      </c>
      <c r="R248" s="8"/>
      <c r="S248" s="8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EZ248" s="98"/>
      <c r="FA248" s="98"/>
      <c r="FB248" s="98"/>
      <c r="FC248" s="98"/>
      <c r="FD248" s="98"/>
    </row>
    <row r="249" spans="2:160" ht="12.75">
      <c r="B249" s="83">
        <f t="shared" si="18"/>
        <v>0</v>
      </c>
      <c r="C249" s="83">
        <f t="shared" si="19"/>
      </c>
      <c r="D249" s="83">
        <f t="shared" si="20"/>
      </c>
      <c r="E249" s="83">
        <f t="shared" si="21"/>
        <v>0</v>
      </c>
      <c r="F249" s="83">
        <f t="shared" si="22"/>
        <v>0</v>
      </c>
      <c r="G249" s="83">
        <f t="shared" si="23"/>
      </c>
      <c r="H249" s="101">
        <f>IF(AND(M249&gt;0,M249&lt;=STATS!$C$22),1,"")</f>
        <v>1</v>
      </c>
      <c r="J249" s="22">
        <v>248</v>
      </c>
      <c r="K249" s="112">
        <v>46.0964</v>
      </c>
      <c r="L249" s="112">
        <v>-91.23911</v>
      </c>
      <c r="M249" s="4">
        <v>6</v>
      </c>
      <c r="N249" s="4" t="s">
        <v>480</v>
      </c>
      <c r="O249" s="4" t="s">
        <v>562</v>
      </c>
      <c r="R249" s="8"/>
      <c r="S249" s="8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EZ249" s="98"/>
      <c r="FA249" s="98"/>
      <c r="FB249" s="98"/>
      <c r="FC249" s="98"/>
      <c r="FD249" s="98"/>
    </row>
    <row r="250" spans="2:160" ht="12.75">
      <c r="B250" s="83">
        <f t="shared" si="18"/>
        <v>1</v>
      </c>
      <c r="C250" s="83">
        <f t="shared" si="19"/>
        <v>1</v>
      </c>
      <c r="D250" s="83">
        <f t="shared" si="20"/>
        <v>1</v>
      </c>
      <c r="E250" s="83">
        <f t="shared" si="21"/>
        <v>1</v>
      </c>
      <c r="F250" s="83">
        <f t="shared" si="22"/>
        <v>1</v>
      </c>
      <c r="G250" s="83">
        <f t="shared" si="23"/>
        <v>6</v>
      </c>
      <c r="H250" s="101">
        <f>IF(AND(M250&gt;0,M250&lt;=STATS!$C$22),1,"")</f>
        <v>1</v>
      </c>
      <c r="J250" s="22">
        <v>249</v>
      </c>
      <c r="K250" s="112">
        <v>46.09641</v>
      </c>
      <c r="L250" s="112">
        <v>-91.2385</v>
      </c>
      <c r="M250" s="4">
        <v>6</v>
      </c>
      <c r="N250" s="4" t="s">
        <v>480</v>
      </c>
      <c r="O250" s="4" t="s">
        <v>562</v>
      </c>
      <c r="Q250" s="4">
        <v>1</v>
      </c>
      <c r="R250" s="8"/>
      <c r="S250" s="8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CW250" s="4">
        <v>1</v>
      </c>
      <c r="EZ250" s="98"/>
      <c r="FA250" s="98"/>
      <c r="FB250" s="98"/>
      <c r="FC250" s="98"/>
      <c r="FD250" s="98"/>
    </row>
    <row r="251" spans="2:160" ht="12.75">
      <c r="B251" s="83">
        <f t="shared" si="18"/>
        <v>2</v>
      </c>
      <c r="C251" s="83">
        <f t="shared" si="19"/>
        <v>2</v>
      </c>
      <c r="D251" s="83">
        <f t="shared" si="20"/>
        <v>2</v>
      </c>
      <c r="E251" s="83">
        <f t="shared" si="21"/>
        <v>2</v>
      </c>
      <c r="F251" s="83">
        <f t="shared" si="22"/>
        <v>2</v>
      </c>
      <c r="G251" s="83">
        <f t="shared" si="23"/>
        <v>6</v>
      </c>
      <c r="H251" s="101">
        <f>IF(AND(M251&gt;0,M251&lt;=STATS!$C$22),1,"")</f>
        <v>1</v>
      </c>
      <c r="J251" s="22">
        <v>250</v>
      </c>
      <c r="K251" s="112">
        <v>46.09642</v>
      </c>
      <c r="L251" s="112">
        <v>-91.23789</v>
      </c>
      <c r="M251" s="4">
        <v>6</v>
      </c>
      <c r="N251" s="4" t="s">
        <v>480</v>
      </c>
      <c r="O251" s="4" t="s">
        <v>562</v>
      </c>
      <c r="Q251" s="4">
        <v>2</v>
      </c>
      <c r="R251" s="8"/>
      <c r="S251" s="8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CW251" s="4">
        <v>1</v>
      </c>
      <c r="DA251" s="4">
        <v>2</v>
      </c>
      <c r="EZ251" s="98"/>
      <c r="FA251" s="98"/>
      <c r="FB251" s="98"/>
      <c r="FC251" s="98"/>
      <c r="FD251" s="98"/>
    </row>
    <row r="252" spans="2:160" ht="12.75">
      <c r="B252" s="83">
        <f t="shared" si="18"/>
        <v>0</v>
      </c>
      <c r="C252" s="83">
        <f t="shared" si="19"/>
      </c>
      <c r="D252" s="83">
        <f t="shared" si="20"/>
      </c>
      <c r="E252" s="83">
        <f t="shared" si="21"/>
        <v>0</v>
      </c>
      <c r="F252" s="83">
        <f t="shared" si="22"/>
        <v>0</v>
      </c>
      <c r="G252" s="83">
        <f t="shared" si="23"/>
      </c>
      <c r="H252" s="101">
        <f>IF(AND(M252&gt;0,M252&lt;=STATS!$C$22),1,"")</f>
        <v>1</v>
      </c>
      <c r="J252" s="22">
        <v>251</v>
      </c>
      <c r="K252" s="112">
        <v>46.09642</v>
      </c>
      <c r="L252" s="112">
        <v>-91.23728</v>
      </c>
      <c r="M252" s="4">
        <v>6</v>
      </c>
      <c r="N252" s="4" t="s">
        <v>480</v>
      </c>
      <c r="O252" s="4" t="s">
        <v>562</v>
      </c>
      <c r="R252" s="8"/>
      <c r="S252" s="8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CI252" s="4" t="s">
        <v>483</v>
      </c>
      <c r="CW252" s="4" t="s">
        <v>483</v>
      </c>
      <c r="EZ252" s="98"/>
      <c r="FA252" s="98"/>
      <c r="FB252" s="98"/>
      <c r="FC252" s="98"/>
      <c r="FD252" s="98"/>
    </row>
    <row r="253" spans="2:160" ht="12.75">
      <c r="B253" s="83">
        <f t="shared" si="18"/>
        <v>0</v>
      </c>
      <c r="C253" s="83">
        <f t="shared" si="19"/>
      </c>
      <c r="D253" s="83">
        <f t="shared" si="20"/>
      </c>
      <c r="E253" s="83">
        <f t="shared" si="21"/>
        <v>0</v>
      </c>
      <c r="F253" s="83">
        <f t="shared" si="22"/>
        <v>0</v>
      </c>
      <c r="G253" s="83">
        <f t="shared" si="23"/>
      </c>
      <c r="H253" s="101">
        <f>IF(AND(M253&gt;0,M253&lt;=STATS!$C$22),1,"")</f>
        <v>1</v>
      </c>
      <c r="J253" s="22">
        <v>252</v>
      </c>
      <c r="K253" s="112">
        <v>46.09643</v>
      </c>
      <c r="L253" s="112">
        <v>-91.23668</v>
      </c>
      <c r="M253" s="4">
        <v>6.5</v>
      </c>
      <c r="N253" s="4" t="s">
        <v>480</v>
      </c>
      <c r="O253" s="4" t="s">
        <v>562</v>
      </c>
      <c r="R253" s="8"/>
      <c r="S253" s="8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EZ253" s="98"/>
      <c r="FA253" s="98"/>
      <c r="FB253" s="98"/>
      <c r="FC253" s="98"/>
      <c r="FD253" s="98"/>
    </row>
    <row r="254" spans="2:160" ht="12.75">
      <c r="B254" s="83">
        <f t="shared" si="18"/>
        <v>0</v>
      </c>
      <c r="C254" s="83">
        <f t="shared" si="19"/>
      </c>
      <c r="D254" s="83">
        <f t="shared" si="20"/>
      </c>
      <c r="E254" s="83">
        <f t="shared" si="21"/>
        <v>0</v>
      </c>
      <c r="F254" s="83">
        <f t="shared" si="22"/>
        <v>0</v>
      </c>
      <c r="G254" s="83">
        <f t="shared" si="23"/>
      </c>
      <c r="H254" s="101">
        <f>IF(AND(M254&gt;0,M254&lt;=STATS!$C$22),1,"")</f>
        <v>1</v>
      </c>
      <c r="J254" s="22">
        <v>253</v>
      </c>
      <c r="K254" s="112">
        <v>46.09644</v>
      </c>
      <c r="L254" s="112">
        <v>-91.23607</v>
      </c>
      <c r="M254" s="4">
        <v>6.5</v>
      </c>
      <c r="N254" s="4" t="s">
        <v>480</v>
      </c>
      <c r="O254" s="4" t="s">
        <v>562</v>
      </c>
      <c r="R254" s="8"/>
      <c r="S254" s="8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EZ254" s="98"/>
      <c r="FA254" s="98"/>
      <c r="FB254" s="98"/>
      <c r="FC254" s="98"/>
      <c r="FD254" s="98"/>
    </row>
    <row r="255" spans="2:160" ht="12.75">
      <c r="B255" s="83">
        <f t="shared" si="18"/>
        <v>0</v>
      </c>
      <c r="C255" s="83">
        <f t="shared" si="19"/>
      </c>
      <c r="D255" s="83">
        <f t="shared" si="20"/>
      </c>
      <c r="E255" s="83">
        <f t="shared" si="21"/>
        <v>0</v>
      </c>
      <c r="F255" s="83">
        <f t="shared" si="22"/>
        <v>0</v>
      </c>
      <c r="G255" s="83">
        <f t="shared" si="23"/>
      </c>
      <c r="H255" s="101">
        <f>IF(AND(M255&gt;0,M255&lt;=STATS!$C$22),1,"")</f>
        <v>1</v>
      </c>
      <c r="J255" s="22">
        <v>254</v>
      </c>
      <c r="K255" s="112">
        <v>46.09644</v>
      </c>
      <c r="L255" s="112">
        <v>-91.23546</v>
      </c>
      <c r="M255" s="4">
        <v>6.5</v>
      </c>
      <c r="N255" s="4" t="s">
        <v>480</v>
      </c>
      <c r="O255" s="4" t="s">
        <v>562</v>
      </c>
      <c r="R255" s="8"/>
      <c r="S255" s="8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EZ255" s="98"/>
      <c r="FA255" s="98"/>
      <c r="FB255" s="98"/>
      <c r="FC255" s="98"/>
      <c r="FD255" s="98"/>
    </row>
    <row r="256" spans="2:160" ht="12.75">
      <c r="B256" s="83">
        <f t="shared" si="18"/>
        <v>0</v>
      </c>
      <c r="C256" s="83">
        <f t="shared" si="19"/>
      </c>
      <c r="D256" s="83">
        <f t="shared" si="20"/>
      </c>
      <c r="E256" s="83">
        <f t="shared" si="21"/>
        <v>0</v>
      </c>
      <c r="F256" s="83">
        <f t="shared" si="22"/>
        <v>0</v>
      </c>
      <c r="G256" s="83">
        <f t="shared" si="23"/>
      </c>
      <c r="H256" s="101">
        <f>IF(AND(M256&gt;0,M256&lt;=STATS!$C$22),1,"")</f>
        <v>1</v>
      </c>
      <c r="J256" s="22">
        <v>255</v>
      </c>
      <c r="K256" s="112">
        <v>46.09645</v>
      </c>
      <c r="L256" s="112">
        <v>-91.23485</v>
      </c>
      <c r="M256" s="4">
        <v>7</v>
      </c>
      <c r="N256" s="4" t="s">
        <v>480</v>
      </c>
      <c r="O256" s="4" t="s">
        <v>562</v>
      </c>
      <c r="R256" s="8"/>
      <c r="S256" s="8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EZ256" s="98"/>
      <c r="FA256" s="98"/>
      <c r="FB256" s="98"/>
      <c r="FC256" s="98"/>
      <c r="FD256" s="98"/>
    </row>
    <row r="257" spans="2:160" ht="12.75">
      <c r="B257" s="83">
        <f t="shared" si="18"/>
        <v>0</v>
      </c>
      <c r="C257" s="83">
        <f t="shared" si="19"/>
      </c>
      <c r="D257" s="83">
        <f t="shared" si="20"/>
      </c>
      <c r="E257" s="83">
        <f t="shared" si="21"/>
        <v>0</v>
      </c>
      <c r="F257" s="83">
        <f t="shared" si="22"/>
        <v>0</v>
      </c>
      <c r="G257" s="83">
        <f t="shared" si="23"/>
      </c>
      <c r="H257" s="101">
        <f>IF(AND(M257&gt;0,M257&lt;=STATS!$C$22),1,"")</f>
        <v>1</v>
      </c>
      <c r="J257" s="22">
        <v>256</v>
      </c>
      <c r="K257" s="112">
        <v>46.09646</v>
      </c>
      <c r="L257" s="112">
        <v>-91.23425</v>
      </c>
      <c r="M257" s="4">
        <v>6.5</v>
      </c>
      <c r="N257" s="4" t="s">
        <v>480</v>
      </c>
      <c r="O257" s="4" t="s">
        <v>562</v>
      </c>
      <c r="R257" s="8"/>
      <c r="S257" s="8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CR257" s="4" t="s">
        <v>483</v>
      </c>
      <c r="EZ257" s="98"/>
      <c r="FA257" s="98"/>
      <c r="FB257" s="98"/>
      <c r="FC257" s="98"/>
      <c r="FD257" s="98"/>
    </row>
    <row r="258" spans="2:160" ht="12.75">
      <c r="B258" s="83">
        <f aca="true" t="shared" si="24" ref="B258:B321">COUNT(R258:EY258,FE258:FM258)</f>
        <v>1</v>
      </c>
      <c r="C258" s="83">
        <f aca="true" t="shared" si="25" ref="C258:C321">IF(COUNT(R258:EY258,FE258:FM258)&gt;0,COUNT(R258:EY258,FE258:FM258),"")</f>
        <v>1</v>
      </c>
      <c r="D258" s="83">
        <f aca="true" t="shared" si="26" ref="D258:D321">IF(COUNT(T258:BJ258,BL258:BT258,BV258:CB258,CD258:EY258,FE258:FM258)&gt;0,COUNT(T258:BJ258,BL258:BT258,BV258:CB258,CD258:EY258,FE258:FM258),"")</f>
        <v>1</v>
      </c>
      <c r="E258" s="83">
        <f aca="true" t="shared" si="27" ref="E258:E321">IF(H258=1,COUNT(R258:EY258,FE258:FM258),"")</f>
        <v>1</v>
      </c>
      <c r="F258" s="83">
        <f aca="true" t="shared" si="28" ref="F258:F321">IF(H258=1,COUNT(T258:BJ258,BL258:BT258,BV258:CB258,CD258:EY258,FE258:FM258),"")</f>
        <v>1</v>
      </c>
      <c r="G258" s="83">
        <f aca="true" t="shared" si="29" ref="G258:G321">IF($B258&gt;=1,$M258,"")</f>
        <v>6.5</v>
      </c>
      <c r="H258" s="101">
        <f>IF(AND(M258&gt;0,M258&lt;=STATS!$C$22),1,"")</f>
        <v>1</v>
      </c>
      <c r="J258" s="22">
        <v>257</v>
      </c>
      <c r="K258" s="112">
        <v>46.09646</v>
      </c>
      <c r="L258" s="112">
        <v>-91.23364</v>
      </c>
      <c r="M258" s="4">
        <v>6.5</v>
      </c>
      <c r="N258" s="4" t="s">
        <v>480</v>
      </c>
      <c r="O258" s="4" t="s">
        <v>562</v>
      </c>
      <c r="Q258" s="4">
        <v>1</v>
      </c>
      <c r="R258" s="8"/>
      <c r="S258" s="8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BT258" s="4">
        <v>1</v>
      </c>
      <c r="CR258" s="4" t="s">
        <v>483</v>
      </c>
      <c r="EZ258" s="98"/>
      <c r="FA258" s="98"/>
      <c r="FB258" s="98"/>
      <c r="FC258" s="98"/>
      <c r="FD258" s="98"/>
    </row>
    <row r="259" spans="2:160" ht="12.75">
      <c r="B259" s="83">
        <f t="shared" si="24"/>
        <v>1</v>
      </c>
      <c r="C259" s="83">
        <f t="shared" si="25"/>
        <v>1</v>
      </c>
      <c r="D259" s="83">
        <f t="shared" si="26"/>
        <v>1</v>
      </c>
      <c r="E259" s="83">
        <f t="shared" si="27"/>
        <v>1</v>
      </c>
      <c r="F259" s="83">
        <f t="shared" si="28"/>
        <v>1</v>
      </c>
      <c r="G259" s="83">
        <f t="shared" si="29"/>
        <v>7</v>
      </c>
      <c r="H259" s="101">
        <f>IF(AND(M259&gt;0,M259&lt;=STATS!$C$22),1,"")</f>
        <v>1</v>
      </c>
      <c r="J259" s="22">
        <v>258</v>
      </c>
      <c r="K259" s="112">
        <v>46.09647</v>
      </c>
      <c r="L259" s="112">
        <v>-91.23303</v>
      </c>
      <c r="M259" s="4">
        <v>7</v>
      </c>
      <c r="N259" s="4" t="s">
        <v>480</v>
      </c>
      <c r="O259" s="4" t="s">
        <v>562</v>
      </c>
      <c r="Q259" s="4">
        <v>1</v>
      </c>
      <c r="R259" s="8"/>
      <c r="S259" s="8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DA259" s="4">
        <v>1</v>
      </c>
      <c r="EZ259" s="98"/>
      <c r="FA259" s="98"/>
      <c r="FB259" s="98"/>
      <c r="FC259" s="98"/>
      <c r="FD259" s="98"/>
    </row>
    <row r="260" spans="2:160" ht="12.75">
      <c r="B260" s="83">
        <f t="shared" si="24"/>
        <v>4</v>
      </c>
      <c r="C260" s="83">
        <f t="shared" si="25"/>
        <v>4</v>
      </c>
      <c r="D260" s="83">
        <f t="shared" si="26"/>
        <v>4</v>
      </c>
      <c r="E260" s="83">
        <f t="shared" si="27"/>
        <v>4</v>
      </c>
      <c r="F260" s="83">
        <f t="shared" si="28"/>
        <v>4</v>
      </c>
      <c r="G260" s="83">
        <f t="shared" si="29"/>
        <v>6</v>
      </c>
      <c r="H260" s="101">
        <f>IF(AND(M260&gt;0,M260&lt;=STATS!$C$22),1,"")</f>
        <v>1</v>
      </c>
      <c r="J260" s="22">
        <v>259</v>
      </c>
      <c r="K260" s="112">
        <v>46.09647</v>
      </c>
      <c r="L260" s="112">
        <v>-91.23242</v>
      </c>
      <c r="M260" s="4">
        <v>6</v>
      </c>
      <c r="N260" s="4" t="s">
        <v>480</v>
      </c>
      <c r="O260" s="4" t="s">
        <v>562</v>
      </c>
      <c r="Q260" s="4">
        <v>2</v>
      </c>
      <c r="R260" s="8"/>
      <c r="S260" s="8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CI260" s="4">
        <v>2</v>
      </c>
      <c r="CP260" s="4">
        <v>1</v>
      </c>
      <c r="CW260" s="4">
        <v>1</v>
      </c>
      <c r="DA260" s="4">
        <v>1</v>
      </c>
      <c r="EZ260" s="98"/>
      <c r="FA260" s="98"/>
      <c r="FB260" s="98"/>
      <c r="FC260" s="98"/>
      <c r="FD260" s="98"/>
    </row>
    <row r="261" spans="2:160" ht="12.75">
      <c r="B261" s="83">
        <f t="shared" si="24"/>
        <v>2</v>
      </c>
      <c r="C261" s="83">
        <f t="shared" si="25"/>
        <v>2</v>
      </c>
      <c r="D261" s="83">
        <f t="shared" si="26"/>
        <v>2</v>
      </c>
      <c r="E261" s="83">
        <f t="shared" si="27"/>
        <v>2</v>
      </c>
      <c r="F261" s="83">
        <f t="shared" si="28"/>
        <v>2</v>
      </c>
      <c r="G261" s="83">
        <f t="shared" si="29"/>
        <v>6.5</v>
      </c>
      <c r="H261" s="101">
        <f>IF(AND(M261&gt;0,M261&lt;=STATS!$C$22),1,"")</f>
        <v>1</v>
      </c>
      <c r="J261" s="22">
        <v>260</v>
      </c>
      <c r="K261" s="112">
        <v>46.09648</v>
      </c>
      <c r="L261" s="112">
        <v>-91.23181</v>
      </c>
      <c r="M261" s="4">
        <v>6.5</v>
      </c>
      <c r="N261" s="4" t="s">
        <v>480</v>
      </c>
      <c r="O261" s="4" t="s">
        <v>562</v>
      </c>
      <c r="Q261" s="4">
        <v>1</v>
      </c>
      <c r="R261" s="8"/>
      <c r="S261" s="8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BR261" s="4">
        <v>1</v>
      </c>
      <c r="CW261" s="4">
        <v>1</v>
      </c>
      <c r="EZ261" s="98"/>
      <c r="FA261" s="98"/>
      <c r="FB261" s="98"/>
      <c r="FC261" s="98"/>
      <c r="FD261" s="98"/>
    </row>
    <row r="262" spans="2:160" ht="12.75">
      <c r="B262" s="83">
        <f t="shared" si="24"/>
        <v>2</v>
      </c>
      <c r="C262" s="83">
        <f t="shared" si="25"/>
        <v>2</v>
      </c>
      <c r="D262" s="83">
        <f t="shared" si="26"/>
        <v>2</v>
      </c>
      <c r="E262" s="83">
        <f t="shared" si="27"/>
        <v>2</v>
      </c>
      <c r="F262" s="83">
        <f t="shared" si="28"/>
        <v>2</v>
      </c>
      <c r="G262" s="83">
        <f t="shared" si="29"/>
        <v>5.5</v>
      </c>
      <c r="H262" s="101">
        <f>IF(AND(M262&gt;0,M262&lt;=STATS!$C$22),1,"")</f>
        <v>1</v>
      </c>
      <c r="J262" s="22">
        <v>261</v>
      </c>
      <c r="K262" s="112">
        <v>46.09649</v>
      </c>
      <c r="L262" s="112">
        <v>-91.23121</v>
      </c>
      <c r="M262" s="4">
        <v>5.5</v>
      </c>
      <c r="N262" s="4" t="s">
        <v>480</v>
      </c>
      <c r="O262" s="4" t="s">
        <v>562</v>
      </c>
      <c r="Q262" s="4">
        <v>3</v>
      </c>
      <c r="R262" s="8"/>
      <c r="S262" s="8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CI262" s="4" t="s">
        <v>483</v>
      </c>
      <c r="DA262" s="4">
        <v>3</v>
      </c>
      <c r="ES262" s="4">
        <v>1</v>
      </c>
      <c r="EZ262" s="98"/>
      <c r="FA262" s="98"/>
      <c r="FB262" s="98"/>
      <c r="FC262" s="98"/>
      <c r="FD262" s="98"/>
    </row>
    <row r="263" spans="2:160" ht="12.75">
      <c r="B263" s="83">
        <f t="shared" si="24"/>
        <v>0</v>
      </c>
      <c r="C263" s="83">
        <f t="shared" si="25"/>
      </c>
      <c r="D263" s="83">
        <f t="shared" si="26"/>
      </c>
      <c r="E263" s="83">
        <f t="shared" si="27"/>
        <v>0</v>
      </c>
      <c r="F263" s="83">
        <f t="shared" si="28"/>
        <v>0</v>
      </c>
      <c r="G263" s="83">
        <f t="shared" si="29"/>
      </c>
      <c r="H263" s="101">
        <f>IF(AND(M263&gt;0,M263&lt;=STATS!$C$22),1,"")</f>
        <v>1</v>
      </c>
      <c r="J263" s="22">
        <v>262</v>
      </c>
      <c r="K263" s="112">
        <v>46.0965</v>
      </c>
      <c r="L263" s="112">
        <v>-91.2306</v>
      </c>
      <c r="M263" s="4">
        <v>6.5</v>
      </c>
      <c r="N263" s="4" t="s">
        <v>480</v>
      </c>
      <c r="O263" s="4" t="s">
        <v>562</v>
      </c>
      <c r="R263" s="8"/>
      <c r="S263" s="8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EZ263" s="98"/>
      <c r="FA263" s="98"/>
      <c r="FB263" s="98"/>
      <c r="FC263" s="98"/>
      <c r="FD263" s="98"/>
    </row>
    <row r="264" spans="2:160" ht="12.75">
      <c r="B264" s="83">
        <f t="shared" si="24"/>
        <v>4</v>
      </c>
      <c r="C264" s="83">
        <f t="shared" si="25"/>
        <v>4</v>
      </c>
      <c r="D264" s="83">
        <f t="shared" si="26"/>
        <v>4</v>
      </c>
      <c r="E264" s="83">
        <f t="shared" si="27"/>
        <v>4</v>
      </c>
      <c r="F264" s="83">
        <f t="shared" si="28"/>
        <v>4</v>
      </c>
      <c r="G264" s="83">
        <f t="shared" si="29"/>
        <v>5.5</v>
      </c>
      <c r="H264" s="101">
        <f>IF(AND(M264&gt;0,M264&lt;=STATS!$C$22),1,"")</f>
        <v>1</v>
      </c>
      <c r="J264" s="22">
        <v>263</v>
      </c>
      <c r="K264" s="112">
        <v>46.0965</v>
      </c>
      <c r="L264" s="112">
        <v>-91.22999</v>
      </c>
      <c r="M264" s="4">
        <v>5.5</v>
      </c>
      <c r="N264" s="4" t="s">
        <v>480</v>
      </c>
      <c r="O264" s="4" t="s">
        <v>562</v>
      </c>
      <c r="Q264" s="4">
        <v>2</v>
      </c>
      <c r="R264" s="8"/>
      <c r="S264" s="8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BT264" s="4">
        <v>1</v>
      </c>
      <c r="CI264" s="4">
        <v>1</v>
      </c>
      <c r="DA264" s="4">
        <v>2</v>
      </c>
      <c r="DK264" s="4">
        <v>1</v>
      </c>
      <c r="EZ264" s="98"/>
      <c r="FA264" s="98"/>
      <c r="FB264" s="98"/>
      <c r="FC264" s="98"/>
      <c r="FD264" s="98"/>
    </row>
    <row r="265" spans="2:160" ht="12.75">
      <c r="B265" s="83">
        <f t="shared" si="24"/>
        <v>3</v>
      </c>
      <c r="C265" s="83">
        <f t="shared" si="25"/>
        <v>3</v>
      </c>
      <c r="D265" s="83">
        <f t="shared" si="26"/>
        <v>3</v>
      </c>
      <c r="E265" s="83">
        <f t="shared" si="27"/>
        <v>3</v>
      </c>
      <c r="F265" s="83">
        <f t="shared" si="28"/>
        <v>3</v>
      </c>
      <c r="G265" s="83">
        <f t="shared" si="29"/>
        <v>6</v>
      </c>
      <c r="H265" s="101">
        <f>IF(AND(M265&gt;0,M265&lt;=STATS!$C$22),1,"")</f>
        <v>1</v>
      </c>
      <c r="J265" s="22">
        <v>264</v>
      </c>
      <c r="K265" s="112">
        <v>46.09651</v>
      </c>
      <c r="L265" s="112">
        <v>-91.22938</v>
      </c>
      <c r="M265" s="4">
        <v>6</v>
      </c>
      <c r="N265" s="4" t="s">
        <v>480</v>
      </c>
      <c r="O265" s="4" t="s">
        <v>562</v>
      </c>
      <c r="Q265" s="4">
        <v>1</v>
      </c>
      <c r="R265" s="8"/>
      <c r="S265" s="8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CW265" s="4">
        <v>1</v>
      </c>
      <c r="DA265" s="4">
        <v>1</v>
      </c>
      <c r="DK265" s="4">
        <v>1</v>
      </c>
      <c r="EZ265" s="98"/>
      <c r="FA265" s="98"/>
      <c r="FB265" s="98"/>
      <c r="FC265" s="98"/>
      <c r="FD265" s="98"/>
    </row>
    <row r="266" spans="2:160" ht="12.75">
      <c r="B266" s="83">
        <f t="shared" si="24"/>
        <v>0</v>
      </c>
      <c r="C266" s="83">
        <f t="shared" si="25"/>
      </c>
      <c r="D266" s="83">
        <f t="shared" si="26"/>
      </c>
      <c r="E266" s="83">
        <f t="shared" si="27"/>
        <v>0</v>
      </c>
      <c r="F266" s="83">
        <f t="shared" si="28"/>
        <v>0</v>
      </c>
      <c r="G266" s="83">
        <f t="shared" si="29"/>
      </c>
      <c r="H266" s="101">
        <f>IF(AND(M266&gt;0,M266&lt;=STATS!$C$22),1,"")</f>
        <v>1</v>
      </c>
      <c r="J266" s="22">
        <v>265</v>
      </c>
      <c r="K266" s="112">
        <v>46.09651</v>
      </c>
      <c r="L266" s="112">
        <v>-91.22878</v>
      </c>
      <c r="M266" s="4">
        <v>6</v>
      </c>
      <c r="N266" s="4" t="s">
        <v>480</v>
      </c>
      <c r="O266" s="4" t="s">
        <v>562</v>
      </c>
      <c r="R266" s="8"/>
      <c r="S266" s="8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EZ266" s="98"/>
      <c r="FA266" s="98"/>
      <c r="FB266" s="98"/>
      <c r="FC266" s="98"/>
      <c r="FD266" s="98"/>
    </row>
    <row r="267" spans="2:160" ht="12.75">
      <c r="B267" s="83">
        <f t="shared" si="24"/>
        <v>2</v>
      </c>
      <c r="C267" s="83">
        <f t="shared" si="25"/>
        <v>2</v>
      </c>
      <c r="D267" s="83">
        <f t="shared" si="26"/>
        <v>2</v>
      </c>
      <c r="E267" s="83">
        <f t="shared" si="27"/>
        <v>2</v>
      </c>
      <c r="F267" s="83">
        <f t="shared" si="28"/>
        <v>2</v>
      </c>
      <c r="G267" s="83">
        <f t="shared" si="29"/>
        <v>5</v>
      </c>
      <c r="H267" s="101">
        <f>IF(AND(M267&gt;0,M267&lt;=STATS!$C$22),1,"")</f>
        <v>1</v>
      </c>
      <c r="J267" s="22">
        <v>266</v>
      </c>
      <c r="K267" s="112">
        <v>46.09652</v>
      </c>
      <c r="L267" s="112">
        <v>-91.22817</v>
      </c>
      <c r="M267" s="4">
        <v>5</v>
      </c>
      <c r="N267" s="4" t="s">
        <v>480</v>
      </c>
      <c r="O267" s="4" t="s">
        <v>562</v>
      </c>
      <c r="Q267" s="4">
        <v>2</v>
      </c>
      <c r="R267" s="8"/>
      <c r="S267" s="8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BT267" s="4">
        <v>1</v>
      </c>
      <c r="DK267" s="4">
        <v>2</v>
      </c>
      <c r="EZ267" s="98"/>
      <c r="FA267" s="98"/>
      <c r="FB267" s="98"/>
      <c r="FC267" s="98"/>
      <c r="FD267" s="98"/>
    </row>
    <row r="268" spans="2:160" ht="12.75">
      <c r="B268" s="83">
        <f t="shared" si="24"/>
        <v>3</v>
      </c>
      <c r="C268" s="83">
        <f t="shared" si="25"/>
        <v>3</v>
      </c>
      <c r="D268" s="83">
        <f t="shared" si="26"/>
        <v>3</v>
      </c>
      <c r="E268" s="83">
        <f t="shared" si="27"/>
        <v>3</v>
      </c>
      <c r="F268" s="83">
        <f t="shared" si="28"/>
        <v>3</v>
      </c>
      <c r="G268" s="83">
        <f t="shared" si="29"/>
        <v>5</v>
      </c>
      <c r="H268" s="101">
        <f>IF(AND(M268&gt;0,M268&lt;=STATS!$C$22),1,"")</f>
        <v>1</v>
      </c>
      <c r="J268" s="22">
        <v>267</v>
      </c>
      <c r="K268" s="112">
        <v>46.09653</v>
      </c>
      <c r="L268" s="112">
        <v>-91.22756</v>
      </c>
      <c r="M268" s="4">
        <v>5</v>
      </c>
      <c r="N268" s="4" t="s">
        <v>480</v>
      </c>
      <c r="O268" s="4" t="s">
        <v>562</v>
      </c>
      <c r="Q268" s="4">
        <v>1</v>
      </c>
      <c r="R268" s="8"/>
      <c r="S268" s="8"/>
      <c r="T268" s="24"/>
      <c r="U268" s="24"/>
      <c r="V268" s="24"/>
      <c r="W268" s="24"/>
      <c r="X268" s="24">
        <v>1</v>
      </c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BR268" s="4">
        <v>1</v>
      </c>
      <c r="CB268" s="4" t="s">
        <v>483</v>
      </c>
      <c r="DK268" s="4">
        <v>1</v>
      </c>
      <c r="EZ268" s="98"/>
      <c r="FA268" s="98"/>
      <c r="FB268" s="98"/>
      <c r="FC268" s="98"/>
      <c r="FD268" s="98"/>
    </row>
    <row r="269" spans="2:160" ht="12.75">
      <c r="B269" s="83">
        <f t="shared" si="24"/>
        <v>3</v>
      </c>
      <c r="C269" s="83">
        <f t="shared" si="25"/>
        <v>3</v>
      </c>
      <c r="D269" s="83">
        <f t="shared" si="26"/>
        <v>3</v>
      </c>
      <c r="E269" s="83">
        <f t="shared" si="27"/>
        <v>3</v>
      </c>
      <c r="F269" s="83">
        <f t="shared" si="28"/>
        <v>3</v>
      </c>
      <c r="G269" s="83">
        <f t="shared" si="29"/>
        <v>4.5</v>
      </c>
      <c r="H269" s="101">
        <f>IF(AND(M269&gt;0,M269&lt;=STATS!$C$22),1,"")</f>
        <v>1</v>
      </c>
      <c r="J269" s="22">
        <v>268</v>
      </c>
      <c r="K269" s="112">
        <v>46.09653</v>
      </c>
      <c r="L269" s="112">
        <v>-91.22695</v>
      </c>
      <c r="M269" s="4">
        <v>4.5</v>
      </c>
      <c r="N269" s="4" t="s">
        <v>480</v>
      </c>
      <c r="O269" s="4" t="s">
        <v>562</v>
      </c>
      <c r="Q269" s="4">
        <v>1</v>
      </c>
      <c r="R269" s="8"/>
      <c r="S269" s="8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BT269" s="4">
        <v>1</v>
      </c>
      <c r="DA269" s="4">
        <v>1</v>
      </c>
      <c r="DK269" s="4">
        <v>1</v>
      </c>
      <c r="EZ269" s="98"/>
      <c r="FA269" s="98"/>
      <c r="FB269" s="98"/>
      <c r="FC269" s="98"/>
      <c r="FD269" s="98"/>
    </row>
    <row r="270" spans="2:160" ht="12.75">
      <c r="B270" s="83">
        <f t="shared" si="24"/>
        <v>1</v>
      </c>
      <c r="C270" s="83">
        <f t="shared" si="25"/>
        <v>1</v>
      </c>
      <c r="D270" s="83">
        <f t="shared" si="26"/>
        <v>1</v>
      </c>
      <c r="E270" s="83">
        <f t="shared" si="27"/>
        <v>1</v>
      </c>
      <c r="F270" s="83">
        <f t="shared" si="28"/>
        <v>1</v>
      </c>
      <c r="G270" s="83">
        <f t="shared" si="29"/>
        <v>4.5</v>
      </c>
      <c r="H270" s="101">
        <f>IF(AND(M270&gt;0,M270&lt;=STATS!$C$22),1,"")</f>
        <v>1</v>
      </c>
      <c r="J270" s="22">
        <v>269</v>
      </c>
      <c r="K270" s="112">
        <v>46.09654</v>
      </c>
      <c r="L270" s="112">
        <v>-91.22634</v>
      </c>
      <c r="M270" s="4">
        <v>4.5</v>
      </c>
      <c r="N270" s="4" t="s">
        <v>481</v>
      </c>
      <c r="O270" s="4" t="s">
        <v>562</v>
      </c>
      <c r="Q270" s="4">
        <v>1</v>
      </c>
      <c r="R270" s="8"/>
      <c r="S270" s="8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BT270" s="4">
        <v>1</v>
      </c>
      <c r="EZ270" s="98"/>
      <c r="FA270" s="98"/>
      <c r="FB270" s="98"/>
      <c r="FC270" s="98"/>
      <c r="FD270" s="98"/>
    </row>
    <row r="271" spans="2:160" ht="12.75">
      <c r="B271" s="83">
        <f t="shared" si="24"/>
        <v>0</v>
      </c>
      <c r="C271" s="83">
        <f t="shared" si="25"/>
      </c>
      <c r="D271" s="83">
        <f t="shared" si="26"/>
      </c>
      <c r="E271" s="83">
        <f t="shared" si="27"/>
        <v>0</v>
      </c>
      <c r="F271" s="83">
        <f t="shared" si="28"/>
        <v>0</v>
      </c>
      <c r="G271" s="83">
        <f t="shared" si="29"/>
      </c>
      <c r="H271" s="101">
        <f>IF(AND(M271&gt;0,M271&lt;=STATS!$C$22),1,"")</f>
        <v>1</v>
      </c>
      <c r="J271" s="22">
        <v>270</v>
      </c>
      <c r="K271" s="112">
        <v>46.09678</v>
      </c>
      <c r="L271" s="112">
        <v>-91.24337</v>
      </c>
      <c r="M271" s="4">
        <v>5</v>
      </c>
      <c r="N271" s="4" t="s">
        <v>480</v>
      </c>
      <c r="O271" s="4" t="s">
        <v>562</v>
      </c>
      <c r="R271" s="8"/>
      <c r="S271" s="8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EZ271" s="98"/>
      <c r="FA271" s="98"/>
      <c r="FB271" s="98"/>
      <c r="FC271" s="98"/>
      <c r="FD271" s="98"/>
    </row>
    <row r="272" spans="2:160" ht="12.75">
      <c r="B272" s="83">
        <f t="shared" si="24"/>
        <v>0</v>
      </c>
      <c r="C272" s="83">
        <f t="shared" si="25"/>
      </c>
      <c r="D272" s="83">
        <f t="shared" si="26"/>
      </c>
      <c r="E272" s="83">
        <f t="shared" si="27"/>
        <v>0</v>
      </c>
      <c r="F272" s="83">
        <f t="shared" si="28"/>
        <v>0</v>
      </c>
      <c r="G272" s="83">
        <f t="shared" si="29"/>
      </c>
      <c r="H272" s="101">
        <f>IF(AND(M272&gt;0,M272&lt;=STATS!$C$22),1,"")</f>
        <v>1</v>
      </c>
      <c r="J272" s="22">
        <v>271</v>
      </c>
      <c r="K272" s="112">
        <v>46.09679</v>
      </c>
      <c r="L272" s="112">
        <v>-91.24277</v>
      </c>
      <c r="M272" s="4">
        <v>5</v>
      </c>
      <c r="N272" s="4" t="s">
        <v>480</v>
      </c>
      <c r="O272" s="4" t="s">
        <v>562</v>
      </c>
      <c r="R272" s="8"/>
      <c r="S272" s="8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EZ272" s="98"/>
      <c r="FA272" s="98"/>
      <c r="FB272" s="98"/>
      <c r="FC272" s="98"/>
      <c r="FD272" s="98"/>
    </row>
    <row r="273" spans="2:160" ht="12.75">
      <c r="B273" s="83">
        <f t="shared" si="24"/>
        <v>1</v>
      </c>
      <c r="C273" s="83">
        <f t="shared" si="25"/>
        <v>1</v>
      </c>
      <c r="D273" s="83">
        <f t="shared" si="26"/>
        <v>1</v>
      </c>
      <c r="E273" s="83">
        <f t="shared" si="27"/>
        <v>1</v>
      </c>
      <c r="F273" s="83">
        <f t="shared" si="28"/>
        <v>1</v>
      </c>
      <c r="G273" s="83">
        <f t="shared" si="29"/>
        <v>6</v>
      </c>
      <c r="H273" s="101">
        <f>IF(AND(M273&gt;0,M273&lt;=STATS!$C$22),1,"")</f>
        <v>1</v>
      </c>
      <c r="J273" s="22">
        <v>272</v>
      </c>
      <c r="K273" s="112">
        <v>46.09679</v>
      </c>
      <c r="L273" s="112">
        <v>-91.24216</v>
      </c>
      <c r="M273" s="4">
        <v>6</v>
      </c>
      <c r="N273" s="4" t="s">
        <v>480</v>
      </c>
      <c r="O273" s="4" t="s">
        <v>562</v>
      </c>
      <c r="Q273" s="4">
        <v>1</v>
      </c>
      <c r="R273" s="8"/>
      <c r="S273" s="8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DA273" s="4">
        <v>1</v>
      </c>
      <c r="EZ273" s="98"/>
      <c r="FA273" s="98"/>
      <c r="FB273" s="98"/>
      <c r="FC273" s="98"/>
      <c r="FD273" s="98"/>
    </row>
    <row r="274" spans="2:160" ht="12.75">
      <c r="B274" s="83">
        <f t="shared" si="24"/>
        <v>0</v>
      </c>
      <c r="C274" s="83">
        <f t="shared" si="25"/>
      </c>
      <c r="D274" s="83">
        <f t="shared" si="26"/>
      </c>
      <c r="E274" s="83">
        <f t="shared" si="27"/>
        <v>0</v>
      </c>
      <c r="F274" s="83">
        <f t="shared" si="28"/>
        <v>0</v>
      </c>
      <c r="G274" s="83">
        <f t="shared" si="29"/>
      </c>
      <c r="H274" s="101">
        <f>IF(AND(M274&gt;0,M274&lt;=STATS!$C$22),1,"")</f>
        <v>1</v>
      </c>
      <c r="J274" s="22">
        <v>273</v>
      </c>
      <c r="K274" s="112">
        <v>46.0968</v>
      </c>
      <c r="L274" s="112">
        <v>-91.24155</v>
      </c>
      <c r="M274" s="4">
        <v>6</v>
      </c>
      <c r="N274" s="4" t="s">
        <v>480</v>
      </c>
      <c r="O274" s="4" t="s">
        <v>562</v>
      </c>
      <c r="R274" s="8"/>
      <c r="S274" s="8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EZ274" s="98"/>
      <c r="FA274" s="98"/>
      <c r="FB274" s="98"/>
      <c r="FC274" s="98"/>
      <c r="FD274" s="98"/>
    </row>
    <row r="275" spans="2:160" ht="12.75">
      <c r="B275" s="83">
        <f t="shared" si="24"/>
        <v>0</v>
      </c>
      <c r="C275" s="83">
        <f t="shared" si="25"/>
      </c>
      <c r="D275" s="83">
        <f t="shared" si="26"/>
      </c>
      <c r="E275" s="83">
        <f t="shared" si="27"/>
        <v>0</v>
      </c>
      <c r="F275" s="83">
        <f t="shared" si="28"/>
        <v>0</v>
      </c>
      <c r="G275" s="83">
        <f t="shared" si="29"/>
      </c>
      <c r="H275" s="101">
        <f>IF(AND(M275&gt;0,M275&lt;=STATS!$C$22),1,"")</f>
        <v>1</v>
      </c>
      <c r="J275" s="22">
        <v>274</v>
      </c>
      <c r="K275" s="112">
        <v>46.09681</v>
      </c>
      <c r="L275" s="112">
        <v>-91.24094</v>
      </c>
      <c r="M275" s="4">
        <v>6</v>
      </c>
      <c r="N275" s="4" t="s">
        <v>480</v>
      </c>
      <c r="O275" s="4" t="s">
        <v>562</v>
      </c>
      <c r="R275" s="8"/>
      <c r="S275" s="8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EZ275" s="98"/>
      <c r="FA275" s="98"/>
      <c r="FB275" s="98"/>
      <c r="FC275" s="98"/>
      <c r="FD275" s="98"/>
    </row>
    <row r="276" spans="2:160" ht="12.75">
      <c r="B276" s="83">
        <f t="shared" si="24"/>
        <v>1</v>
      </c>
      <c r="C276" s="83">
        <f t="shared" si="25"/>
        <v>1</v>
      </c>
      <c r="D276" s="83">
        <f t="shared" si="26"/>
        <v>1</v>
      </c>
      <c r="E276" s="83">
        <f t="shared" si="27"/>
        <v>1</v>
      </c>
      <c r="F276" s="83">
        <f t="shared" si="28"/>
        <v>1</v>
      </c>
      <c r="G276" s="83">
        <f t="shared" si="29"/>
        <v>6</v>
      </c>
      <c r="H276" s="101">
        <f>IF(AND(M276&gt;0,M276&lt;=STATS!$C$22),1,"")</f>
        <v>1</v>
      </c>
      <c r="J276" s="22">
        <v>275</v>
      </c>
      <c r="K276" s="112">
        <v>46.09681</v>
      </c>
      <c r="L276" s="112">
        <v>-91.24033</v>
      </c>
      <c r="M276" s="4">
        <v>6</v>
      </c>
      <c r="N276" s="4" t="s">
        <v>480</v>
      </c>
      <c r="O276" s="4" t="s">
        <v>562</v>
      </c>
      <c r="Q276" s="4">
        <v>1</v>
      </c>
      <c r="R276" s="8"/>
      <c r="S276" s="8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DA276" s="4">
        <v>1</v>
      </c>
      <c r="EZ276" s="98"/>
      <c r="FA276" s="98"/>
      <c r="FB276" s="98"/>
      <c r="FC276" s="98"/>
      <c r="FD276" s="98"/>
    </row>
    <row r="277" spans="2:160" ht="12.75">
      <c r="B277" s="83">
        <f t="shared" si="24"/>
        <v>0</v>
      </c>
      <c r="C277" s="83">
        <f t="shared" si="25"/>
      </c>
      <c r="D277" s="83">
        <f t="shared" si="26"/>
      </c>
      <c r="E277" s="83">
        <f t="shared" si="27"/>
        <v>0</v>
      </c>
      <c r="F277" s="83">
        <f t="shared" si="28"/>
        <v>0</v>
      </c>
      <c r="G277" s="83">
        <f t="shared" si="29"/>
      </c>
      <c r="H277" s="101">
        <f>IF(AND(M277&gt;0,M277&lt;=STATS!$C$22),1,"")</f>
        <v>1</v>
      </c>
      <c r="J277" s="22">
        <v>276</v>
      </c>
      <c r="K277" s="112">
        <v>46.09682</v>
      </c>
      <c r="L277" s="112">
        <v>-91.23973</v>
      </c>
      <c r="M277" s="4">
        <v>6</v>
      </c>
      <c r="N277" s="4" t="s">
        <v>480</v>
      </c>
      <c r="O277" s="4" t="s">
        <v>562</v>
      </c>
      <c r="R277" s="8"/>
      <c r="S277" s="8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EZ277" s="98"/>
      <c r="FA277" s="98"/>
      <c r="FB277" s="98"/>
      <c r="FC277" s="98"/>
      <c r="FD277" s="98"/>
    </row>
    <row r="278" spans="2:160" ht="12.75">
      <c r="B278" s="83">
        <f t="shared" si="24"/>
        <v>0</v>
      </c>
      <c r="C278" s="83">
        <f t="shared" si="25"/>
      </c>
      <c r="D278" s="83">
        <f t="shared" si="26"/>
      </c>
      <c r="E278" s="83">
        <f t="shared" si="27"/>
        <v>0</v>
      </c>
      <c r="F278" s="83">
        <f t="shared" si="28"/>
        <v>0</v>
      </c>
      <c r="G278" s="83">
        <f t="shared" si="29"/>
      </c>
      <c r="H278" s="101">
        <f>IF(AND(M278&gt;0,M278&lt;=STATS!$C$22),1,"")</f>
        <v>1</v>
      </c>
      <c r="J278" s="22">
        <v>277</v>
      </c>
      <c r="K278" s="112">
        <v>46.09683</v>
      </c>
      <c r="L278" s="112">
        <v>-91.23912</v>
      </c>
      <c r="M278" s="4">
        <v>7</v>
      </c>
      <c r="N278" s="4" t="s">
        <v>480</v>
      </c>
      <c r="O278" s="4" t="s">
        <v>562</v>
      </c>
      <c r="R278" s="8"/>
      <c r="S278" s="8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EZ278" s="98"/>
      <c r="FA278" s="98"/>
      <c r="FB278" s="98"/>
      <c r="FC278" s="98"/>
      <c r="FD278" s="98"/>
    </row>
    <row r="279" spans="2:160" ht="12.75">
      <c r="B279" s="83">
        <f t="shared" si="24"/>
        <v>2</v>
      </c>
      <c r="C279" s="83">
        <f t="shared" si="25"/>
        <v>2</v>
      </c>
      <c r="D279" s="83">
        <f t="shared" si="26"/>
        <v>2</v>
      </c>
      <c r="E279" s="83">
        <f t="shared" si="27"/>
        <v>2</v>
      </c>
      <c r="F279" s="83">
        <f t="shared" si="28"/>
        <v>2</v>
      </c>
      <c r="G279" s="83">
        <f t="shared" si="29"/>
        <v>5.5</v>
      </c>
      <c r="H279" s="101">
        <f>IF(AND(M279&gt;0,M279&lt;=STATS!$C$22),1,"")</f>
        <v>1</v>
      </c>
      <c r="J279" s="22">
        <v>278</v>
      </c>
      <c r="K279" s="112">
        <v>46.09683</v>
      </c>
      <c r="L279" s="112">
        <v>-91.23851</v>
      </c>
      <c r="M279" s="4">
        <v>5.5</v>
      </c>
      <c r="N279" s="4" t="s">
        <v>480</v>
      </c>
      <c r="O279" s="4" t="s">
        <v>562</v>
      </c>
      <c r="Q279" s="4">
        <v>1</v>
      </c>
      <c r="R279" s="8"/>
      <c r="S279" s="8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BR279" s="4">
        <v>1</v>
      </c>
      <c r="CP279" s="4">
        <v>1</v>
      </c>
      <c r="EZ279" s="98"/>
      <c r="FA279" s="98"/>
      <c r="FB279" s="98"/>
      <c r="FC279" s="98"/>
      <c r="FD279" s="98"/>
    </row>
    <row r="280" spans="2:160" ht="12.75">
      <c r="B280" s="83">
        <f t="shared" si="24"/>
        <v>0</v>
      </c>
      <c r="C280" s="83">
        <f t="shared" si="25"/>
      </c>
      <c r="D280" s="83">
        <f t="shared" si="26"/>
      </c>
      <c r="E280" s="83">
        <f t="shared" si="27"/>
        <v>0</v>
      </c>
      <c r="F280" s="83">
        <f t="shared" si="28"/>
        <v>0</v>
      </c>
      <c r="G280" s="83">
        <f t="shared" si="29"/>
      </c>
      <c r="H280" s="101">
        <f>IF(AND(M280&gt;0,M280&lt;=STATS!$C$22),1,"")</f>
        <v>1</v>
      </c>
      <c r="J280" s="22">
        <v>279</v>
      </c>
      <c r="K280" s="112">
        <v>46.09684</v>
      </c>
      <c r="L280" s="112">
        <v>-91.2379</v>
      </c>
      <c r="M280" s="4">
        <v>6.5</v>
      </c>
      <c r="N280" s="4" t="s">
        <v>480</v>
      </c>
      <c r="O280" s="4" t="s">
        <v>562</v>
      </c>
      <c r="R280" s="8"/>
      <c r="S280" s="8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EZ280" s="98"/>
      <c r="FA280" s="98"/>
      <c r="FB280" s="98"/>
      <c r="FC280" s="98"/>
      <c r="FD280" s="98"/>
    </row>
    <row r="281" spans="2:160" ht="12.75">
      <c r="B281" s="83">
        <f t="shared" si="24"/>
        <v>0</v>
      </c>
      <c r="C281" s="83">
        <f t="shared" si="25"/>
      </c>
      <c r="D281" s="83">
        <f t="shared" si="26"/>
      </c>
      <c r="E281" s="83">
        <f t="shared" si="27"/>
        <v>0</v>
      </c>
      <c r="F281" s="83">
        <f t="shared" si="28"/>
        <v>0</v>
      </c>
      <c r="G281" s="83">
        <f t="shared" si="29"/>
      </c>
      <c r="H281" s="101">
        <f>IF(AND(M281&gt;0,M281&lt;=STATS!$C$22),1,"")</f>
        <v>1</v>
      </c>
      <c r="J281" s="22">
        <v>280</v>
      </c>
      <c r="K281" s="112">
        <v>46.09685</v>
      </c>
      <c r="L281" s="112">
        <v>-91.23729</v>
      </c>
      <c r="M281" s="4">
        <v>6</v>
      </c>
      <c r="N281" s="4" t="s">
        <v>480</v>
      </c>
      <c r="O281" s="4" t="s">
        <v>562</v>
      </c>
      <c r="R281" s="8"/>
      <c r="S281" s="8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EZ281" s="98"/>
      <c r="FA281" s="98"/>
      <c r="FB281" s="98"/>
      <c r="FC281" s="98"/>
      <c r="FD281" s="98"/>
    </row>
    <row r="282" spans="2:160" ht="12.75">
      <c r="B282" s="83">
        <f t="shared" si="24"/>
        <v>0</v>
      </c>
      <c r="C282" s="83">
        <f t="shared" si="25"/>
      </c>
      <c r="D282" s="83">
        <f t="shared" si="26"/>
      </c>
      <c r="E282" s="83">
        <f t="shared" si="27"/>
        <v>0</v>
      </c>
      <c r="F282" s="83">
        <f t="shared" si="28"/>
        <v>0</v>
      </c>
      <c r="G282" s="83">
        <f t="shared" si="29"/>
      </c>
      <c r="H282" s="101">
        <f>IF(AND(M282&gt;0,M282&lt;=STATS!$C$22),1,"")</f>
        <v>1</v>
      </c>
      <c r="J282" s="22">
        <v>281</v>
      </c>
      <c r="K282" s="112">
        <v>46.09685</v>
      </c>
      <c r="L282" s="112">
        <v>-91.23669</v>
      </c>
      <c r="M282" s="4">
        <v>6.5</v>
      </c>
      <c r="N282" s="4" t="s">
        <v>480</v>
      </c>
      <c r="O282" s="4" t="s">
        <v>562</v>
      </c>
      <c r="R282" s="8"/>
      <c r="S282" s="8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EZ282" s="98"/>
      <c r="FA282" s="98"/>
      <c r="FB282" s="98"/>
      <c r="FC282" s="98"/>
      <c r="FD282" s="98"/>
    </row>
    <row r="283" spans="2:160" ht="12.75">
      <c r="B283" s="83">
        <f t="shared" si="24"/>
        <v>0</v>
      </c>
      <c r="C283" s="83">
        <f t="shared" si="25"/>
      </c>
      <c r="D283" s="83">
        <f t="shared" si="26"/>
      </c>
      <c r="E283" s="83">
        <f t="shared" si="27"/>
        <v>0</v>
      </c>
      <c r="F283" s="83">
        <f t="shared" si="28"/>
        <v>0</v>
      </c>
      <c r="G283" s="83">
        <f t="shared" si="29"/>
      </c>
      <c r="H283" s="101">
        <f>IF(AND(M283&gt;0,M283&lt;=STATS!$C$22),1,"")</f>
        <v>1</v>
      </c>
      <c r="J283" s="22">
        <v>282</v>
      </c>
      <c r="K283" s="112">
        <v>46.09686</v>
      </c>
      <c r="L283" s="112">
        <v>-91.23608</v>
      </c>
      <c r="M283" s="4">
        <v>7</v>
      </c>
      <c r="N283" s="4" t="s">
        <v>480</v>
      </c>
      <c r="O283" s="4" t="s">
        <v>562</v>
      </c>
      <c r="R283" s="8"/>
      <c r="S283" s="8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EZ283" s="98"/>
      <c r="FA283" s="98"/>
      <c r="FB283" s="98"/>
      <c r="FC283" s="98"/>
      <c r="FD283" s="98"/>
    </row>
    <row r="284" spans="2:160" ht="12.75">
      <c r="B284" s="83">
        <f t="shared" si="24"/>
        <v>0</v>
      </c>
      <c r="C284" s="83">
        <f t="shared" si="25"/>
      </c>
      <c r="D284" s="83">
        <f t="shared" si="26"/>
      </c>
      <c r="E284" s="83">
        <f t="shared" si="27"/>
        <v>0</v>
      </c>
      <c r="F284" s="83">
        <f t="shared" si="28"/>
        <v>0</v>
      </c>
      <c r="G284" s="83">
        <f t="shared" si="29"/>
      </c>
      <c r="H284" s="101">
        <f>IF(AND(M284&gt;0,M284&lt;=STATS!$C$22),1,"")</f>
        <v>1</v>
      </c>
      <c r="J284" s="22">
        <v>283</v>
      </c>
      <c r="K284" s="112">
        <v>46.09686</v>
      </c>
      <c r="L284" s="112">
        <v>-91.23547</v>
      </c>
      <c r="M284" s="4">
        <v>7</v>
      </c>
      <c r="N284" s="4" t="s">
        <v>480</v>
      </c>
      <c r="O284" s="4" t="s">
        <v>562</v>
      </c>
      <c r="R284" s="8"/>
      <c r="S284" s="8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EZ284" s="98"/>
      <c r="FA284" s="98"/>
      <c r="FB284" s="98"/>
      <c r="FC284" s="98"/>
      <c r="FD284" s="98"/>
    </row>
    <row r="285" spans="2:160" ht="12.75">
      <c r="B285" s="83">
        <f t="shared" si="24"/>
        <v>0</v>
      </c>
      <c r="C285" s="83">
        <f t="shared" si="25"/>
      </c>
      <c r="D285" s="83">
        <f t="shared" si="26"/>
      </c>
      <c r="E285" s="83">
        <f t="shared" si="27"/>
        <v>0</v>
      </c>
      <c r="F285" s="83">
        <f t="shared" si="28"/>
        <v>0</v>
      </c>
      <c r="G285" s="83">
        <f t="shared" si="29"/>
      </c>
      <c r="H285" s="101">
        <f>IF(AND(M285&gt;0,M285&lt;=STATS!$C$22),1,"")</f>
        <v>1</v>
      </c>
      <c r="J285" s="22">
        <v>284</v>
      </c>
      <c r="K285" s="112">
        <v>46.09687</v>
      </c>
      <c r="L285" s="112">
        <v>-91.23486</v>
      </c>
      <c r="M285" s="4">
        <v>7</v>
      </c>
      <c r="N285" s="4" t="s">
        <v>480</v>
      </c>
      <c r="O285" s="4" t="s">
        <v>562</v>
      </c>
      <c r="R285" s="8"/>
      <c r="S285" s="8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EZ285" s="98"/>
      <c r="FA285" s="98"/>
      <c r="FB285" s="98"/>
      <c r="FC285" s="98"/>
      <c r="FD285" s="98"/>
    </row>
    <row r="286" spans="2:160" ht="12.75">
      <c r="B286" s="83">
        <f t="shared" si="24"/>
        <v>3</v>
      </c>
      <c r="C286" s="83">
        <f t="shared" si="25"/>
        <v>3</v>
      </c>
      <c r="D286" s="83">
        <f t="shared" si="26"/>
        <v>3</v>
      </c>
      <c r="E286" s="83">
        <f t="shared" si="27"/>
        <v>3</v>
      </c>
      <c r="F286" s="83">
        <f t="shared" si="28"/>
        <v>3</v>
      </c>
      <c r="G286" s="83">
        <f t="shared" si="29"/>
        <v>6</v>
      </c>
      <c r="H286" s="101">
        <f>IF(AND(M286&gt;0,M286&lt;=STATS!$C$22),1,"")</f>
        <v>1</v>
      </c>
      <c r="J286" s="22">
        <v>285</v>
      </c>
      <c r="K286" s="112">
        <v>46.09688</v>
      </c>
      <c r="L286" s="112">
        <v>-91.23426</v>
      </c>
      <c r="M286" s="4">
        <v>6</v>
      </c>
      <c r="N286" s="4" t="s">
        <v>480</v>
      </c>
      <c r="O286" s="4" t="s">
        <v>562</v>
      </c>
      <c r="Q286" s="4">
        <v>2</v>
      </c>
      <c r="R286" s="8"/>
      <c r="S286" s="8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BR286" s="4">
        <v>1</v>
      </c>
      <c r="DA286" s="4">
        <v>2</v>
      </c>
      <c r="DK286" s="4">
        <v>1</v>
      </c>
      <c r="EZ286" s="98"/>
      <c r="FA286" s="98"/>
      <c r="FB286" s="98"/>
      <c r="FC286" s="98"/>
      <c r="FD286" s="98"/>
    </row>
    <row r="287" spans="2:160" ht="12.75">
      <c r="B287" s="83">
        <f t="shared" si="24"/>
        <v>1</v>
      </c>
      <c r="C287" s="83">
        <f t="shared" si="25"/>
        <v>1</v>
      </c>
      <c r="D287" s="83">
        <f t="shared" si="26"/>
        <v>1</v>
      </c>
      <c r="E287" s="83">
        <f t="shared" si="27"/>
        <v>1</v>
      </c>
      <c r="F287" s="83">
        <f t="shared" si="28"/>
        <v>1</v>
      </c>
      <c r="G287" s="83">
        <f t="shared" si="29"/>
        <v>6.5</v>
      </c>
      <c r="H287" s="101">
        <f>IF(AND(M287&gt;0,M287&lt;=STATS!$C$22),1,"")</f>
        <v>1</v>
      </c>
      <c r="J287" s="22">
        <v>286</v>
      </c>
      <c r="K287" s="112">
        <v>46.09689</v>
      </c>
      <c r="L287" s="112">
        <v>-91.23365</v>
      </c>
      <c r="M287" s="4">
        <v>6.5</v>
      </c>
      <c r="N287" s="4" t="s">
        <v>480</v>
      </c>
      <c r="O287" s="4" t="s">
        <v>562</v>
      </c>
      <c r="Q287" s="4">
        <v>3</v>
      </c>
      <c r="R287" s="8"/>
      <c r="S287" s="8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CI287" s="4" t="s">
        <v>483</v>
      </c>
      <c r="DA287" s="4">
        <v>3</v>
      </c>
      <c r="EZ287" s="98"/>
      <c r="FA287" s="98"/>
      <c r="FB287" s="98"/>
      <c r="FC287" s="98"/>
      <c r="FD287" s="98"/>
    </row>
    <row r="288" spans="2:160" ht="12.75">
      <c r="B288" s="83">
        <f t="shared" si="24"/>
        <v>1</v>
      </c>
      <c r="C288" s="83">
        <f t="shared" si="25"/>
        <v>1</v>
      </c>
      <c r="D288" s="83">
        <f t="shared" si="26"/>
        <v>1</v>
      </c>
      <c r="E288" s="83">
        <f t="shared" si="27"/>
        <v>1</v>
      </c>
      <c r="F288" s="83">
        <f t="shared" si="28"/>
        <v>1</v>
      </c>
      <c r="G288" s="83">
        <f t="shared" si="29"/>
        <v>6.5</v>
      </c>
      <c r="H288" s="101">
        <f>IF(AND(M288&gt;0,M288&lt;=STATS!$C$22),1,"")</f>
        <v>1</v>
      </c>
      <c r="J288" s="22">
        <v>287</v>
      </c>
      <c r="K288" s="112">
        <v>46.09689</v>
      </c>
      <c r="L288" s="112">
        <v>-91.23304</v>
      </c>
      <c r="M288" s="4">
        <v>6.5</v>
      </c>
      <c r="N288" s="4" t="s">
        <v>480</v>
      </c>
      <c r="O288" s="4" t="s">
        <v>562</v>
      </c>
      <c r="Q288" s="4">
        <v>1</v>
      </c>
      <c r="R288" s="8"/>
      <c r="S288" s="8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DA288" s="4">
        <v>1</v>
      </c>
      <c r="EZ288" s="98"/>
      <c r="FA288" s="98"/>
      <c r="FB288" s="98"/>
      <c r="FC288" s="98"/>
      <c r="FD288" s="98"/>
    </row>
    <row r="289" spans="2:160" ht="12.75">
      <c r="B289" s="83">
        <f t="shared" si="24"/>
        <v>2</v>
      </c>
      <c r="C289" s="83">
        <f t="shared" si="25"/>
        <v>2</v>
      </c>
      <c r="D289" s="83">
        <f t="shared" si="26"/>
        <v>2</v>
      </c>
      <c r="E289" s="83">
        <f t="shared" si="27"/>
        <v>2</v>
      </c>
      <c r="F289" s="83">
        <f t="shared" si="28"/>
        <v>2</v>
      </c>
      <c r="G289" s="83">
        <f t="shared" si="29"/>
        <v>5.5</v>
      </c>
      <c r="H289" s="101">
        <f>IF(AND(M289&gt;0,M289&lt;=STATS!$C$22),1,"")</f>
        <v>1</v>
      </c>
      <c r="J289" s="22">
        <v>288</v>
      </c>
      <c r="K289" s="112">
        <v>46.0969</v>
      </c>
      <c r="L289" s="112">
        <v>-91.23243</v>
      </c>
      <c r="M289" s="4">
        <v>5.5</v>
      </c>
      <c r="N289" s="4" t="s">
        <v>480</v>
      </c>
      <c r="O289" s="4" t="s">
        <v>562</v>
      </c>
      <c r="Q289" s="4">
        <v>2</v>
      </c>
      <c r="R289" s="8"/>
      <c r="S289" s="8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CI289" s="4" t="s">
        <v>483</v>
      </c>
      <c r="CW289" s="4">
        <v>1</v>
      </c>
      <c r="DA289" s="4">
        <v>2</v>
      </c>
      <c r="EZ289" s="98"/>
      <c r="FA289" s="98"/>
      <c r="FB289" s="98"/>
      <c r="FC289" s="98"/>
      <c r="FD289" s="98"/>
    </row>
    <row r="290" spans="2:160" ht="12.75">
      <c r="B290" s="83">
        <f t="shared" si="24"/>
        <v>1</v>
      </c>
      <c r="C290" s="83">
        <f t="shared" si="25"/>
        <v>1</v>
      </c>
      <c r="D290" s="83">
        <f t="shared" si="26"/>
        <v>1</v>
      </c>
      <c r="E290" s="83">
        <f t="shared" si="27"/>
        <v>1</v>
      </c>
      <c r="F290" s="83">
        <f t="shared" si="28"/>
        <v>1</v>
      </c>
      <c r="G290" s="83">
        <f t="shared" si="29"/>
        <v>6</v>
      </c>
      <c r="H290" s="101">
        <f>IF(AND(M290&gt;0,M290&lt;=STATS!$C$22),1,"")</f>
        <v>1</v>
      </c>
      <c r="J290" s="22">
        <v>289</v>
      </c>
      <c r="K290" s="112">
        <v>46.0969</v>
      </c>
      <c r="L290" s="112">
        <v>-91.23182</v>
      </c>
      <c r="M290" s="4">
        <v>6</v>
      </c>
      <c r="N290" s="4" t="s">
        <v>480</v>
      </c>
      <c r="O290" s="4" t="s">
        <v>562</v>
      </c>
      <c r="Q290" s="4">
        <v>1</v>
      </c>
      <c r="R290" s="8"/>
      <c r="S290" s="8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BR290" s="4">
        <v>1</v>
      </c>
      <c r="EZ290" s="98"/>
      <c r="FA290" s="98"/>
      <c r="FB290" s="98"/>
      <c r="FC290" s="98"/>
      <c r="FD290" s="98"/>
    </row>
    <row r="291" spans="2:160" ht="12.75">
      <c r="B291" s="83">
        <f t="shared" si="24"/>
        <v>0</v>
      </c>
      <c r="C291" s="83">
        <f t="shared" si="25"/>
      </c>
      <c r="D291" s="83">
        <f t="shared" si="26"/>
      </c>
      <c r="E291" s="83">
        <f t="shared" si="27"/>
        <v>0</v>
      </c>
      <c r="F291" s="83">
        <f t="shared" si="28"/>
        <v>0</v>
      </c>
      <c r="G291" s="83">
        <f t="shared" si="29"/>
      </c>
      <c r="H291" s="101">
        <f>IF(AND(M291&gt;0,M291&lt;=STATS!$C$22),1,"")</f>
        <v>1</v>
      </c>
      <c r="J291" s="22">
        <v>290</v>
      </c>
      <c r="K291" s="112">
        <v>46.09691</v>
      </c>
      <c r="L291" s="112">
        <v>-91.23122</v>
      </c>
      <c r="M291" s="4">
        <v>6</v>
      </c>
      <c r="N291" s="4" t="s">
        <v>480</v>
      </c>
      <c r="O291" s="4" t="s">
        <v>562</v>
      </c>
      <c r="R291" s="8"/>
      <c r="S291" s="8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EZ291" s="98"/>
      <c r="FA291" s="98"/>
      <c r="FB291" s="98"/>
      <c r="FC291" s="98"/>
      <c r="FD291" s="98"/>
    </row>
    <row r="292" spans="2:160" ht="12.75">
      <c r="B292" s="83">
        <f t="shared" si="24"/>
        <v>1</v>
      </c>
      <c r="C292" s="83">
        <f t="shared" si="25"/>
        <v>1</v>
      </c>
      <c r="D292" s="83">
        <f t="shared" si="26"/>
        <v>1</v>
      </c>
      <c r="E292" s="83">
        <f t="shared" si="27"/>
        <v>1</v>
      </c>
      <c r="F292" s="83">
        <f t="shared" si="28"/>
        <v>1</v>
      </c>
      <c r="G292" s="83">
        <f t="shared" si="29"/>
        <v>6</v>
      </c>
      <c r="H292" s="101">
        <f>IF(AND(M292&gt;0,M292&lt;=STATS!$C$22),1,"")</f>
        <v>1</v>
      </c>
      <c r="J292" s="22">
        <v>291</v>
      </c>
      <c r="K292" s="112">
        <v>46.09692</v>
      </c>
      <c r="L292" s="112">
        <v>-91.23061</v>
      </c>
      <c r="M292" s="4">
        <v>6</v>
      </c>
      <c r="N292" s="4" t="s">
        <v>480</v>
      </c>
      <c r="O292" s="4" t="s">
        <v>562</v>
      </c>
      <c r="Q292" s="4">
        <v>2</v>
      </c>
      <c r="R292" s="8"/>
      <c r="S292" s="8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DA292" s="4">
        <v>2</v>
      </c>
      <c r="EZ292" s="98"/>
      <c r="FA292" s="98"/>
      <c r="FB292" s="98"/>
      <c r="FC292" s="98"/>
      <c r="FD292" s="98"/>
    </row>
    <row r="293" spans="2:160" ht="12.75">
      <c r="B293" s="83">
        <f t="shared" si="24"/>
        <v>4</v>
      </c>
      <c r="C293" s="83">
        <f t="shared" si="25"/>
        <v>4</v>
      </c>
      <c r="D293" s="83">
        <f t="shared" si="26"/>
        <v>4</v>
      </c>
      <c r="E293" s="83">
        <f t="shared" si="27"/>
        <v>4</v>
      </c>
      <c r="F293" s="83">
        <f t="shared" si="28"/>
        <v>4</v>
      </c>
      <c r="G293" s="83">
        <f t="shared" si="29"/>
        <v>6</v>
      </c>
      <c r="H293" s="101">
        <f>IF(AND(M293&gt;0,M293&lt;=STATS!$C$22),1,"")</f>
        <v>1</v>
      </c>
      <c r="J293" s="22">
        <v>292</v>
      </c>
      <c r="K293" s="112">
        <v>46.09692</v>
      </c>
      <c r="L293" s="112">
        <v>-91.23</v>
      </c>
      <c r="M293" s="4">
        <v>6</v>
      </c>
      <c r="N293" s="4" t="s">
        <v>480</v>
      </c>
      <c r="O293" s="4" t="s">
        <v>562</v>
      </c>
      <c r="Q293" s="4">
        <v>1</v>
      </c>
      <c r="R293" s="8"/>
      <c r="S293" s="8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>
        <v>1</v>
      </c>
      <c r="AH293" s="24"/>
      <c r="BR293" s="4">
        <v>1</v>
      </c>
      <c r="BT293" s="4">
        <v>1</v>
      </c>
      <c r="DA293" s="4">
        <v>1</v>
      </c>
      <c r="EZ293" s="98"/>
      <c r="FA293" s="98"/>
      <c r="FB293" s="98"/>
      <c r="FC293" s="98"/>
      <c r="FD293" s="98"/>
    </row>
    <row r="294" spans="2:160" ht="12.75">
      <c r="B294" s="83">
        <f t="shared" si="24"/>
        <v>1</v>
      </c>
      <c r="C294" s="83">
        <f t="shared" si="25"/>
        <v>1</v>
      </c>
      <c r="D294" s="83">
        <f t="shared" si="26"/>
        <v>1</v>
      </c>
      <c r="E294" s="83">
        <f t="shared" si="27"/>
        <v>1</v>
      </c>
      <c r="F294" s="83">
        <f t="shared" si="28"/>
        <v>1</v>
      </c>
      <c r="G294" s="83">
        <f t="shared" si="29"/>
        <v>19</v>
      </c>
      <c r="H294" s="101">
        <f>IF(AND(M294&gt;0,M294&lt;=STATS!$C$22),1,"")</f>
        <v>1</v>
      </c>
      <c r="J294" s="22">
        <v>293</v>
      </c>
      <c r="K294" s="112">
        <v>46.09693</v>
      </c>
      <c r="L294" s="112">
        <v>-91.22939</v>
      </c>
      <c r="M294" s="4">
        <v>19</v>
      </c>
      <c r="N294" s="4" t="s">
        <v>480</v>
      </c>
      <c r="O294" s="4" t="s">
        <v>562</v>
      </c>
      <c r="Q294" s="4">
        <v>1</v>
      </c>
      <c r="R294" s="8"/>
      <c r="S294" s="8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DA294" s="4">
        <v>1</v>
      </c>
      <c r="EZ294" s="98"/>
      <c r="FA294" s="98"/>
      <c r="FB294" s="98"/>
      <c r="FC294" s="98"/>
      <c r="FD294" s="98"/>
    </row>
    <row r="295" spans="2:160" ht="12.75">
      <c r="B295" s="83">
        <f t="shared" si="24"/>
        <v>3</v>
      </c>
      <c r="C295" s="83">
        <f t="shared" si="25"/>
        <v>3</v>
      </c>
      <c r="D295" s="83">
        <f t="shared" si="26"/>
        <v>3</v>
      </c>
      <c r="E295" s="83">
        <f t="shared" si="27"/>
        <v>3</v>
      </c>
      <c r="F295" s="83">
        <f t="shared" si="28"/>
        <v>3</v>
      </c>
      <c r="G295" s="83">
        <f t="shared" si="29"/>
        <v>7</v>
      </c>
      <c r="H295" s="101">
        <f>IF(AND(M295&gt;0,M295&lt;=STATS!$C$22),1,"")</f>
        <v>1</v>
      </c>
      <c r="J295" s="22">
        <v>294</v>
      </c>
      <c r="K295" s="112">
        <v>46.09694</v>
      </c>
      <c r="L295" s="112">
        <v>-91.22878</v>
      </c>
      <c r="M295" s="4">
        <v>7</v>
      </c>
      <c r="N295" s="4" t="s">
        <v>480</v>
      </c>
      <c r="O295" s="4" t="s">
        <v>562</v>
      </c>
      <c r="Q295" s="4">
        <v>2</v>
      </c>
      <c r="R295" s="8"/>
      <c r="S295" s="8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BT295" s="4">
        <v>1</v>
      </c>
      <c r="CI295" s="4">
        <v>1</v>
      </c>
      <c r="DA295" s="4">
        <v>2</v>
      </c>
      <c r="EZ295" s="98"/>
      <c r="FA295" s="98"/>
      <c r="FB295" s="98"/>
      <c r="FC295" s="98"/>
      <c r="FD295" s="98"/>
    </row>
    <row r="296" spans="2:160" ht="12.75">
      <c r="B296" s="83">
        <f t="shared" si="24"/>
        <v>0</v>
      </c>
      <c r="C296" s="83">
        <f t="shared" si="25"/>
      </c>
      <c r="D296" s="83">
        <f t="shared" si="26"/>
      </c>
      <c r="E296" s="83">
        <f t="shared" si="27"/>
        <v>0</v>
      </c>
      <c r="F296" s="83">
        <f t="shared" si="28"/>
        <v>0</v>
      </c>
      <c r="G296" s="83">
        <f t="shared" si="29"/>
      </c>
      <c r="H296" s="101">
        <f>IF(AND(M296&gt;0,M296&lt;=STATS!$C$22),1,"")</f>
        <v>1</v>
      </c>
      <c r="J296" s="22">
        <v>295</v>
      </c>
      <c r="K296" s="112">
        <v>46.09694</v>
      </c>
      <c r="L296" s="112">
        <v>-91.22818</v>
      </c>
      <c r="M296" s="4">
        <v>6</v>
      </c>
      <c r="N296" s="4" t="s">
        <v>480</v>
      </c>
      <c r="O296" s="4" t="s">
        <v>562</v>
      </c>
      <c r="R296" s="8"/>
      <c r="S296" s="8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EZ296" s="98"/>
      <c r="FA296" s="98"/>
      <c r="FB296" s="98"/>
      <c r="FC296" s="98"/>
      <c r="FD296" s="98"/>
    </row>
    <row r="297" spans="2:160" ht="12.75">
      <c r="B297" s="83">
        <f t="shared" si="24"/>
        <v>3</v>
      </c>
      <c r="C297" s="83">
        <f t="shared" si="25"/>
        <v>3</v>
      </c>
      <c r="D297" s="83">
        <f t="shared" si="26"/>
        <v>3</v>
      </c>
      <c r="E297" s="83">
        <f t="shared" si="27"/>
        <v>3</v>
      </c>
      <c r="F297" s="83">
        <f t="shared" si="28"/>
        <v>3</v>
      </c>
      <c r="G297" s="83">
        <f t="shared" si="29"/>
        <v>5.5</v>
      </c>
      <c r="H297" s="101">
        <f>IF(AND(M297&gt;0,M297&lt;=STATS!$C$22),1,"")</f>
        <v>1</v>
      </c>
      <c r="J297" s="22">
        <v>296</v>
      </c>
      <c r="K297" s="112">
        <v>46.09695</v>
      </c>
      <c r="L297" s="112">
        <v>-91.22757</v>
      </c>
      <c r="M297" s="4">
        <v>5.5</v>
      </c>
      <c r="N297" s="4" t="s">
        <v>480</v>
      </c>
      <c r="O297" s="4" t="s">
        <v>562</v>
      </c>
      <c r="Q297" s="4">
        <v>2</v>
      </c>
      <c r="R297" s="8"/>
      <c r="S297" s="8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BR297" s="4">
        <v>2</v>
      </c>
      <c r="CP297" s="4">
        <v>1</v>
      </c>
      <c r="DK297" s="4">
        <v>1</v>
      </c>
      <c r="EZ297" s="98"/>
      <c r="FA297" s="98"/>
      <c r="FB297" s="98"/>
      <c r="FC297" s="98"/>
      <c r="FD297" s="98"/>
    </row>
    <row r="298" spans="2:160" ht="12.75">
      <c r="B298" s="83">
        <f t="shared" si="24"/>
        <v>0</v>
      </c>
      <c r="C298" s="83">
        <f t="shared" si="25"/>
      </c>
      <c r="D298" s="83">
        <f t="shared" si="26"/>
      </c>
      <c r="E298" s="83">
        <f t="shared" si="27"/>
        <v>0</v>
      </c>
      <c r="F298" s="83">
        <f t="shared" si="28"/>
        <v>0</v>
      </c>
      <c r="G298" s="83">
        <f t="shared" si="29"/>
      </c>
      <c r="H298" s="101">
        <f>IF(AND(M298&gt;0,M298&lt;=STATS!$C$22),1,"")</f>
        <v>1</v>
      </c>
      <c r="J298" s="22">
        <v>297</v>
      </c>
      <c r="K298" s="112">
        <v>46.09696</v>
      </c>
      <c r="L298" s="112">
        <v>-91.22696</v>
      </c>
      <c r="M298" s="4">
        <v>5</v>
      </c>
      <c r="N298" s="4" t="s">
        <v>480</v>
      </c>
      <c r="O298" s="4" t="s">
        <v>562</v>
      </c>
      <c r="R298" s="8"/>
      <c r="S298" s="8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EZ298" s="98"/>
      <c r="FA298" s="98"/>
      <c r="FB298" s="98"/>
      <c r="FC298" s="98"/>
      <c r="FD298" s="98"/>
    </row>
    <row r="299" spans="2:160" ht="12.75">
      <c r="B299" s="83">
        <f t="shared" si="24"/>
        <v>0</v>
      </c>
      <c r="C299" s="83">
        <f t="shared" si="25"/>
      </c>
      <c r="D299" s="83">
        <f t="shared" si="26"/>
      </c>
      <c r="E299" s="83">
        <f t="shared" si="27"/>
        <v>0</v>
      </c>
      <c r="F299" s="83">
        <f t="shared" si="28"/>
        <v>0</v>
      </c>
      <c r="G299" s="83">
        <f t="shared" si="29"/>
      </c>
      <c r="H299" s="101">
        <f>IF(AND(M299&gt;0,M299&lt;=STATS!$C$22),1,"")</f>
        <v>1</v>
      </c>
      <c r="J299" s="22">
        <v>298</v>
      </c>
      <c r="K299" s="112">
        <v>46.09696</v>
      </c>
      <c r="L299" s="112">
        <v>-91.22635</v>
      </c>
      <c r="M299" s="4">
        <v>2.5</v>
      </c>
      <c r="N299" s="4" t="s">
        <v>481</v>
      </c>
      <c r="O299" s="4" t="s">
        <v>562</v>
      </c>
      <c r="R299" s="8"/>
      <c r="S299" s="8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CG299" s="4" t="s">
        <v>483</v>
      </c>
      <c r="EZ299" s="98"/>
      <c r="FA299" s="98"/>
      <c r="FB299" s="98"/>
      <c r="FC299" s="98"/>
      <c r="FD299" s="98"/>
    </row>
    <row r="300" spans="2:160" ht="12.75">
      <c r="B300" s="83">
        <f t="shared" si="24"/>
        <v>2</v>
      </c>
      <c r="C300" s="83">
        <f t="shared" si="25"/>
        <v>2</v>
      </c>
      <c r="D300" s="83">
        <f t="shared" si="26"/>
        <v>2</v>
      </c>
      <c r="E300" s="83">
        <f t="shared" si="27"/>
        <v>2</v>
      </c>
      <c r="F300" s="83">
        <f t="shared" si="28"/>
        <v>2</v>
      </c>
      <c r="G300" s="83">
        <f t="shared" si="29"/>
        <v>3</v>
      </c>
      <c r="H300" s="101">
        <f>IF(AND(M300&gt;0,M300&lt;=STATS!$C$22),1,"")</f>
        <v>1</v>
      </c>
      <c r="J300" s="22">
        <v>299</v>
      </c>
      <c r="K300" s="112">
        <v>46.0972</v>
      </c>
      <c r="L300" s="112">
        <v>-91.24338</v>
      </c>
      <c r="M300" s="4">
        <v>3</v>
      </c>
      <c r="N300" s="4" t="s">
        <v>482</v>
      </c>
      <c r="O300" s="4" t="s">
        <v>562</v>
      </c>
      <c r="Q300" s="4">
        <v>2</v>
      </c>
      <c r="R300" s="8"/>
      <c r="S300" s="8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>
        <v>1</v>
      </c>
      <c r="AH300" s="24"/>
      <c r="BP300" s="4">
        <v>2</v>
      </c>
      <c r="EZ300" s="98"/>
      <c r="FA300" s="98"/>
      <c r="FB300" s="98"/>
      <c r="FC300" s="98"/>
      <c r="FD300" s="98"/>
    </row>
    <row r="301" spans="2:160" ht="12.75">
      <c r="B301" s="83">
        <f t="shared" si="24"/>
        <v>0</v>
      </c>
      <c r="C301" s="83">
        <f t="shared" si="25"/>
      </c>
      <c r="D301" s="83">
        <f t="shared" si="26"/>
      </c>
      <c r="E301" s="83">
        <f t="shared" si="27"/>
        <v>0</v>
      </c>
      <c r="F301" s="83">
        <f t="shared" si="28"/>
        <v>0</v>
      </c>
      <c r="G301" s="83">
        <f t="shared" si="29"/>
      </c>
      <c r="H301" s="101">
        <f>IF(AND(M301&gt;0,M301&lt;=STATS!$C$22),1,"")</f>
        <v>1</v>
      </c>
      <c r="J301" s="22">
        <v>300</v>
      </c>
      <c r="K301" s="112">
        <v>46.09721</v>
      </c>
      <c r="L301" s="112">
        <v>-91.24277</v>
      </c>
      <c r="M301" s="4">
        <v>5</v>
      </c>
      <c r="N301" s="4" t="s">
        <v>482</v>
      </c>
      <c r="O301" s="4" t="s">
        <v>562</v>
      </c>
      <c r="R301" s="8"/>
      <c r="S301" s="8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EZ301" s="98"/>
      <c r="FA301" s="98"/>
      <c r="FB301" s="98"/>
      <c r="FC301" s="98"/>
      <c r="FD301" s="98"/>
    </row>
    <row r="302" spans="2:160" ht="12.75">
      <c r="B302" s="83">
        <f t="shared" si="24"/>
        <v>2</v>
      </c>
      <c r="C302" s="83">
        <f t="shared" si="25"/>
        <v>2</v>
      </c>
      <c r="D302" s="83">
        <f t="shared" si="26"/>
        <v>2</v>
      </c>
      <c r="E302" s="83">
        <f t="shared" si="27"/>
        <v>2</v>
      </c>
      <c r="F302" s="83">
        <f t="shared" si="28"/>
        <v>2</v>
      </c>
      <c r="G302" s="83">
        <f t="shared" si="29"/>
        <v>5.5</v>
      </c>
      <c r="H302" s="101">
        <f>IF(AND(M302&gt;0,M302&lt;=STATS!$C$22),1,"")</f>
        <v>1</v>
      </c>
      <c r="J302" s="22">
        <v>301</v>
      </c>
      <c r="K302" s="112">
        <v>46.09722</v>
      </c>
      <c r="L302" s="112">
        <v>-91.24217</v>
      </c>
      <c r="M302" s="4">
        <v>5.5</v>
      </c>
      <c r="N302" s="4" t="s">
        <v>480</v>
      </c>
      <c r="O302" s="4" t="s">
        <v>562</v>
      </c>
      <c r="Q302" s="4">
        <v>2</v>
      </c>
      <c r="R302" s="8"/>
      <c r="S302" s="8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CW302" s="4">
        <v>1</v>
      </c>
      <c r="DA302" s="4">
        <v>2</v>
      </c>
      <c r="EZ302" s="98"/>
      <c r="FA302" s="98"/>
      <c r="FB302" s="98"/>
      <c r="FC302" s="98"/>
      <c r="FD302" s="98"/>
    </row>
    <row r="303" spans="2:160" ht="12.75">
      <c r="B303" s="83">
        <f t="shared" si="24"/>
        <v>0</v>
      </c>
      <c r="C303" s="83">
        <f t="shared" si="25"/>
      </c>
      <c r="D303" s="83">
        <f t="shared" si="26"/>
      </c>
      <c r="E303" s="83">
        <f t="shared" si="27"/>
        <v>0</v>
      </c>
      <c r="F303" s="83">
        <f t="shared" si="28"/>
        <v>0</v>
      </c>
      <c r="G303" s="83">
        <f t="shared" si="29"/>
      </c>
      <c r="H303" s="101">
        <f>IF(AND(M303&gt;0,M303&lt;=STATS!$C$22),1,"")</f>
        <v>1</v>
      </c>
      <c r="J303" s="22">
        <v>302</v>
      </c>
      <c r="K303" s="112">
        <v>46.09722</v>
      </c>
      <c r="L303" s="112">
        <v>-91.24156</v>
      </c>
      <c r="M303" s="4">
        <v>6</v>
      </c>
      <c r="N303" s="4" t="s">
        <v>480</v>
      </c>
      <c r="O303" s="4" t="s">
        <v>562</v>
      </c>
      <c r="R303" s="8"/>
      <c r="S303" s="8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EZ303" s="98"/>
      <c r="FA303" s="98"/>
      <c r="FB303" s="98"/>
      <c r="FC303" s="98"/>
      <c r="FD303" s="98"/>
    </row>
    <row r="304" spans="2:160" ht="12.75">
      <c r="B304" s="83">
        <f t="shared" si="24"/>
        <v>0</v>
      </c>
      <c r="C304" s="83">
        <f t="shared" si="25"/>
      </c>
      <c r="D304" s="83">
        <f t="shared" si="26"/>
      </c>
      <c r="E304" s="83">
        <f t="shared" si="27"/>
        <v>0</v>
      </c>
      <c r="F304" s="83">
        <f t="shared" si="28"/>
        <v>0</v>
      </c>
      <c r="G304" s="83">
        <f t="shared" si="29"/>
      </c>
      <c r="H304" s="101">
        <f>IF(AND(M304&gt;0,M304&lt;=STATS!$C$22),1,"")</f>
        <v>1</v>
      </c>
      <c r="J304" s="22">
        <v>303</v>
      </c>
      <c r="K304" s="112">
        <v>46.09723</v>
      </c>
      <c r="L304" s="112">
        <v>-91.24095</v>
      </c>
      <c r="M304" s="4">
        <v>6</v>
      </c>
      <c r="N304" s="4" t="s">
        <v>480</v>
      </c>
      <c r="O304" s="4" t="s">
        <v>562</v>
      </c>
      <c r="R304" s="8"/>
      <c r="S304" s="8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EZ304" s="98"/>
      <c r="FA304" s="98"/>
      <c r="FB304" s="98"/>
      <c r="FC304" s="98"/>
      <c r="FD304" s="98"/>
    </row>
    <row r="305" spans="2:160" ht="12.75">
      <c r="B305" s="83">
        <f t="shared" si="24"/>
        <v>0</v>
      </c>
      <c r="C305" s="83">
        <f t="shared" si="25"/>
      </c>
      <c r="D305" s="83">
        <f t="shared" si="26"/>
      </c>
      <c r="E305" s="83">
        <f t="shared" si="27"/>
        <v>0</v>
      </c>
      <c r="F305" s="83">
        <f t="shared" si="28"/>
        <v>0</v>
      </c>
      <c r="G305" s="83">
        <f t="shared" si="29"/>
      </c>
      <c r="H305" s="101">
        <f>IF(AND(M305&gt;0,M305&lt;=STATS!$C$22),1,"")</f>
        <v>1</v>
      </c>
      <c r="J305" s="22">
        <v>304</v>
      </c>
      <c r="K305" s="112">
        <v>46.09724</v>
      </c>
      <c r="L305" s="112">
        <v>-91.24034</v>
      </c>
      <c r="M305" s="4">
        <v>6</v>
      </c>
      <c r="N305" s="4" t="s">
        <v>480</v>
      </c>
      <c r="O305" s="4" t="s">
        <v>562</v>
      </c>
      <c r="R305" s="8"/>
      <c r="S305" s="8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EZ305" s="98"/>
      <c r="FA305" s="98"/>
      <c r="FB305" s="98"/>
      <c r="FC305" s="98"/>
      <c r="FD305" s="98"/>
    </row>
    <row r="306" spans="2:160" ht="12.75">
      <c r="B306" s="83">
        <f t="shared" si="24"/>
        <v>0</v>
      </c>
      <c r="C306" s="83">
        <f t="shared" si="25"/>
      </c>
      <c r="D306" s="83">
        <f t="shared" si="26"/>
      </c>
      <c r="E306" s="83">
        <f t="shared" si="27"/>
        <v>0</v>
      </c>
      <c r="F306" s="83">
        <f t="shared" si="28"/>
        <v>0</v>
      </c>
      <c r="G306" s="83">
        <f t="shared" si="29"/>
      </c>
      <c r="H306" s="101">
        <f>IF(AND(M306&gt;0,M306&lt;=STATS!$C$22),1,"")</f>
        <v>1</v>
      </c>
      <c r="J306" s="22">
        <v>305</v>
      </c>
      <c r="K306" s="112">
        <v>46.09724</v>
      </c>
      <c r="L306" s="112">
        <v>-91.23974</v>
      </c>
      <c r="M306" s="4">
        <v>6</v>
      </c>
      <c r="N306" s="4" t="s">
        <v>480</v>
      </c>
      <c r="O306" s="4" t="s">
        <v>562</v>
      </c>
      <c r="R306" s="8"/>
      <c r="S306" s="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EZ306" s="98"/>
      <c r="FA306" s="98"/>
      <c r="FB306" s="98"/>
      <c r="FC306" s="98"/>
      <c r="FD306" s="98"/>
    </row>
    <row r="307" spans="2:160" ht="12.75">
      <c r="B307" s="83">
        <f t="shared" si="24"/>
        <v>0</v>
      </c>
      <c r="C307" s="83">
        <f t="shared" si="25"/>
      </c>
      <c r="D307" s="83">
        <f t="shared" si="26"/>
      </c>
      <c r="E307" s="83">
        <f t="shared" si="27"/>
        <v>0</v>
      </c>
      <c r="F307" s="83">
        <f t="shared" si="28"/>
        <v>0</v>
      </c>
      <c r="G307" s="83">
        <f t="shared" si="29"/>
      </c>
      <c r="H307" s="101">
        <f>IF(AND(M307&gt;0,M307&lt;=STATS!$C$22),1,"")</f>
        <v>1</v>
      </c>
      <c r="J307" s="22">
        <v>306</v>
      </c>
      <c r="K307" s="112">
        <v>46.09725</v>
      </c>
      <c r="L307" s="112">
        <v>-91.23913</v>
      </c>
      <c r="M307" s="4">
        <v>6</v>
      </c>
      <c r="N307" s="4" t="s">
        <v>480</v>
      </c>
      <c r="O307" s="4" t="s">
        <v>562</v>
      </c>
      <c r="R307" s="8"/>
      <c r="S307" s="8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EZ307" s="98"/>
      <c r="FA307" s="98"/>
      <c r="FB307" s="98"/>
      <c r="FC307" s="98"/>
      <c r="FD307" s="98"/>
    </row>
    <row r="308" spans="2:160" ht="12.75">
      <c r="B308" s="83">
        <f t="shared" si="24"/>
        <v>1</v>
      </c>
      <c r="C308" s="83">
        <f t="shared" si="25"/>
        <v>1</v>
      </c>
      <c r="D308" s="83">
        <f t="shared" si="26"/>
        <v>1</v>
      </c>
      <c r="E308" s="83">
        <f t="shared" si="27"/>
        <v>1</v>
      </c>
      <c r="F308" s="83">
        <f t="shared" si="28"/>
        <v>1</v>
      </c>
      <c r="G308" s="83">
        <f t="shared" si="29"/>
        <v>6</v>
      </c>
      <c r="H308" s="101">
        <f>IF(AND(M308&gt;0,M308&lt;=STATS!$C$22),1,"")</f>
        <v>1</v>
      </c>
      <c r="J308" s="22">
        <v>307</v>
      </c>
      <c r="K308" s="112">
        <v>46.09725</v>
      </c>
      <c r="L308" s="112">
        <v>-91.23852</v>
      </c>
      <c r="M308" s="4">
        <v>6</v>
      </c>
      <c r="N308" s="4" t="s">
        <v>480</v>
      </c>
      <c r="O308" s="4" t="s">
        <v>562</v>
      </c>
      <c r="Q308" s="4">
        <v>1</v>
      </c>
      <c r="R308" s="8"/>
      <c r="S308" s="8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BR308" s="4">
        <v>1</v>
      </c>
      <c r="EZ308" s="98"/>
      <c r="FA308" s="98"/>
      <c r="FB308" s="98"/>
      <c r="FC308" s="98"/>
      <c r="FD308" s="98"/>
    </row>
    <row r="309" spans="2:160" ht="12.75">
      <c r="B309" s="83">
        <f t="shared" si="24"/>
        <v>2</v>
      </c>
      <c r="C309" s="83">
        <f t="shared" si="25"/>
        <v>2</v>
      </c>
      <c r="D309" s="83">
        <f t="shared" si="26"/>
        <v>2</v>
      </c>
      <c r="E309" s="83">
        <f t="shared" si="27"/>
        <v>2</v>
      </c>
      <c r="F309" s="83">
        <f t="shared" si="28"/>
        <v>2</v>
      </c>
      <c r="G309" s="83">
        <f t="shared" si="29"/>
        <v>6</v>
      </c>
      <c r="H309" s="101">
        <f>IF(AND(M309&gt;0,M309&lt;=STATS!$C$22),1,"")</f>
        <v>1</v>
      </c>
      <c r="J309" s="22">
        <v>308</v>
      </c>
      <c r="K309" s="112">
        <v>46.09726</v>
      </c>
      <c r="L309" s="112">
        <v>-91.23791</v>
      </c>
      <c r="M309" s="4">
        <v>6</v>
      </c>
      <c r="N309" s="4" t="s">
        <v>480</v>
      </c>
      <c r="O309" s="4" t="s">
        <v>562</v>
      </c>
      <c r="Q309" s="4">
        <v>1</v>
      </c>
      <c r="R309" s="8"/>
      <c r="S309" s="8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>
        <v>1</v>
      </c>
      <c r="AH309" s="24"/>
      <c r="BR309" s="4">
        <v>1</v>
      </c>
      <c r="EZ309" s="98"/>
      <c r="FA309" s="98"/>
      <c r="FB309" s="98"/>
      <c r="FC309" s="98"/>
      <c r="FD309" s="98"/>
    </row>
    <row r="310" spans="2:160" ht="12.75">
      <c r="B310" s="83">
        <f t="shared" si="24"/>
        <v>0</v>
      </c>
      <c r="C310" s="83">
        <f t="shared" si="25"/>
      </c>
      <c r="D310" s="83">
        <f t="shared" si="26"/>
      </c>
      <c r="E310" s="83">
        <f t="shared" si="27"/>
        <v>0</v>
      </c>
      <c r="F310" s="83">
        <f t="shared" si="28"/>
        <v>0</v>
      </c>
      <c r="G310" s="83">
        <f t="shared" si="29"/>
      </c>
      <c r="H310" s="101">
        <f>IF(AND(M310&gt;0,M310&lt;=STATS!$C$22),1,"")</f>
        <v>1</v>
      </c>
      <c r="J310" s="22">
        <v>309</v>
      </c>
      <c r="K310" s="112">
        <v>46.09727</v>
      </c>
      <c r="L310" s="112">
        <v>-91.2373</v>
      </c>
      <c r="M310" s="4">
        <v>6.5</v>
      </c>
      <c r="N310" s="4" t="s">
        <v>480</v>
      </c>
      <c r="O310" s="4" t="s">
        <v>562</v>
      </c>
      <c r="R310" s="8"/>
      <c r="S310" s="8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EZ310" s="98"/>
      <c r="FA310" s="98"/>
      <c r="FB310" s="98"/>
      <c r="FC310" s="98"/>
      <c r="FD310" s="98"/>
    </row>
    <row r="311" spans="2:160" ht="12.75">
      <c r="B311" s="83">
        <f t="shared" si="24"/>
        <v>0</v>
      </c>
      <c r="C311" s="83">
        <f t="shared" si="25"/>
      </c>
      <c r="D311" s="83">
        <f t="shared" si="26"/>
      </c>
      <c r="E311" s="83">
        <f t="shared" si="27"/>
        <v>0</v>
      </c>
      <c r="F311" s="83">
        <f t="shared" si="28"/>
        <v>0</v>
      </c>
      <c r="G311" s="83">
        <f t="shared" si="29"/>
      </c>
      <c r="H311" s="101">
        <f>IF(AND(M311&gt;0,M311&lt;=STATS!$C$22),1,"")</f>
        <v>1</v>
      </c>
      <c r="J311" s="22">
        <v>310</v>
      </c>
      <c r="K311" s="112">
        <v>46.09728</v>
      </c>
      <c r="L311" s="112">
        <v>-91.2367</v>
      </c>
      <c r="M311" s="4">
        <v>6.5</v>
      </c>
      <c r="N311" s="4" t="s">
        <v>480</v>
      </c>
      <c r="O311" s="4" t="s">
        <v>562</v>
      </c>
      <c r="R311" s="8"/>
      <c r="S311" s="8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EZ311" s="98"/>
      <c r="FA311" s="98"/>
      <c r="FB311" s="98"/>
      <c r="FC311" s="98"/>
      <c r="FD311" s="98"/>
    </row>
    <row r="312" spans="2:160" ht="12.75">
      <c r="B312" s="83">
        <f t="shared" si="24"/>
        <v>0</v>
      </c>
      <c r="C312" s="83">
        <f t="shared" si="25"/>
      </c>
      <c r="D312" s="83">
        <f t="shared" si="26"/>
      </c>
      <c r="E312" s="83">
        <f t="shared" si="27"/>
        <v>0</v>
      </c>
      <c r="F312" s="83">
        <f t="shared" si="28"/>
        <v>0</v>
      </c>
      <c r="G312" s="83">
        <f t="shared" si="29"/>
      </c>
      <c r="H312" s="101">
        <f>IF(AND(M312&gt;0,M312&lt;=STATS!$C$22),1,"")</f>
        <v>1</v>
      </c>
      <c r="J312" s="22">
        <v>311</v>
      </c>
      <c r="K312" s="112">
        <v>46.09728</v>
      </c>
      <c r="L312" s="112">
        <v>-91.23609</v>
      </c>
      <c r="M312" s="4">
        <v>7</v>
      </c>
      <c r="N312" s="4" t="s">
        <v>480</v>
      </c>
      <c r="O312" s="4" t="s">
        <v>562</v>
      </c>
      <c r="R312" s="8"/>
      <c r="S312" s="8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EZ312" s="98"/>
      <c r="FA312" s="98"/>
      <c r="FB312" s="98"/>
      <c r="FC312" s="98"/>
      <c r="FD312" s="98"/>
    </row>
    <row r="313" spans="2:160" ht="12.75">
      <c r="B313" s="83">
        <f t="shared" si="24"/>
        <v>0</v>
      </c>
      <c r="C313" s="83">
        <f t="shared" si="25"/>
      </c>
      <c r="D313" s="83">
        <f t="shared" si="26"/>
      </c>
      <c r="E313" s="83">
        <f t="shared" si="27"/>
        <v>0</v>
      </c>
      <c r="F313" s="83">
        <f t="shared" si="28"/>
        <v>0</v>
      </c>
      <c r="G313" s="83">
        <f t="shared" si="29"/>
      </c>
      <c r="H313" s="101">
        <f>IF(AND(M313&gt;0,M313&lt;=STATS!$C$22),1,"")</f>
        <v>1</v>
      </c>
      <c r="J313" s="22">
        <v>312</v>
      </c>
      <c r="K313" s="112">
        <v>46.09729</v>
      </c>
      <c r="L313" s="112">
        <v>-91.23548</v>
      </c>
      <c r="M313" s="4">
        <v>7</v>
      </c>
      <c r="N313" s="4" t="s">
        <v>480</v>
      </c>
      <c r="O313" s="4" t="s">
        <v>562</v>
      </c>
      <c r="R313" s="8"/>
      <c r="S313" s="8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EZ313" s="98"/>
      <c r="FA313" s="98"/>
      <c r="FB313" s="98"/>
      <c r="FC313" s="98"/>
      <c r="FD313" s="98"/>
    </row>
    <row r="314" spans="2:160" ht="12.75">
      <c r="B314" s="83">
        <f t="shared" si="24"/>
        <v>0</v>
      </c>
      <c r="C314" s="83">
        <f t="shared" si="25"/>
      </c>
      <c r="D314" s="83">
        <f t="shared" si="26"/>
      </c>
      <c r="E314" s="83">
        <f t="shared" si="27"/>
        <v>0</v>
      </c>
      <c r="F314" s="83">
        <f t="shared" si="28"/>
        <v>0</v>
      </c>
      <c r="G314" s="83">
        <f t="shared" si="29"/>
      </c>
      <c r="H314" s="101">
        <f>IF(AND(M314&gt;0,M314&lt;=STATS!$C$22),1,"")</f>
        <v>1</v>
      </c>
      <c r="J314" s="22">
        <v>313</v>
      </c>
      <c r="K314" s="112">
        <v>46.09729</v>
      </c>
      <c r="L314" s="112">
        <v>-91.23487</v>
      </c>
      <c r="M314" s="4">
        <v>7</v>
      </c>
      <c r="N314" s="4" t="s">
        <v>480</v>
      </c>
      <c r="O314" s="4" t="s">
        <v>562</v>
      </c>
      <c r="R314" s="8"/>
      <c r="S314" s="8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EZ314" s="98"/>
      <c r="FA314" s="98"/>
      <c r="FB314" s="98"/>
      <c r="FC314" s="98"/>
      <c r="FD314" s="98"/>
    </row>
    <row r="315" spans="2:160" ht="12.75">
      <c r="B315" s="83">
        <f t="shared" si="24"/>
        <v>0</v>
      </c>
      <c r="C315" s="83">
        <f t="shared" si="25"/>
      </c>
      <c r="D315" s="83">
        <f t="shared" si="26"/>
      </c>
      <c r="E315" s="83">
        <f t="shared" si="27"/>
        <v>0</v>
      </c>
      <c r="F315" s="83">
        <f t="shared" si="28"/>
        <v>0</v>
      </c>
      <c r="G315" s="83">
        <f t="shared" si="29"/>
      </c>
      <c r="H315" s="101">
        <f>IF(AND(M315&gt;0,M315&lt;=STATS!$C$22),1,"")</f>
        <v>1</v>
      </c>
      <c r="J315" s="22">
        <v>314</v>
      </c>
      <c r="K315" s="112">
        <v>46.0973</v>
      </c>
      <c r="L315" s="112">
        <v>-91.23426</v>
      </c>
      <c r="M315" s="4">
        <v>7</v>
      </c>
      <c r="N315" s="4" t="s">
        <v>480</v>
      </c>
      <c r="O315" s="4" t="s">
        <v>562</v>
      </c>
      <c r="R315" s="8"/>
      <c r="S315" s="8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CI315" s="4" t="s">
        <v>483</v>
      </c>
      <c r="EZ315" s="98"/>
      <c r="FA315" s="98"/>
      <c r="FB315" s="98"/>
      <c r="FC315" s="98"/>
      <c r="FD315" s="98"/>
    </row>
    <row r="316" spans="2:160" ht="12.75">
      <c r="B316" s="83">
        <f t="shared" si="24"/>
        <v>4</v>
      </c>
      <c r="C316" s="83">
        <f t="shared" si="25"/>
        <v>4</v>
      </c>
      <c r="D316" s="83">
        <f t="shared" si="26"/>
        <v>4</v>
      </c>
      <c r="E316" s="83">
        <f t="shared" si="27"/>
        <v>4</v>
      </c>
      <c r="F316" s="83">
        <f t="shared" si="28"/>
        <v>4</v>
      </c>
      <c r="G316" s="83">
        <f t="shared" si="29"/>
        <v>6.5</v>
      </c>
      <c r="H316" s="101">
        <f>IF(AND(M316&gt;0,M316&lt;=STATS!$C$22),1,"")</f>
        <v>1</v>
      </c>
      <c r="J316" s="22">
        <v>315</v>
      </c>
      <c r="K316" s="112">
        <v>46.09731</v>
      </c>
      <c r="L316" s="112">
        <v>-91.23366</v>
      </c>
      <c r="M316" s="4">
        <v>6.5</v>
      </c>
      <c r="N316" s="4" t="s">
        <v>480</v>
      </c>
      <c r="O316" s="4" t="s">
        <v>562</v>
      </c>
      <c r="Q316" s="4">
        <v>2</v>
      </c>
      <c r="R316" s="8"/>
      <c r="S316" s="8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BT316" s="4">
        <v>2</v>
      </c>
      <c r="CI316" s="4">
        <v>2</v>
      </c>
      <c r="DA316" s="4">
        <v>1</v>
      </c>
      <c r="DK316" s="4">
        <v>1</v>
      </c>
      <c r="EZ316" s="98"/>
      <c r="FA316" s="98"/>
      <c r="FB316" s="98"/>
      <c r="FC316" s="98"/>
      <c r="FD316" s="98"/>
    </row>
    <row r="317" spans="2:160" ht="12.75">
      <c r="B317" s="83">
        <f t="shared" si="24"/>
        <v>1</v>
      </c>
      <c r="C317" s="83">
        <f t="shared" si="25"/>
        <v>1</v>
      </c>
      <c r="D317" s="83">
        <f t="shared" si="26"/>
        <v>1</v>
      </c>
      <c r="E317" s="83">
        <f t="shared" si="27"/>
        <v>1</v>
      </c>
      <c r="F317" s="83">
        <f t="shared" si="28"/>
        <v>1</v>
      </c>
      <c r="G317" s="83">
        <f t="shared" si="29"/>
        <v>6.5</v>
      </c>
      <c r="H317" s="101">
        <f>IF(AND(M317&gt;0,M317&lt;=STATS!$C$22),1,"")</f>
        <v>1</v>
      </c>
      <c r="J317" s="22">
        <v>316</v>
      </c>
      <c r="K317" s="112">
        <v>46.09731</v>
      </c>
      <c r="L317" s="112">
        <v>-91.23305</v>
      </c>
      <c r="M317" s="4">
        <v>6.5</v>
      </c>
      <c r="N317" s="4" t="s">
        <v>480</v>
      </c>
      <c r="O317" s="4" t="s">
        <v>562</v>
      </c>
      <c r="Q317" s="4">
        <v>1</v>
      </c>
      <c r="R317" s="8"/>
      <c r="S317" s="8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CI317" s="4">
        <v>1</v>
      </c>
      <c r="CW317" s="4" t="s">
        <v>483</v>
      </c>
      <c r="EZ317" s="98"/>
      <c r="FA317" s="98"/>
      <c r="FB317" s="98"/>
      <c r="FC317" s="98"/>
      <c r="FD317" s="98"/>
    </row>
    <row r="318" spans="2:160" ht="12.75">
      <c r="B318" s="83">
        <f t="shared" si="24"/>
        <v>3</v>
      </c>
      <c r="C318" s="83">
        <f t="shared" si="25"/>
        <v>3</v>
      </c>
      <c r="D318" s="83">
        <f t="shared" si="26"/>
        <v>3</v>
      </c>
      <c r="E318" s="83">
        <f t="shared" si="27"/>
        <v>3</v>
      </c>
      <c r="F318" s="83">
        <f t="shared" si="28"/>
        <v>3</v>
      </c>
      <c r="G318" s="83">
        <f t="shared" si="29"/>
        <v>6</v>
      </c>
      <c r="H318" s="101">
        <f>IF(AND(M318&gt;0,M318&lt;=STATS!$C$22),1,"")</f>
        <v>1</v>
      </c>
      <c r="J318" s="22">
        <v>317</v>
      </c>
      <c r="K318" s="112">
        <v>46.09732</v>
      </c>
      <c r="L318" s="112">
        <v>-91.23244</v>
      </c>
      <c r="M318" s="4">
        <v>6</v>
      </c>
      <c r="N318" s="4" t="s">
        <v>480</v>
      </c>
      <c r="O318" s="4" t="s">
        <v>562</v>
      </c>
      <c r="Q318" s="4">
        <v>2</v>
      </c>
      <c r="R318" s="8"/>
      <c r="S318" s="8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>
        <v>2</v>
      </c>
      <c r="AH318" s="24"/>
      <c r="BR318" s="4">
        <v>1</v>
      </c>
      <c r="CI318" s="4">
        <v>1</v>
      </c>
      <c r="CW318" s="4" t="s">
        <v>483</v>
      </c>
      <c r="EZ318" s="98"/>
      <c r="FA318" s="98"/>
      <c r="FB318" s="98"/>
      <c r="FC318" s="98"/>
      <c r="FD318" s="98"/>
    </row>
    <row r="319" spans="2:160" ht="12.75">
      <c r="B319" s="83">
        <f t="shared" si="24"/>
        <v>2</v>
      </c>
      <c r="C319" s="83">
        <f t="shared" si="25"/>
        <v>2</v>
      </c>
      <c r="D319" s="83">
        <f t="shared" si="26"/>
        <v>2</v>
      </c>
      <c r="E319" s="83">
        <f t="shared" si="27"/>
        <v>2</v>
      </c>
      <c r="F319" s="83">
        <f t="shared" si="28"/>
        <v>2</v>
      </c>
      <c r="G319" s="83">
        <f t="shared" si="29"/>
        <v>7</v>
      </c>
      <c r="H319" s="101">
        <f>IF(AND(M319&gt;0,M319&lt;=STATS!$C$22),1,"")</f>
        <v>1</v>
      </c>
      <c r="J319" s="22">
        <v>318</v>
      </c>
      <c r="K319" s="112">
        <v>46.09733</v>
      </c>
      <c r="L319" s="112">
        <v>-91.23183</v>
      </c>
      <c r="M319" s="4">
        <v>7</v>
      </c>
      <c r="N319" s="4" t="s">
        <v>480</v>
      </c>
      <c r="O319" s="4" t="s">
        <v>562</v>
      </c>
      <c r="Q319" s="4">
        <v>2</v>
      </c>
      <c r="R319" s="8"/>
      <c r="S319" s="8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DA319" s="4">
        <v>2</v>
      </c>
      <c r="ES319" s="4">
        <v>1</v>
      </c>
      <c r="EZ319" s="98"/>
      <c r="FA319" s="98"/>
      <c r="FB319" s="98"/>
      <c r="FC319" s="98"/>
      <c r="FD319" s="98"/>
    </row>
    <row r="320" spans="2:160" ht="12.75">
      <c r="B320" s="83">
        <f t="shared" si="24"/>
        <v>2</v>
      </c>
      <c r="C320" s="83">
        <f t="shared" si="25"/>
        <v>2</v>
      </c>
      <c r="D320" s="83">
        <f t="shared" si="26"/>
        <v>2</v>
      </c>
      <c r="E320" s="83">
        <f t="shared" si="27"/>
        <v>2</v>
      </c>
      <c r="F320" s="83">
        <f t="shared" si="28"/>
        <v>2</v>
      </c>
      <c r="G320" s="83">
        <f t="shared" si="29"/>
        <v>6.5</v>
      </c>
      <c r="H320" s="101">
        <f>IF(AND(M320&gt;0,M320&lt;=STATS!$C$22),1,"")</f>
        <v>1</v>
      </c>
      <c r="J320" s="22">
        <v>319</v>
      </c>
      <c r="K320" s="112">
        <v>46.09733</v>
      </c>
      <c r="L320" s="112">
        <v>-91.23122</v>
      </c>
      <c r="M320" s="4">
        <v>6.5</v>
      </c>
      <c r="N320" s="4" t="s">
        <v>480</v>
      </c>
      <c r="O320" s="4" t="s">
        <v>562</v>
      </c>
      <c r="Q320" s="4">
        <v>1</v>
      </c>
      <c r="R320" s="8"/>
      <c r="S320" s="8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BR320" s="4">
        <v>1</v>
      </c>
      <c r="CI320" s="4">
        <v>1</v>
      </c>
      <c r="EZ320" s="98"/>
      <c r="FA320" s="98"/>
      <c r="FB320" s="98"/>
      <c r="FC320" s="98"/>
      <c r="FD320" s="98"/>
    </row>
    <row r="321" spans="2:160" ht="12.75">
      <c r="B321" s="83">
        <f t="shared" si="24"/>
        <v>2</v>
      </c>
      <c r="C321" s="83">
        <f t="shared" si="25"/>
        <v>2</v>
      </c>
      <c r="D321" s="83">
        <f t="shared" si="26"/>
        <v>2</v>
      </c>
      <c r="E321" s="83">
        <f t="shared" si="27"/>
        <v>2</v>
      </c>
      <c r="F321" s="83">
        <f t="shared" si="28"/>
        <v>2</v>
      </c>
      <c r="G321" s="83">
        <f t="shared" si="29"/>
        <v>7</v>
      </c>
      <c r="H321" s="101">
        <f>IF(AND(M321&gt;0,M321&lt;=STATS!$C$22),1,"")</f>
        <v>1</v>
      </c>
      <c r="J321" s="22">
        <v>320</v>
      </c>
      <c r="K321" s="112">
        <v>46.09734</v>
      </c>
      <c r="L321" s="112">
        <v>-91.23062</v>
      </c>
      <c r="M321" s="4">
        <v>7</v>
      </c>
      <c r="N321" s="4" t="s">
        <v>480</v>
      </c>
      <c r="O321" s="4" t="s">
        <v>562</v>
      </c>
      <c r="Q321" s="4">
        <v>2</v>
      </c>
      <c r="R321" s="8"/>
      <c r="S321" s="8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CI321" s="4">
        <v>1</v>
      </c>
      <c r="DA321" s="4">
        <v>2</v>
      </c>
      <c r="EZ321" s="98"/>
      <c r="FA321" s="98"/>
      <c r="FB321" s="98"/>
      <c r="FC321" s="98"/>
      <c r="FD321" s="98"/>
    </row>
    <row r="322" spans="2:160" ht="12.75">
      <c r="B322" s="83">
        <f aca="true" t="shared" si="30" ref="B322:B385">COUNT(R322:EY322,FE322:FM322)</f>
        <v>0</v>
      </c>
      <c r="C322" s="83">
        <f aca="true" t="shared" si="31" ref="C322:C385">IF(COUNT(R322:EY322,FE322:FM322)&gt;0,COUNT(R322:EY322,FE322:FM322),"")</f>
      </c>
      <c r="D322" s="83">
        <f aca="true" t="shared" si="32" ref="D322:D385">IF(COUNT(T322:BJ322,BL322:BT322,BV322:CB322,CD322:EY322,FE322:FM322)&gt;0,COUNT(T322:BJ322,BL322:BT322,BV322:CB322,CD322:EY322,FE322:FM322),"")</f>
      </c>
      <c r="E322" s="83">
        <f aca="true" t="shared" si="33" ref="E322:E385">IF(H322=1,COUNT(R322:EY322,FE322:FM322),"")</f>
      </c>
      <c r="F322" s="83">
        <f aca="true" t="shared" si="34" ref="F322:F385">IF(H322=1,COUNT(T322:BJ322,BL322:BT322,BV322:CB322,CD322:EY322,FE322:FM322),"")</f>
      </c>
      <c r="G322" s="83">
        <f aca="true" t="shared" si="35" ref="G322:G385">IF($B322&gt;=1,$M322,"")</f>
      </c>
      <c r="H322" s="101">
        <f>IF(AND(M322&gt;0,M322&lt;=STATS!$C$22),1,"")</f>
      </c>
      <c r="J322" s="22">
        <v>321</v>
      </c>
      <c r="K322" s="112">
        <v>46.09735</v>
      </c>
      <c r="L322" s="112">
        <v>-91.23001</v>
      </c>
      <c r="M322" s="4">
        <v>26</v>
      </c>
      <c r="N322" s="4" t="s">
        <v>480</v>
      </c>
      <c r="O322" s="4" t="s">
        <v>482</v>
      </c>
      <c r="R322" s="8"/>
      <c r="S322" s="8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EZ322" s="98"/>
      <c r="FA322" s="98"/>
      <c r="FB322" s="98"/>
      <c r="FC322" s="98"/>
      <c r="FD322" s="98"/>
    </row>
    <row r="323" spans="2:160" ht="12.75">
      <c r="B323" s="83">
        <f t="shared" si="30"/>
        <v>0</v>
      </c>
      <c r="C323" s="83">
        <f t="shared" si="31"/>
      </c>
      <c r="D323" s="83">
        <f t="shared" si="32"/>
      </c>
      <c r="E323" s="83">
        <f t="shared" si="33"/>
        <v>0</v>
      </c>
      <c r="F323" s="83">
        <f t="shared" si="34"/>
        <v>0</v>
      </c>
      <c r="G323" s="83">
        <f t="shared" si="35"/>
      </c>
      <c r="H323" s="101">
        <f>IF(AND(M323&gt;0,M323&lt;=STATS!$C$22),1,"")</f>
        <v>1</v>
      </c>
      <c r="J323" s="22">
        <v>322</v>
      </c>
      <c r="K323" s="112">
        <v>46.09735</v>
      </c>
      <c r="L323" s="112">
        <v>-91.2294</v>
      </c>
      <c r="M323" s="4">
        <v>12.5</v>
      </c>
      <c r="N323" s="4" t="s">
        <v>480</v>
      </c>
      <c r="O323" s="4" t="s">
        <v>562</v>
      </c>
      <c r="R323" s="8"/>
      <c r="S323" s="8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EZ323" s="98"/>
      <c r="FA323" s="98"/>
      <c r="FB323" s="98"/>
      <c r="FC323" s="98"/>
      <c r="FD323" s="98"/>
    </row>
    <row r="324" spans="2:160" ht="12.75">
      <c r="B324" s="83">
        <f t="shared" si="30"/>
        <v>1</v>
      </c>
      <c r="C324" s="83">
        <f t="shared" si="31"/>
        <v>1</v>
      </c>
      <c r="D324" s="83">
        <f t="shared" si="32"/>
        <v>1</v>
      </c>
      <c r="E324" s="83">
        <f t="shared" si="33"/>
        <v>1</v>
      </c>
      <c r="F324" s="83">
        <f t="shared" si="34"/>
        <v>1</v>
      </c>
      <c r="G324" s="83">
        <f t="shared" si="35"/>
        <v>2</v>
      </c>
      <c r="H324" s="101">
        <f>IF(AND(M324&gt;0,M324&lt;=STATS!$C$22),1,"")</f>
        <v>1</v>
      </c>
      <c r="J324" s="22">
        <v>323</v>
      </c>
      <c r="K324" s="112">
        <v>46.09736</v>
      </c>
      <c r="L324" s="112">
        <v>-91.22879</v>
      </c>
      <c r="M324" s="4">
        <v>2</v>
      </c>
      <c r="N324" s="4" t="s">
        <v>482</v>
      </c>
      <c r="O324" s="4" t="s">
        <v>562</v>
      </c>
      <c r="Q324" s="4">
        <v>1</v>
      </c>
      <c r="R324" s="8"/>
      <c r="S324" s="8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>
        <v>1</v>
      </c>
      <c r="AH324" s="24"/>
      <c r="EZ324" s="98"/>
      <c r="FA324" s="98"/>
      <c r="FB324" s="98"/>
      <c r="FC324" s="98"/>
      <c r="FD324" s="98"/>
    </row>
    <row r="325" spans="2:160" ht="12.75">
      <c r="B325" s="83">
        <f t="shared" si="30"/>
        <v>2</v>
      </c>
      <c r="C325" s="83">
        <f t="shared" si="31"/>
        <v>2</v>
      </c>
      <c r="D325" s="83">
        <f t="shared" si="32"/>
        <v>2</v>
      </c>
      <c r="E325" s="83">
        <f t="shared" si="33"/>
        <v>2</v>
      </c>
      <c r="F325" s="83">
        <f t="shared" si="34"/>
        <v>2</v>
      </c>
      <c r="G325" s="83">
        <f t="shared" si="35"/>
        <v>6</v>
      </c>
      <c r="H325" s="101">
        <f>IF(AND(M325&gt;0,M325&lt;=STATS!$C$22),1,"")</f>
        <v>1</v>
      </c>
      <c r="J325" s="22">
        <v>324</v>
      </c>
      <c r="K325" s="112">
        <v>46.09737</v>
      </c>
      <c r="L325" s="112">
        <v>-91.22819</v>
      </c>
      <c r="M325" s="4">
        <v>6</v>
      </c>
      <c r="N325" s="4" t="s">
        <v>480</v>
      </c>
      <c r="O325" s="4" t="s">
        <v>562</v>
      </c>
      <c r="Q325" s="4">
        <v>1</v>
      </c>
      <c r="R325" s="8"/>
      <c r="S325" s="8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CB325" s="4" t="s">
        <v>483</v>
      </c>
      <c r="CW325" s="4">
        <v>1</v>
      </c>
      <c r="DK325" s="4">
        <v>1</v>
      </c>
      <c r="EZ325" s="98"/>
      <c r="FA325" s="98"/>
      <c r="FB325" s="98"/>
      <c r="FC325" s="98"/>
      <c r="FD325" s="98"/>
    </row>
    <row r="326" spans="2:160" ht="12.75">
      <c r="B326" s="83">
        <f t="shared" si="30"/>
        <v>0</v>
      </c>
      <c r="C326" s="83">
        <f t="shared" si="31"/>
      </c>
      <c r="D326" s="83">
        <f t="shared" si="32"/>
      </c>
      <c r="E326" s="83">
        <f t="shared" si="33"/>
        <v>0</v>
      </c>
      <c r="F326" s="83">
        <f t="shared" si="34"/>
        <v>0</v>
      </c>
      <c r="G326" s="83">
        <f t="shared" si="35"/>
      </c>
      <c r="H326" s="101">
        <f>IF(AND(M326&gt;0,M326&lt;=STATS!$C$22),1,"")</f>
        <v>1</v>
      </c>
      <c r="J326" s="22">
        <v>325</v>
      </c>
      <c r="K326" s="112">
        <v>46.09737</v>
      </c>
      <c r="L326" s="112">
        <v>-91.22758</v>
      </c>
      <c r="M326" s="4">
        <v>6</v>
      </c>
      <c r="N326" s="4" t="s">
        <v>481</v>
      </c>
      <c r="O326" s="4" t="s">
        <v>562</v>
      </c>
      <c r="R326" s="8"/>
      <c r="S326" s="8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EZ326" s="98"/>
      <c r="FA326" s="98"/>
      <c r="FB326" s="98"/>
      <c r="FC326" s="98"/>
      <c r="FD326" s="98"/>
    </row>
    <row r="327" spans="2:160" ht="12.75">
      <c r="B327" s="83">
        <f t="shared" si="30"/>
        <v>2</v>
      </c>
      <c r="C327" s="83">
        <f t="shared" si="31"/>
        <v>2</v>
      </c>
      <c r="D327" s="83">
        <f t="shared" si="32"/>
        <v>2</v>
      </c>
      <c r="E327" s="83">
        <f t="shared" si="33"/>
        <v>2</v>
      </c>
      <c r="F327" s="83">
        <f t="shared" si="34"/>
        <v>2</v>
      </c>
      <c r="G327" s="83">
        <f t="shared" si="35"/>
        <v>4.5</v>
      </c>
      <c r="H327" s="101">
        <f>IF(AND(M327&gt;0,M327&lt;=STATS!$C$22),1,"")</f>
        <v>1</v>
      </c>
      <c r="J327" s="22">
        <v>326</v>
      </c>
      <c r="K327" s="112">
        <v>46.09763</v>
      </c>
      <c r="L327" s="112">
        <v>-91.24279</v>
      </c>
      <c r="M327" s="4">
        <v>4.5</v>
      </c>
      <c r="N327" s="4" t="s">
        <v>480</v>
      </c>
      <c r="O327" s="4" t="s">
        <v>562</v>
      </c>
      <c r="Q327" s="4">
        <v>1</v>
      </c>
      <c r="R327" s="8"/>
      <c r="S327" s="8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>
        <v>1</v>
      </c>
      <c r="AH327" s="24"/>
      <c r="CB327" s="4" t="s">
        <v>483</v>
      </c>
      <c r="CI327" s="4">
        <v>1</v>
      </c>
      <c r="EZ327" s="98"/>
      <c r="FA327" s="98"/>
      <c r="FB327" s="98"/>
      <c r="FC327" s="98"/>
      <c r="FD327" s="98"/>
    </row>
    <row r="328" spans="2:160" ht="12.75">
      <c r="B328" s="83">
        <f t="shared" si="30"/>
        <v>0</v>
      </c>
      <c r="C328" s="83">
        <f t="shared" si="31"/>
      </c>
      <c r="D328" s="83">
        <f t="shared" si="32"/>
      </c>
      <c r="E328" s="83">
        <f t="shared" si="33"/>
        <v>0</v>
      </c>
      <c r="F328" s="83">
        <f t="shared" si="34"/>
        <v>0</v>
      </c>
      <c r="G328" s="83">
        <f t="shared" si="35"/>
      </c>
      <c r="H328" s="101">
        <f>IF(AND(M328&gt;0,M328&lt;=STATS!$C$22),1,"")</f>
        <v>1</v>
      </c>
      <c r="J328" s="22">
        <v>327</v>
      </c>
      <c r="K328" s="112">
        <v>46.09764</v>
      </c>
      <c r="L328" s="112">
        <v>-91.24218</v>
      </c>
      <c r="M328" s="4">
        <v>5</v>
      </c>
      <c r="N328" s="4" t="s">
        <v>480</v>
      </c>
      <c r="O328" s="4" t="s">
        <v>562</v>
      </c>
      <c r="R328" s="8"/>
      <c r="S328" s="8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EZ328" s="98"/>
      <c r="FA328" s="98"/>
      <c r="FB328" s="98"/>
      <c r="FC328" s="98"/>
      <c r="FD328" s="98"/>
    </row>
    <row r="329" spans="2:160" ht="12.75">
      <c r="B329" s="83">
        <f t="shared" si="30"/>
        <v>1</v>
      </c>
      <c r="C329" s="83">
        <f t="shared" si="31"/>
        <v>1</v>
      </c>
      <c r="D329" s="83">
        <f t="shared" si="32"/>
        <v>1</v>
      </c>
      <c r="E329" s="83">
        <f t="shared" si="33"/>
        <v>1</v>
      </c>
      <c r="F329" s="83">
        <f t="shared" si="34"/>
        <v>1</v>
      </c>
      <c r="G329" s="83">
        <f t="shared" si="35"/>
        <v>5.5</v>
      </c>
      <c r="H329" s="101">
        <f>IF(AND(M329&gt;0,M329&lt;=STATS!$C$22),1,"")</f>
        <v>1</v>
      </c>
      <c r="J329" s="22">
        <v>328</v>
      </c>
      <c r="K329" s="112">
        <v>46.09765</v>
      </c>
      <c r="L329" s="112">
        <v>-91.24157</v>
      </c>
      <c r="M329" s="4">
        <v>5.5</v>
      </c>
      <c r="N329" s="4" t="s">
        <v>480</v>
      </c>
      <c r="O329" s="4" t="s">
        <v>562</v>
      </c>
      <c r="Q329" s="4">
        <v>1</v>
      </c>
      <c r="R329" s="8"/>
      <c r="S329" s="8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CI329" s="4">
        <v>1</v>
      </c>
      <c r="EZ329" s="98"/>
      <c r="FA329" s="98"/>
      <c r="FB329" s="98"/>
      <c r="FC329" s="98"/>
      <c r="FD329" s="98"/>
    </row>
    <row r="330" spans="2:160" ht="12.75">
      <c r="B330" s="83">
        <f t="shared" si="30"/>
        <v>0</v>
      </c>
      <c r="C330" s="83">
        <f t="shared" si="31"/>
      </c>
      <c r="D330" s="83">
        <f t="shared" si="32"/>
      </c>
      <c r="E330" s="83">
        <f t="shared" si="33"/>
        <v>0</v>
      </c>
      <c r="F330" s="83">
        <f t="shared" si="34"/>
        <v>0</v>
      </c>
      <c r="G330" s="83">
        <f t="shared" si="35"/>
      </c>
      <c r="H330" s="101">
        <f>IF(AND(M330&gt;0,M330&lt;=STATS!$C$22),1,"")</f>
        <v>1</v>
      </c>
      <c r="J330" s="22">
        <v>329</v>
      </c>
      <c r="K330" s="112">
        <v>46.09765</v>
      </c>
      <c r="L330" s="112">
        <v>-91.24096</v>
      </c>
      <c r="M330" s="4">
        <v>5.5</v>
      </c>
      <c r="N330" s="4" t="s">
        <v>480</v>
      </c>
      <c r="O330" s="4" t="s">
        <v>562</v>
      </c>
      <c r="R330" s="8"/>
      <c r="S330" s="8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CP330" s="4" t="s">
        <v>483</v>
      </c>
      <c r="EZ330" s="98"/>
      <c r="FA330" s="98"/>
      <c r="FB330" s="98"/>
      <c r="FC330" s="98"/>
      <c r="FD330" s="98"/>
    </row>
    <row r="331" spans="2:160" ht="12.75">
      <c r="B331" s="83">
        <f t="shared" si="30"/>
        <v>0</v>
      </c>
      <c r="C331" s="83">
        <f t="shared" si="31"/>
      </c>
      <c r="D331" s="83">
        <f t="shared" si="32"/>
      </c>
      <c r="E331" s="83">
        <f t="shared" si="33"/>
        <v>0</v>
      </c>
      <c r="F331" s="83">
        <f t="shared" si="34"/>
        <v>0</v>
      </c>
      <c r="G331" s="83">
        <f t="shared" si="35"/>
      </c>
      <c r="H331" s="101">
        <f>IF(AND(M331&gt;0,M331&lt;=STATS!$C$22),1,"")</f>
        <v>1</v>
      </c>
      <c r="J331" s="22">
        <v>330</v>
      </c>
      <c r="K331" s="112">
        <v>46.09766</v>
      </c>
      <c r="L331" s="112">
        <v>-91.24035</v>
      </c>
      <c r="M331" s="4">
        <v>6</v>
      </c>
      <c r="N331" s="4" t="s">
        <v>480</v>
      </c>
      <c r="O331" s="4" t="s">
        <v>562</v>
      </c>
      <c r="R331" s="8"/>
      <c r="S331" s="8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EZ331" s="98"/>
      <c r="FA331" s="98"/>
      <c r="FB331" s="98"/>
      <c r="FC331" s="98"/>
      <c r="FD331" s="98"/>
    </row>
    <row r="332" spans="2:160" ht="12.75">
      <c r="B332" s="83">
        <f t="shared" si="30"/>
        <v>0</v>
      </c>
      <c r="C332" s="83">
        <f t="shared" si="31"/>
      </c>
      <c r="D332" s="83">
        <f t="shared" si="32"/>
      </c>
      <c r="E332" s="83">
        <f t="shared" si="33"/>
        <v>0</v>
      </c>
      <c r="F332" s="83">
        <f t="shared" si="34"/>
        <v>0</v>
      </c>
      <c r="G332" s="83">
        <f t="shared" si="35"/>
      </c>
      <c r="H332" s="101">
        <f>IF(AND(M332&gt;0,M332&lt;=STATS!$C$22),1,"")</f>
        <v>1</v>
      </c>
      <c r="J332" s="22">
        <v>331</v>
      </c>
      <c r="K332" s="112">
        <v>46.09767</v>
      </c>
      <c r="L332" s="112">
        <v>-91.23975</v>
      </c>
      <c r="M332" s="4">
        <v>6</v>
      </c>
      <c r="N332" s="4" t="s">
        <v>480</v>
      </c>
      <c r="O332" s="4" t="s">
        <v>562</v>
      </c>
      <c r="R332" s="8"/>
      <c r="S332" s="8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EZ332" s="98"/>
      <c r="FA332" s="98"/>
      <c r="FB332" s="98"/>
      <c r="FC332" s="98"/>
      <c r="FD332" s="98"/>
    </row>
    <row r="333" spans="2:160" ht="12.75">
      <c r="B333" s="83">
        <f t="shared" si="30"/>
        <v>0</v>
      </c>
      <c r="C333" s="83">
        <f t="shared" si="31"/>
      </c>
      <c r="D333" s="83">
        <f t="shared" si="32"/>
      </c>
      <c r="E333" s="83">
        <f t="shared" si="33"/>
        <v>0</v>
      </c>
      <c r="F333" s="83">
        <f t="shared" si="34"/>
        <v>0</v>
      </c>
      <c r="G333" s="83">
        <f t="shared" si="35"/>
      </c>
      <c r="H333" s="101">
        <f>IF(AND(M333&gt;0,M333&lt;=STATS!$C$22),1,"")</f>
        <v>1</v>
      </c>
      <c r="J333" s="22">
        <v>332</v>
      </c>
      <c r="K333" s="112">
        <v>46.09767</v>
      </c>
      <c r="L333" s="112">
        <v>-91.23914</v>
      </c>
      <c r="M333" s="4">
        <v>6</v>
      </c>
      <c r="N333" s="4" t="s">
        <v>480</v>
      </c>
      <c r="O333" s="4" t="s">
        <v>562</v>
      </c>
      <c r="R333" s="8"/>
      <c r="S333" s="8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EZ333" s="98"/>
      <c r="FA333" s="98"/>
      <c r="FB333" s="98"/>
      <c r="FC333" s="98"/>
      <c r="FD333" s="98"/>
    </row>
    <row r="334" spans="2:160" ht="12.75">
      <c r="B334" s="83">
        <f t="shared" si="30"/>
        <v>0</v>
      </c>
      <c r="C334" s="83">
        <f t="shared" si="31"/>
      </c>
      <c r="D334" s="83">
        <f t="shared" si="32"/>
      </c>
      <c r="E334" s="83">
        <f t="shared" si="33"/>
        <v>0</v>
      </c>
      <c r="F334" s="83">
        <f t="shared" si="34"/>
        <v>0</v>
      </c>
      <c r="G334" s="83">
        <f t="shared" si="35"/>
      </c>
      <c r="H334" s="101">
        <f>IF(AND(M334&gt;0,M334&lt;=STATS!$C$22),1,"")</f>
        <v>1</v>
      </c>
      <c r="J334" s="22">
        <v>333</v>
      </c>
      <c r="K334" s="112">
        <v>46.09768</v>
      </c>
      <c r="L334" s="112">
        <v>-91.23853</v>
      </c>
      <c r="M334" s="4">
        <v>6</v>
      </c>
      <c r="N334" s="4" t="s">
        <v>480</v>
      </c>
      <c r="O334" s="4" t="s">
        <v>562</v>
      </c>
      <c r="R334" s="8"/>
      <c r="S334" s="8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EZ334" s="98"/>
      <c r="FA334" s="98"/>
      <c r="FB334" s="98"/>
      <c r="FC334" s="98"/>
      <c r="FD334" s="98"/>
    </row>
    <row r="335" spans="2:160" ht="12.75">
      <c r="B335" s="83">
        <f t="shared" si="30"/>
        <v>1</v>
      </c>
      <c r="C335" s="83">
        <f t="shared" si="31"/>
        <v>1</v>
      </c>
      <c r="D335" s="83">
        <f t="shared" si="32"/>
        <v>1</v>
      </c>
      <c r="E335" s="83">
        <f t="shared" si="33"/>
        <v>1</v>
      </c>
      <c r="F335" s="83">
        <f t="shared" si="34"/>
        <v>1</v>
      </c>
      <c r="G335" s="83">
        <f t="shared" si="35"/>
        <v>6</v>
      </c>
      <c r="H335" s="101">
        <f>IF(AND(M335&gt;0,M335&lt;=STATS!$C$22),1,"")</f>
        <v>1</v>
      </c>
      <c r="J335" s="22">
        <v>334</v>
      </c>
      <c r="K335" s="112">
        <v>46.09768</v>
      </c>
      <c r="L335" s="112">
        <v>-91.23792</v>
      </c>
      <c r="M335" s="4">
        <v>6</v>
      </c>
      <c r="N335" s="4" t="s">
        <v>480</v>
      </c>
      <c r="O335" s="4" t="s">
        <v>562</v>
      </c>
      <c r="Q335" s="4">
        <v>1</v>
      </c>
      <c r="R335" s="8"/>
      <c r="S335" s="8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CW335" s="4">
        <v>1</v>
      </c>
      <c r="EZ335" s="98"/>
      <c r="FA335" s="98"/>
      <c r="FB335" s="98"/>
      <c r="FC335" s="98"/>
      <c r="FD335" s="98"/>
    </row>
    <row r="336" spans="2:160" ht="12.75">
      <c r="B336" s="83">
        <f t="shared" si="30"/>
        <v>3</v>
      </c>
      <c r="C336" s="83">
        <f t="shared" si="31"/>
        <v>3</v>
      </c>
      <c r="D336" s="83">
        <f t="shared" si="32"/>
        <v>3</v>
      </c>
      <c r="E336" s="83">
        <f t="shared" si="33"/>
        <v>3</v>
      </c>
      <c r="F336" s="83">
        <f t="shared" si="34"/>
        <v>3</v>
      </c>
      <c r="G336" s="83">
        <f t="shared" si="35"/>
        <v>5.5</v>
      </c>
      <c r="H336" s="101">
        <f>IF(AND(M336&gt;0,M336&lt;=STATS!$C$22),1,"")</f>
        <v>1</v>
      </c>
      <c r="J336" s="22">
        <v>335</v>
      </c>
      <c r="K336" s="112">
        <v>46.09769</v>
      </c>
      <c r="L336" s="112">
        <v>-91.23731</v>
      </c>
      <c r="M336" s="4">
        <v>5.5</v>
      </c>
      <c r="N336" s="4" t="s">
        <v>480</v>
      </c>
      <c r="O336" s="4" t="s">
        <v>562</v>
      </c>
      <c r="Q336" s="4">
        <v>1</v>
      </c>
      <c r="R336" s="8"/>
      <c r="S336" s="8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>
        <v>1</v>
      </c>
      <c r="AH336" s="24"/>
      <c r="BR336" s="4">
        <v>1</v>
      </c>
      <c r="CI336" s="4" t="s">
        <v>483</v>
      </c>
      <c r="CP336" s="4">
        <v>1</v>
      </c>
      <c r="EZ336" s="98"/>
      <c r="FA336" s="98"/>
      <c r="FB336" s="98"/>
      <c r="FC336" s="98"/>
      <c r="FD336" s="98"/>
    </row>
    <row r="337" spans="2:160" ht="12.75">
      <c r="B337" s="83">
        <f t="shared" si="30"/>
        <v>0</v>
      </c>
      <c r="C337" s="83">
        <f t="shared" si="31"/>
      </c>
      <c r="D337" s="83">
        <f t="shared" si="32"/>
      </c>
      <c r="E337" s="83">
        <f t="shared" si="33"/>
        <v>0</v>
      </c>
      <c r="F337" s="83">
        <f t="shared" si="34"/>
        <v>0</v>
      </c>
      <c r="G337" s="83">
        <f t="shared" si="35"/>
      </c>
      <c r="H337" s="101">
        <f>IF(AND(M337&gt;0,M337&lt;=STATS!$C$22),1,"")</f>
        <v>1</v>
      </c>
      <c r="J337" s="22">
        <v>336</v>
      </c>
      <c r="K337" s="112">
        <v>46.0977</v>
      </c>
      <c r="L337" s="112">
        <v>-91.23671</v>
      </c>
      <c r="M337" s="4">
        <v>6.5</v>
      </c>
      <c r="N337" s="4" t="s">
        <v>480</v>
      </c>
      <c r="O337" s="4" t="s">
        <v>562</v>
      </c>
      <c r="R337" s="8"/>
      <c r="S337" s="8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CR337" s="4" t="s">
        <v>483</v>
      </c>
      <c r="EZ337" s="98"/>
      <c r="FA337" s="98"/>
      <c r="FB337" s="98"/>
      <c r="FC337" s="98"/>
      <c r="FD337" s="98"/>
    </row>
    <row r="338" spans="2:160" ht="12.75">
      <c r="B338" s="83">
        <f t="shared" si="30"/>
        <v>5</v>
      </c>
      <c r="C338" s="83">
        <f t="shared" si="31"/>
        <v>5</v>
      </c>
      <c r="D338" s="83">
        <f t="shared" si="32"/>
        <v>5</v>
      </c>
      <c r="E338" s="83">
        <f t="shared" si="33"/>
        <v>5</v>
      </c>
      <c r="F338" s="83">
        <f t="shared" si="34"/>
        <v>5</v>
      </c>
      <c r="G338" s="83">
        <f t="shared" si="35"/>
        <v>6</v>
      </c>
      <c r="H338" s="101">
        <f>IF(AND(M338&gt;0,M338&lt;=STATS!$C$22),1,"")</f>
        <v>1</v>
      </c>
      <c r="J338" s="22">
        <v>337</v>
      </c>
      <c r="K338" s="112">
        <v>46.09771</v>
      </c>
      <c r="L338" s="112">
        <v>-91.2361</v>
      </c>
      <c r="M338" s="4">
        <v>6</v>
      </c>
      <c r="N338" s="4" t="s">
        <v>480</v>
      </c>
      <c r="O338" s="4" t="s">
        <v>562</v>
      </c>
      <c r="Q338" s="4">
        <v>2</v>
      </c>
      <c r="R338" s="8"/>
      <c r="S338" s="8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BR338" s="4">
        <v>1</v>
      </c>
      <c r="BT338" s="4">
        <v>2</v>
      </c>
      <c r="CI338" s="4">
        <v>2</v>
      </c>
      <c r="DA338" s="4">
        <v>1</v>
      </c>
      <c r="DK338" s="4">
        <v>1</v>
      </c>
      <c r="EZ338" s="98"/>
      <c r="FA338" s="98"/>
      <c r="FB338" s="98"/>
      <c r="FC338" s="98"/>
      <c r="FD338" s="98"/>
    </row>
    <row r="339" spans="2:160" ht="12.75">
      <c r="B339" s="83">
        <f t="shared" si="30"/>
        <v>0</v>
      </c>
      <c r="C339" s="83">
        <f t="shared" si="31"/>
      </c>
      <c r="D339" s="83">
        <f t="shared" si="32"/>
      </c>
      <c r="E339" s="83">
        <f t="shared" si="33"/>
        <v>0</v>
      </c>
      <c r="F339" s="83">
        <f t="shared" si="34"/>
        <v>0</v>
      </c>
      <c r="G339" s="83">
        <f t="shared" si="35"/>
      </c>
      <c r="H339" s="101">
        <f>IF(AND(M339&gt;0,M339&lt;=STATS!$C$22),1,"")</f>
        <v>1</v>
      </c>
      <c r="J339" s="22">
        <v>338</v>
      </c>
      <c r="K339" s="112">
        <v>46.09771</v>
      </c>
      <c r="L339" s="112">
        <v>-91.23549</v>
      </c>
      <c r="M339" s="4">
        <v>7</v>
      </c>
      <c r="N339" s="4" t="s">
        <v>480</v>
      </c>
      <c r="O339" s="4" t="s">
        <v>562</v>
      </c>
      <c r="R339" s="8"/>
      <c r="S339" s="8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EZ339" s="98"/>
      <c r="FA339" s="98"/>
      <c r="FB339" s="98"/>
      <c r="FC339" s="98"/>
      <c r="FD339" s="98"/>
    </row>
    <row r="340" spans="2:160" ht="12.75">
      <c r="B340" s="83">
        <f t="shared" si="30"/>
        <v>5</v>
      </c>
      <c r="C340" s="83">
        <f t="shared" si="31"/>
        <v>5</v>
      </c>
      <c r="D340" s="83">
        <f t="shared" si="32"/>
        <v>5</v>
      </c>
      <c r="E340" s="83">
        <f t="shared" si="33"/>
        <v>5</v>
      </c>
      <c r="F340" s="83">
        <f t="shared" si="34"/>
        <v>5</v>
      </c>
      <c r="G340" s="83">
        <f t="shared" si="35"/>
        <v>6.5</v>
      </c>
      <c r="H340" s="101">
        <f>IF(AND(M340&gt;0,M340&lt;=STATS!$C$22),1,"")</f>
        <v>1</v>
      </c>
      <c r="J340" s="22">
        <v>339</v>
      </c>
      <c r="K340" s="112">
        <v>46.09772</v>
      </c>
      <c r="L340" s="112">
        <v>-91.23488</v>
      </c>
      <c r="M340" s="4">
        <v>6.5</v>
      </c>
      <c r="N340" s="4" t="s">
        <v>480</v>
      </c>
      <c r="O340" s="4" t="s">
        <v>562</v>
      </c>
      <c r="Q340" s="4">
        <v>2</v>
      </c>
      <c r="R340" s="8"/>
      <c r="S340" s="8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>
        <v>1</v>
      </c>
      <c r="AH340" s="24"/>
      <c r="BT340" s="4">
        <v>1</v>
      </c>
      <c r="CI340" s="4" t="s">
        <v>483</v>
      </c>
      <c r="CW340" s="4">
        <v>1</v>
      </c>
      <c r="DA340" s="4">
        <v>2</v>
      </c>
      <c r="ES340" s="4">
        <v>1</v>
      </c>
      <c r="EZ340" s="98"/>
      <c r="FA340" s="98"/>
      <c r="FB340" s="98"/>
      <c r="FC340" s="98"/>
      <c r="FD340" s="98"/>
    </row>
    <row r="341" spans="2:160" ht="12.75">
      <c r="B341" s="83">
        <f t="shared" si="30"/>
        <v>0</v>
      </c>
      <c r="C341" s="83">
        <f t="shared" si="31"/>
      </c>
      <c r="D341" s="83">
        <f t="shared" si="32"/>
      </c>
      <c r="E341" s="83">
        <f t="shared" si="33"/>
        <v>0</v>
      </c>
      <c r="F341" s="83">
        <f t="shared" si="34"/>
        <v>0</v>
      </c>
      <c r="G341" s="83">
        <f t="shared" si="35"/>
      </c>
      <c r="H341" s="101">
        <f>IF(AND(M341&gt;0,M341&lt;=STATS!$C$22),1,"")</f>
        <v>1</v>
      </c>
      <c r="J341" s="22">
        <v>340</v>
      </c>
      <c r="K341" s="112">
        <v>46.09772</v>
      </c>
      <c r="L341" s="112">
        <v>-91.23427</v>
      </c>
      <c r="M341" s="4">
        <v>8</v>
      </c>
      <c r="N341" s="4" t="s">
        <v>480</v>
      </c>
      <c r="O341" s="4" t="s">
        <v>562</v>
      </c>
      <c r="R341" s="8"/>
      <c r="S341" s="8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CI341" s="4" t="s">
        <v>483</v>
      </c>
      <c r="CW341" s="4" t="s">
        <v>483</v>
      </c>
      <c r="EZ341" s="98"/>
      <c r="FA341" s="98"/>
      <c r="FB341" s="98"/>
      <c r="FC341" s="98"/>
      <c r="FD341" s="98"/>
    </row>
    <row r="342" spans="2:160" ht="12.75">
      <c r="B342" s="83">
        <f t="shared" si="30"/>
        <v>1</v>
      </c>
      <c r="C342" s="83">
        <f t="shared" si="31"/>
        <v>1</v>
      </c>
      <c r="D342" s="83">
        <f t="shared" si="32"/>
        <v>1</v>
      </c>
      <c r="E342" s="83">
        <f t="shared" si="33"/>
        <v>1</v>
      </c>
      <c r="F342" s="83">
        <f t="shared" si="34"/>
        <v>1</v>
      </c>
      <c r="G342" s="83">
        <f t="shared" si="35"/>
        <v>6.5</v>
      </c>
      <c r="H342" s="101">
        <f>IF(AND(M342&gt;0,M342&lt;=STATS!$C$22),1,"")</f>
        <v>1</v>
      </c>
      <c r="J342" s="22">
        <v>341</v>
      </c>
      <c r="K342" s="112">
        <v>46.09773</v>
      </c>
      <c r="L342" s="112">
        <v>-91.23367</v>
      </c>
      <c r="M342" s="4">
        <v>6.5</v>
      </c>
      <c r="N342" s="4" t="s">
        <v>480</v>
      </c>
      <c r="O342" s="4" t="s">
        <v>562</v>
      </c>
      <c r="Q342" s="4">
        <v>1</v>
      </c>
      <c r="R342" s="8"/>
      <c r="S342" s="8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BR342" s="4">
        <v>1</v>
      </c>
      <c r="EZ342" s="98"/>
      <c r="FA342" s="98"/>
      <c r="FB342" s="98"/>
      <c r="FC342" s="98"/>
      <c r="FD342" s="98"/>
    </row>
    <row r="343" spans="2:160" ht="12.75">
      <c r="B343" s="83">
        <f t="shared" si="30"/>
        <v>1</v>
      </c>
      <c r="C343" s="83">
        <f t="shared" si="31"/>
        <v>1</v>
      </c>
      <c r="D343" s="83">
        <f t="shared" si="32"/>
        <v>1</v>
      </c>
      <c r="E343" s="83">
        <f t="shared" si="33"/>
        <v>1</v>
      </c>
      <c r="F343" s="83">
        <f t="shared" si="34"/>
        <v>1</v>
      </c>
      <c r="G343" s="83">
        <f t="shared" si="35"/>
        <v>6.5</v>
      </c>
      <c r="H343" s="101">
        <f>IF(AND(M343&gt;0,M343&lt;=STATS!$C$22),1,"")</f>
        <v>1</v>
      </c>
      <c r="J343" s="22">
        <v>342</v>
      </c>
      <c r="K343" s="112">
        <v>46.09774</v>
      </c>
      <c r="L343" s="112">
        <v>-91.23306</v>
      </c>
      <c r="M343" s="4">
        <v>6.5</v>
      </c>
      <c r="N343" s="4" t="s">
        <v>480</v>
      </c>
      <c r="O343" s="4" t="s">
        <v>562</v>
      </c>
      <c r="Q343" s="4">
        <v>1</v>
      </c>
      <c r="R343" s="8"/>
      <c r="S343" s="8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CI343" s="4">
        <v>1</v>
      </c>
      <c r="EZ343" s="98"/>
      <c r="FA343" s="98"/>
      <c r="FB343" s="98"/>
      <c r="FC343" s="98"/>
      <c r="FD343" s="98"/>
    </row>
    <row r="344" spans="2:160" ht="12.75">
      <c r="B344" s="83">
        <f t="shared" si="30"/>
        <v>1</v>
      </c>
      <c r="C344" s="83">
        <f t="shared" si="31"/>
        <v>1</v>
      </c>
      <c r="D344" s="83">
        <f t="shared" si="32"/>
        <v>1</v>
      </c>
      <c r="E344" s="83">
        <f t="shared" si="33"/>
        <v>1</v>
      </c>
      <c r="F344" s="83">
        <f t="shared" si="34"/>
        <v>1</v>
      </c>
      <c r="G344" s="83">
        <f t="shared" si="35"/>
        <v>7.5</v>
      </c>
      <c r="H344" s="101">
        <f>IF(AND(M344&gt;0,M344&lt;=STATS!$C$22),1,"")</f>
        <v>1</v>
      </c>
      <c r="J344" s="22">
        <v>343</v>
      </c>
      <c r="K344" s="112">
        <v>46.09774</v>
      </c>
      <c r="L344" s="112">
        <v>-91.23245</v>
      </c>
      <c r="M344" s="4">
        <v>7.5</v>
      </c>
      <c r="N344" s="4" t="s">
        <v>480</v>
      </c>
      <c r="O344" s="4" t="s">
        <v>562</v>
      </c>
      <c r="Q344" s="4">
        <v>2</v>
      </c>
      <c r="R344" s="8"/>
      <c r="S344" s="8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DA344" s="4">
        <v>2</v>
      </c>
      <c r="EZ344" s="98"/>
      <c r="FA344" s="98"/>
      <c r="FB344" s="98"/>
      <c r="FC344" s="98"/>
      <c r="FD344" s="98"/>
    </row>
    <row r="345" spans="2:160" ht="12.75">
      <c r="B345" s="83">
        <f t="shared" si="30"/>
        <v>4</v>
      </c>
      <c r="C345" s="83">
        <f t="shared" si="31"/>
        <v>4</v>
      </c>
      <c r="D345" s="83">
        <f t="shared" si="32"/>
        <v>4</v>
      </c>
      <c r="E345" s="83">
        <f t="shared" si="33"/>
        <v>4</v>
      </c>
      <c r="F345" s="83">
        <f t="shared" si="34"/>
        <v>4</v>
      </c>
      <c r="G345" s="83">
        <f t="shared" si="35"/>
        <v>8</v>
      </c>
      <c r="H345" s="101">
        <f>IF(AND(M345&gt;0,M345&lt;=STATS!$C$22),1,"")</f>
        <v>1</v>
      </c>
      <c r="J345" s="22">
        <v>344</v>
      </c>
      <c r="K345" s="112">
        <v>46.09775</v>
      </c>
      <c r="L345" s="112">
        <v>-91.23184</v>
      </c>
      <c r="M345" s="4">
        <v>8</v>
      </c>
      <c r="N345" s="4" t="s">
        <v>480</v>
      </c>
      <c r="O345" s="4" t="s">
        <v>562</v>
      </c>
      <c r="Q345" s="4">
        <v>2</v>
      </c>
      <c r="R345" s="8"/>
      <c r="S345" s="8"/>
      <c r="T345" s="24"/>
      <c r="U345" s="24"/>
      <c r="V345" s="24">
        <v>1</v>
      </c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BT345" s="4">
        <v>1</v>
      </c>
      <c r="CI345" s="4" t="s">
        <v>483</v>
      </c>
      <c r="DA345" s="4">
        <v>2</v>
      </c>
      <c r="ES345" s="4">
        <v>1</v>
      </c>
      <c r="EZ345" s="98"/>
      <c r="FA345" s="98"/>
      <c r="FB345" s="98"/>
      <c r="FC345" s="98"/>
      <c r="FD345" s="98"/>
    </row>
    <row r="346" spans="2:160" ht="12.75">
      <c r="B346" s="83">
        <f t="shared" si="30"/>
        <v>3</v>
      </c>
      <c r="C346" s="83">
        <f t="shared" si="31"/>
        <v>3</v>
      </c>
      <c r="D346" s="83">
        <f t="shared" si="32"/>
        <v>3</v>
      </c>
      <c r="E346" s="83">
        <f t="shared" si="33"/>
        <v>3</v>
      </c>
      <c r="F346" s="83">
        <f t="shared" si="34"/>
        <v>3</v>
      </c>
      <c r="G346" s="83">
        <f t="shared" si="35"/>
        <v>11</v>
      </c>
      <c r="H346" s="101">
        <f>IF(AND(M346&gt;0,M346&lt;=STATS!$C$22),1,"")</f>
        <v>1</v>
      </c>
      <c r="J346" s="22">
        <v>345</v>
      </c>
      <c r="K346" s="112">
        <v>46.09776</v>
      </c>
      <c r="L346" s="112">
        <v>-91.23124</v>
      </c>
      <c r="M346" s="4">
        <v>11</v>
      </c>
      <c r="N346" s="4" t="s">
        <v>480</v>
      </c>
      <c r="O346" s="4" t="s">
        <v>562</v>
      </c>
      <c r="Q346" s="4">
        <v>2</v>
      </c>
      <c r="R346" s="8"/>
      <c r="S346" s="8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BO346" s="4">
        <v>1</v>
      </c>
      <c r="CW346" s="4">
        <v>2</v>
      </c>
      <c r="DA346" s="4">
        <v>2</v>
      </c>
      <c r="EZ346" s="98"/>
      <c r="FA346" s="98"/>
      <c r="FB346" s="98"/>
      <c r="FC346" s="98"/>
      <c r="FD346" s="98"/>
    </row>
    <row r="347" spans="2:160" ht="12.75">
      <c r="B347" s="83">
        <f t="shared" si="30"/>
        <v>0</v>
      </c>
      <c r="C347" s="83">
        <f t="shared" si="31"/>
      </c>
      <c r="D347" s="83">
        <f t="shared" si="32"/>
      </c>
      <c r="E347" s="83">
        <f t="shared" si="33"/>
      </c>
      <c r="F347" s="83">
        <f t="shared" si="34"/>
      </c>
      <c r="G347" s="83">
        <f t="shared" si="35"/>
      </c>
      <c r="H347" s="101">
        <f>IF(AND(M347&gt;0,M347&lt;=STATS!$C$22),1,"")</f>
      </c>
      <c r="J347" s="22">
        <v>346</v>
      </c>
      <c r="K347" s="112">
        <v>46.09776</v>
      </c>
      <c r="L347" s="112">
        <v>-91.23063</v>
      </c>
      <c r="M347" s="4">
        <v>26</v>
      </c>
      <c r="N347" s="4" t="s">
        <v>480</v>
      </c>
      <c r="O347" s="4" t="s">
        <v>482</v>
      </c>
      <c r="R347" s="8"/>
      <c r="S347" s="8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EZ347" s="98"/>
      <c r="FA347" s="98"/>
      <c r="FB347" s="98"/>
      <c r="FC347" s="98"/>
      <c r="FD347" s="98"/>
    </row>
    <row r="348" spans="2:160" ht="12.75">
      <c r="B348" s="83">
        <f t="shared" si="30"/>
        <v>0</v>
      </c>
      <c r="C348" s="83">
        <f t="shared" si="31"/>
      </c>
      <c r="D348" s="83">
        <f t="shared" si="32"/>
      </c>
      <c r="E348" s="83">
        <f t="shared" si="33"/>
      </c>
      <c r="F348" s="83">
        <f t="shared" si="34"/>
      </c>
      <c r="G348" s="83">
        <f t="shared" si="35"/>
      </c>
      <c r="H348" s="101">
        <f>IF(AND(M348&gt;0,M348&lt;=STATS!$C$22),1,"")</f>
      </c>
      <c r="J348" s="22">
        <v>347</v>
      </c>
      <c r="K348" s="112">
        <v>46.09777</v>
      </c>
      <c r="L348" s="112">
        <v>-91.23002</v>
      </c>
      <c r="M348" s="4">
        <v>25.5</v>
      </c>
      <c r="N348" s="4" t="s">
        <v>480</v>
      </c>
      <c r="O348" s="4" t="s">
        <v>482</v>
      </c>
      <c r="R348" s="8"/>
      <c r="S348" s="8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EZ348" s="98"/>
      <c r="FA348" s="98"/>
      <c r="FB348" s="98"/>
      <c r="FC348" s="98"/>
      <c r="FD348" s="98"/>
    </row>
    <row r="349" spans="2:160" ht="12.75">
      <c r="B349" s="83">
        <f t="shared" si="30"/>
        <v>0</v>
      </c>
      <c r="C349" s="83">
        <f t="shared" si="31"/>
      </c>
      <c r="D349" s="83">
        <f t="shared" si="32"/>
      </c>
      <c r="E349" s="83">
        <f t="shared" si="33"/>
      </c>
      <c r="F349" s="83">
        <f t="shared" si="34"/>
      </c>
      <c r="G349" s="83">
        <f t="shared" si="35"/>
      </c>
      <c r="H349" s="101">
        <f>IF(AND(M349&gt;0,M349&lt;=STATS!$C$22),1,"")</f>
      </c>
      <c r="J349" s="22">
        <v>348</v>
      </c>
      <c r="K349" s="112">
        <v>46.09779</v>
      </c>
      <c r="L349" s="112">
        <v>-91.22819</v>
      </c>
      <c r="P349" s="113" t="s">
        <v>563</v>
      </c>
      <c r="R349" s="8"/>
      <c r="S349" s="8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EZ349" s="98"/>
      <c r="FA349" s="98"/>
      <c r="FB349" s="98"/>
      <c r="FC349" s="98"/>
      <c r="FD349" s="98"/>
    </row>
    <row r="350" spans="2:160" ht="12.75">
      <c r="B350" s="83">
        <f t="shared" si="30"/>
        <v>4</v>
      </c>
      <c r="C350" s="83">
        <f t="shared" si="31"/>
        <v>4</v>
      </c>
      <c r="D350" s="83">
        <f t="shared" si="32"/>
        <v>4</v>
      </c>
      <c r="E350" s="83">
        <f t="shared" si="33"/>
        <v>4</v>
      </c>
      <c r="F350" s="83">
        <f t="shared" si="34"/>
        <v>4</v>
      </c>
      <c r="G350" s="83">
        <f t="shared" si="35"/>
        <v>3.5</v>
      </c>
      <c r="H350" s="101">
        <f>IF(AND(M350&gt;0,M350&lt;=STATS!$C$22),1,"")</f>
        <v>1</v>
      </c>
      <c r="J350" s="22">
        <v>349</v>
      </c>
      <c r="K350" s="112">
        <v>46.09805</v>
      </c>
      <c r="L350" s="112">
        <v>-91.24279</v>
      </c>
      <c r="M350" s="4">
        <v>3.5</v>
      </c>
      <c r="N350" s="4" t="s">
        <v>480</v>
      </c>
      <c r="O350" s="4" t="s">
        <v>562</v>
      </c>
      <c r="Q350" s="4">
        <v>1</v>
      </c>
      <c r="R350" s="8"/>
      <c r="S350" s="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BR350" s="4">
        <v>1</v>
      </c>
      <c r="CB350" s="4">
        <v>1</v>
      </c>
      <c r="CS350" s="4">
        <v>1</v>
      </c>
      <c r="DX350" s="4" t="s">
        <v>483</v>
      </c>
      <c r="ES350" s="4">
        <v>1</v>
      </c>
      <c r="EZ350" s="98"/>
      <c r="FA350" s="98"/>
      <c r="FB350" s="98"/>
      <c r="FC350" s="98"/>
      <c r="FD350" s="98"/>
    </row>
    <row r="351" spans="2:160" ht="12.75">
      <c r="B351" s="83">
        <f t="shared" si="30"/>
        <v>0</v>
      </c>
      <c r="C351" s="83">
        <f t="shared" si="31"/>
      </c>
      <c r="D351" s="83">
        <f t="shared" si="32"/>
      </c>
      <c r="E351" s="83">
        <f t="shared" si="33"/>
        <v>0</v>
      </c>
      <c r="F351" s="83">
        <f t="shared" si="34"/>
        <v>0</v>
      </c>
      <c r="G351" s="83">
        <f t="shared" si="35"/>
      </c>
      <c r="H351" s="101">
        <f>IF(AND(M351&gt;0,M351&lt;=STATS!$C$22),1,"")</f>
        <v>1</v>
      </c>
      <c r="J351" s="22">
        <v>350</v>
      </c>
      <c r="K351" s="112">
        <v>46.09806</v>
      </c>
      <c r="L351" s="112">
        <v>-91.24219</v>
      </c>
      <c r="M351" s="4">
        <v>4.5</v>
      </c>
      <c r="N351" s="4" t="s">
        <v>480</v>
      </c>
      <c r="O351" s="4" t="s">
        <v>562</v>
      </c>
      <c r="R351" s="8"/>
      <c r="S351" s="8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EZ351" s="98"/>
      <c r="FA351" s="98"/>
      <c r="FB351" s="98"/>
      <c r="FC351" s="98"/>
      <c r="FD351" s="98"/>
    </row>
    <row r="352" spans="2:160" ht="12.75">
      <c r="B352" s="83">
        <f t="shared" si="30"/>
        <v>0</v>
      </c>
      <c r="C352" s="83">
        <f t="shared" si="31"/>
      </c>
      <c r="D352" s="83">
        <f t="shared" si="32"/>
      </c>
      <c r="E352" s="83">
        <f t="shared" si="33"/>
        <v>0</v>
      </c>
      <c r="F352" s="83">
        <f t="shared" si="34"/>
        <v>0</v>
      </c>
      <c r="G352" s="83">
        <f t="shared" si="35"/>
      </c>
      <c r="H352" s="101">
        <f>IF(AND(M352&gt;0,M352&lt;=STATS!$C$22),1,"")</f>
        <v>1</v>
      </c>
      <c r="J352" s="22">
        <v>351</v>
      </c>
      <c r="K352" s="112">
        <v>46.09807</v>
      </c>
      <c r="L352" s="112">
        <v>-91.24158</v>
      </c>
      <c r="M352" s="4">
        <v>5</v>
      </c>
      <c r="N352" s="4" t="s">
        <v>480</v>
      </c>
      <c r="O352" s="4" t="s">
        <v>562</v>
      </c>
      <c r="R352" s="8"/>
      <c r="S352" s="8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EZ352" s="98"/>
      <c r="FA352" s="98"/>
      <c r="FB352" s="98"/>
      <c r="FC352" s="98"/>
      <c r="FD352" s="98"/>
    </row>
    <row r="353" spans="2:160" ht="12.75">
      <c r="B353" s="83">
        <f t="shared" si="30"/>
        <v>0</v>
      </c>
      <c r="C353" s="83">
        <f t="shared" si="31"/>
      </c>
      <c r="D353" s="83">
        <f t="shared" si="32"/>
      </c>
      <c r="E353" s="83">
        <f t="shared" si="33"/>
        <v>0</v>
      </c>
      <c r="F353" s="83">
        <f t="shared" si="34"/>
        <v>0</v>
      </c>
      <c r="G353" s="83">
        <f t="shared" si="35"/>
      </c>
      <c r="H353" s="101">
        <f>IF(AND(M353&gt;0,M353&lt;=STATS!$C$22),1,"")</f>
        <v>1</v>
      </c>
      <c r="J353" s="22">
        <v>352</v>
      </c>
      <c r="K353" s="112">
        <v>46.09807</v>
      </c>
      <c r="L353" s="112">
        <v>-91.24097</v>
      </c>
      <c r="M353" s="4">
        <v>5.5</v>
      </c>
      <c r="N353" s="4" t="s">
        <v>480</v>
      </c>
      <c r="O353" s="4" t="s">
        <v>562</v>
      </c>
      <c r="R353" s="8"/>
      <c r="S353" s="8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EZ353" s="98"/>
      <c r="FA353" s="98"/>
      <c r="FB353" s="98"/>
      <c r="FC353" s="98"/>
      <c r="FD353" s="98"/>
    </row>
    <row r="354" spans="2:160" ht="12.75">
      <c r="B354" s="83">
        <f t="shared" si="30"/>
        <v>0</v>
      </c>
      <c r="C354" s="83">
        <f t="shared" si="31"/>
      </c>
      <c r="D354" s="83">
        <f t="shared" si="32"/>
      </c>
      <c r="E354" s="83">
        <f t="shared" si="33"/>
        <v>0</v>
      </c>
      <c r="F354" s="83">
        <f t="shared" si="34"/>
        <v>0</v>
      </c>
      <c r="G354" s="83">
        <f t="shared" si="35"/>
      </c>
      <c r="H354" s="101">
        <f>IF(AND(M354&gt;0,M354&lt;=STATS!$C$22),1,"")</f>
        <v>1</v>
      </c>
      <c r="J354" s="22">
        <v>353</v>
      </c>
      <c r="K354" s="112">
        <v>46.09808</v>
      </c>
      <c r="L354" s="112">
        <v>-91.24036</v>
      </c>
      <c r="M354" s="4">
        <v>5.5</v>
      </c>
      <c r="N354" s="4" t="s">
        <v>480</v>
      </c>
      <c r="O354" s="4" t="s">
        <v>562</v>
      </c>
      <c r="R354" s="8"/>
      <c r="S354" s="8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CI354" s="4" t="s">
        <v>483</v>
      </c>
      <c r="EZ354" s="98"/>
      <c r="FA354" s="98"/>
      <c r="FB354" s="98"/>
      <c r="FC354" s="98"/>
      <c r="FD354" s="98"/>
    </row>
    <row r="355" spans="2:160" ht="12.75">
      <c r="B355" s="83">
        <f t="shared" si="30"/>
        <v>2</v>
      </c>
      <c r="C355" s="83">
        <f t="shared" si="31"/>
        <v>2</v>
      </c>
      <c r="D355" s="83">
        <f t="shared" si="32"/>
        <v>2</v>
      </c>
      <c r="E355" s="83">
        <f t="shared" si="33"/>
        <v>2</v>
      </c>
      <c r="F355" s="83">
        <f t="shared" si="34"/>
        <v>2</v>
      </c>
      <c r="G355" s="83">
        <f t="shared" si="35"/>
        <v>5</v>
      </c>
      <c r="H355" s="101">
        <f>IF(AND(M355&gt;0,M355&lt;=STATS!$C$22),1,"")</f>
        <v>1</v>
      </c>
      <c r="J355" s="22">
        <v>354</v>
      </c>
      <c r="K355" s="112">
        <v>46.09809</v>
      </c>
      <c r="L355" s="112">
        <v>-91.23975</v>
      </c>
      <c r="M355" s="4">
        <v>5</v>
      </c>
      <c r="N355" s="4" t="s">
        <v>480</v>
      </c>
      <c r="O355" s="4" t="s">
        <v>562</v>
      </c>
      <c r="Q355" s="4">
        <v>1</v>
      </c>
      <c r="R355" s="8"/>
      <c r="S355" s="8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CI355" s="4">
        <v>1</v>
      </c>
      <c r="DA355" s="4">
        <v>1</v>
      </c>
      <c r="EZ355" s="98"/>
      <c r="FA355" s="98"/>
      <c r="FB355" s="98"/>
      <c r="FC355" s="98"/>
      <c r="FD355" s="98"/>
    </row>
    <row r="356" spans="2:160" ht="12.75">
      <c r="B356" s="83">
        <f t="shared" si="30"/>
        <v>0</v>
      </c>
      <c r="C356" s="83">
        <f t="shared" si="31"/>
      </c>
      <c r="D356" s="83">
        <f t="shared" si="32"/>
      </c>
      <c r="E356" s="83">
        <f t="shared" si="33"/>
        <v>0</v>
      </c>
      <c r="F356" s="83">
        <f t="shared" si="34"/>
        <v>0</v>
      </c>
      <c r="G356" s="83">
        <f t="shared" si="35"/>
      </c>
      <c r="H356" s="101">
        <f>IF(AND(M356&gt;0,M356&lt;=STATS!$C$22),1,"")</f>
        <v>1</v>
      </c>
      <c r="J356" s="22">
        <v>355</v>
      </c>
      <c r="K356" s="112">
        <v>46.0981</v>
      </c>
      <c r="L356" s="112">
        <v>-91.23915</v>
      </c>
      <c r="M356" s="4">
        <v>6</v>
      </c>
      <c r="N356" s="4" t="s">
        <v>480</v>
      </c>
      <c r="O356" s="4" t="s">
        <v>562</v>
      </c>
      <c r="R356" s="8"/>
      <c r="S356" s="8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CP356" s="4" t="s">
        <v>483</v>
      </c>
      <c r="EZ356" s="98"/>
      <c r="FA356" s="98"/>
      <c r="FB356" s="98"/>
      <c r="FC356" s="98"/>
      <c r="FD356" s="98"/>
    </row>
    <row r="357" spans="2:160" ht="12.75">
      <c r="B357" s="83">
        <f t="shared" si="30"/>
        <v>0</v>
      </c>
      <c r="C357" s="83">
        <f t="shared" si="31"/>
      </c>
      <c r="D357" s="83">
        <f t="shared" si="32"/>
      </c>
      <c r="E357" s="83">
        <f t="shared" si="33"/>
        <v>0</v>
      </c>
      <c r="F357" s="83">
        <f t="shared" si="34"/>
        <v>0</v>
      </c>
      <c r="G357" s="83">
        <f t="shared" si="35"/>
      </c>
      <c r="H357" s="101">
        <f>IF(AND(M357&gt;0,M357&lt;=STATS!$C$22),1,"")</f>
        <v>1</v>
      </c>
      <c r="J357" s="22">
        <v>356</v>
      </c>
      <c r="K357" s="112">
        <v>46.0981</v>
      </c>
      <c r="L357" s="112">
        <v>-91.23854</v>
      </c>
      <c r="M357" s="4">
        <v>6</v>
      </c>
      <c r="N357" s="4" t="s">
        <v>480</v>
      </c>
      <c r="O357" s="4" t="s">
        <v>562</v>
      </c>
      <c r="R357" s="8"/>
      <c r="S357" s="8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EZ357" s="98"/>
      <c r="FA357" s="98"/>
      <c r="FB357" s="98"/>
      <c r="FC357" s="98"/>
      <c r="FD357" s="98"/>
    </row>
    <row r="358" spans="2:160" ht="12.75">
      <c r="B358" s="83">
        <f t="shared" si="30"/>
        <v>2</v>
      </c>
      <c r="C358" s="83">
        <f t="shared" si="31"/>
        <v>2</v>
      </c>
      <c r="D358" s="83">
        <f t="shared" si="32"/>
        <v>2</v>
      </c>
      <c r="E358" s="83">
        <f t="shared" si="33"/>
        <v>2</v>
      </c>
      <c r="F358" s="83">
        <f t="shared" si="34"/>
        <v>2</v>
      </c>
      <c r="G358" s="83">
        <f t="shared" si="35"/>
        <v>5.5</v>
      </c>
      <c r="H358" s="101">
        <f>IF(AND(M358&gt;0,M358&lt;=STATS!$C$22),1,"")</f>
        <v>1</v>
      </c>
      <c r="J358" s="22">
        <v>357</v>
      </c>
      <c r="K358" s="112">
        <v>46.09811</v>
      </c>
      <c r="L358" s="112">
        <v>-91.23793</v>
      </c>
      <c r="M358" s="4">
        <v>5.5</v>
      </c>
      <c r="N358" s="4" t="s">
        <v>480</v>
      </c>
      <c r="O358" s="4" t="s">
        <v>562</v>
      </c>
      <c r="Q358" s="4">
        <v>2</v>
      </c>
      <c r="R358" s="8"/>
      <c r="S358" s="8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BR358" s="4">
        <v>1</v>
      </c>
      <c r="CI358" s="4">
        <v>2</v>
      </c>
      <c r="EZ358" s="98"/>
      <c r="FA358" s="98"/>
      <c r="FB358" s="98"/>
      <c r="FC358" s="98"/>
      <c r="FD358" s="98"/>
    </row>
    <row r="359" spans="2:160" ht="12.75">
      <c r="B359" s="83">
        <f t="shared" si="30"/>
        <v>3</v>
      </c>
      <c r="C359" s="83">
        <f t="shared" si="31"/>
        <v>3</v>
      </c>
      <c r="D359" s="83">
        <f t="shared" si="32"/>
        <v>3</v>
      </c>
      <c r="E359" s="83">
        <f t="shared" si="33"/>
        <v>3</v>
      </c>
      <c r="F359" s="83">
        <f t="shared" si="34"/>
        <v>3</v>
      </c>
      <c r="G359" s="83">
        <f t="shared" si="35"/>
        <v>6</v>
      </c>
      <c r="H359" s="101">
        <f>IF(AND(M359&gt;0,M359&lt;=STATS!$C$22),1,"")</f>
        <v>1</v>
      </c>
      <c r="J359" s="22">
        <v>358</v>
      </c>
      <c r="K359" s="112">
        <v>46.09811</v>
      </c>
      <c r="L359" s="112">
        <v>-91.23732</v>
      </c>
      <c r="M359" s="4">
        <v>6</v>
      </c>
      <c r="N359" s="4" t="s">
        <v>480</v>
      </c>
      <c r="O359" s="4" t="s">
        <v>562</v>
      </c>
      <c r="Q359" s="4">
        <v>1</v>
      </c>
      <c r="R359" s="8"/>
      <c r="S359" s="8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>
        <v>1</v>
      </c>
      <c r="AH359" s="24"/>
      <c r="BR359" s="4">
        <v>1</v>
      </c>
      <c r="CI359" s="4">
        <v>1</v>
      </c>
      <c r="EZ359" s="98"/>
      <c r="FA359" s="98"/>
      <c r="FB359" s="98"/>
      <c r="FC359" s="98"/>
      <c r="FD359" s="98"/>
    </row>
    <row r="360" spans="2:160" ht="12.75">
      <c r="B360" s="83">
        <f t="shared" si="30"/>
        <v>3</v>
      </c>
      <c r="C360" s="83">
        <f t="shared" si="31"/>
        <v>3</v>
      </c>
      <c r="D360" s="83">
        <f t="shared" si="32"/>
        <v>3</v>
      </c>
      <c r="E360" s="83">
        <f t="shared" si="33"/>
        <v>3</v>
      </c>
      <c r="F360" s="83">
        <f t="shared" si="34"/>
        <v>3</v>
      </c>
      <c r="G360" s="83">
        <f t="shared" si="35"/>
        <v>5.5</v>
      </c>
      <c r="H360" s="101">
        <f>IF(AND(M360&gt;0,M360&lt;=STATS!$C$22),1,"")</f>
        <v>1</v>
      </c>
      <c r="J360" s="22">
        <v>359</v>
      </c>
      <c r="K360" s="112">
        <v>46.09812</v>
      </c>
      <c r="L360" s="112">
        <v>-91.23672</v>
      </c>
      <c r="M360" s="4">
        <v>5.5</v>
      </c>
      <c r="N360" s="4" t="s">
        <v>480</v>
      </c>
      <c r="O360" s="4" t="s">
        <v>562</v>
      </c>
      <c r="Q360" s="4">
        <v>1</v>
      </c>
      <c r="R360" s="8"/>
      <c r="S360" s="8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BR360" s="4">
        <v>1</v>
      </c>
      <c r="CI360" s="4">
        <v>1</v>
      </c>
      <c r="DK360" s="4">
        <v>1</v>
      </c>
      <c r="EZ360" s="98"/>
      <c r="FA360" s="98"/>
      <c r="FB360" s="98"/>
      <c r="FC360" s="98"/>
      <c r="FD360" s="98"/>
    </row>
    <row r="361" spans="2:160" ht="12.75">
      <c r="B361" s="83">
        <f t="shared" si="30"/>
        <v>4</v>
      </c>
      <c r="C361" s="83">
        <f t="shared" si="31"/>
        <v>4</v>
      </c>
      <c r="D361" s="83">
        <f t="shared" si="32"/>
        <v>4</v>
      </c>
      <c r="E361" s="83">
        <f t="shared" si="33"/>
        <v>4</v>
      </c>
      <c r="F361" s="83">
        <f t="shared" si="34"/>
        <v>4</v>
      </c>
      <c r="G361" s="83">
        <f t="shared" si="35"/>
        <v>6.5</v>
      </c>
      <c r="H361" s="101">
        <f>IF(AND(M361&gt;0,M361&lt;=STATS!$C$22),1,"")</f>
        <v>1</v>
      </c>
      <c r="J361" s="22">
        <v>360</v>
      </c>
      <c r="K361" s="112">
        <v>46.09813</v>
      </c>
      <c r="L361" s="112">
        <v>-91.23611</v>
      </c>
      <c r="M361" s="4">
        <v>6.5</v>
      </c>
      <c r="N361" s="4" t="s">
        <v>480</v>
      </c>
      <c r="O361" s="4" t="s">
        <v>562</v>
      </c>
      <c r="Q361" s="4">
        <v>1</v>
      </c>
      <c r="R361" s="8"/>
      <c r="S361" s="8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>
        <v>1</v>
      </c>
      <c r="AH361" s="24"/>
      <c r="BT361" s="4">
        <v>1</v>
      </c>
      <c r="CP361" s="4">
        <v>1</v>
      </c>
      <c r="DA361" s="4">
        <v>1</v>
      </c>
      <c r="EZ361" s="98"/>
      <c r="FA361" s="98"/>
      <c r="FB361" s="98"/>
      <c r="FC361" s="98"/>
      <c r="FD361" s="98"/>
    </row>
    <row r="362" spans="2:160" ht="12.75">
      <c r="B362" s="83">
        <f t="shared" si="30"/>
        <v>6</v>
      </c>
      <c r="C362" s="83">
        <f t="shared" si="31"/>
        <v>6</v>
      </c>
      <c r="D362" s="83">
        <f t="shared" si="32"/>
        <v>6</v>
      </c>
      <c r="E362" s="83">
        <f t="shared" si="33"/>
        <v>6</v>
      </c>
      <c r="F362" s="83">
        <f t="shared" si="34"/>
        <v>6</v>
      </c>
      <c r="G362" s="83">
        <f t="shared" si="35"/>
        <v>6.5</v>
      </c>
      <c r="H362" s="101">
        <f>IF(AND(M362&gt;0,M362&lt;=STATS!$C$22),1,"")</f>
        <v>1</v>
      </c>
      <c r="J362" s="22">
        <v>361</v>
      </c>
      <c r="K362" s="112">
        <v>46.09813</v>
      </c>
      <c r="L362" s="112">
        <v>-91.2355</v>
      </c>
      <c r="M362" s="4">
        <v>6.5</v>
      </c>
      <c r="N362" s="4" t="s">
        <v>480</v>
      </c>
      <c r="O362" s="4" t="s">
        <v>562</v>
      </c>
      <c r="Q362" s="4">
        <v>1</v>
      </c>
      <c r="R362" s="8"/>
      <c r="S362" s="8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>
        <v>1</v>
      </c>
      <c r="AH362" s="24"/>
      <c r="BR362" s="4">
        <v>1</v>
      </c>
      <c r="BT362" s="4">
        <v>1</v>
      </c>
      <c r="CW362" s="4">
        <v>1</v>
      </c>
      <c r="DA362" s="4">
        <v>1</v>
      </c>
      <c r="DK362" s="4">
        <v>1</v>
      </c>
      <c r="EZ362" s="98"/>
      <c r="FA362" s="98"/>
      <c r="FB362" s="98"/>
      <c r="FC362" s="98"/>
      <c r="FD362" s="98"/>
    </row>
    <row r="363" spans="2:160" ht="12.75">
      <c r="B363" s="83">
        <f t="shared" si="30"/>
        <v>3</v>
      </c>
      <c r="C363" s="83">
        <f t="shared" si="31"/>
        <v>3</v>
      </c>
      <c r="D363" s="83">
        <f t="shared" si="32"/>
        <v>3</v>
      </c>
      <c r="E363" s="83">
        <f t="shared" si="33"/>
        <v>3</v>
      </c>
      <c r="F363" s="83">
        <f t="shared" si="34"/>
        <v>3</v>
      </c>
      <c r="G363" s="83">
        <f t="shared" si="35"/>
        <v>8</v>
      </c>
      <c r="H363" s="101">
        <f>IF(AND(M363&gt;0,M363&lt;=STATS!$C$22),1,"")</f>
        <v>1</v>
      </c>
      <c r="J363" s="22">
        <v>362</v>
      </c>
      <c r="K363" s="112">
        <v>46.09814</v>
      </c>
      <c r="L363" s="112">
        <v>-91.23489</v>
      </c>
      <c r="M363" s="4">
        <v>8</v>
      </c>
      <c r="N363" s="4" t="s">
        <v>480</v>
      </c>
      <c r="O363" s="4" t="s">
        <v>562</v>
      </c>
      <c r="Q363" s="4">
        <v>3</v>
      </c>
      <c r="R363" s="8"/>
      <c r="S363" s="8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BT363" s="4">
        <v>1</v>
      </c>
      <c r="CW363" s="4">
        <v>1</v>
      </c>
      <c r="DA363" s="4">
        <v>3</v>
      </c>
      <c r="EZ363" s="98"/>
      <c r="FA363" s="98"/>
      <c r="FB363" s="98"/>
      <c r="FC363" s="98"/>
      <c r="FD363" s="98"/>
    </row>
    <row r="364" spans="2:160" ht="12.75">
      <c r="B364" s="83">
        <f t="shared" si="30"/>
        <v>3</v>
      </c>
      <c r="C364" s="83">
        <f t="shared" si="31"/>
        <v>3</v>
      </c>
      <c r="D364" s="83">
        <f t="shared" si="32"/>
        <v>3</v>
      </c>
      <c r="E364" s="83">
        <f t="shared" si="33"/>
        <v>3</v>
      </c>
      <c r="F364" s="83">
        <f t="shared" si="34"/>
        <v>3</v>
      </c>
      <c r="G364" s="83">
        <f t="shared" si="35"/>
        <v>7</v>
      </c>
      <c r="H364" s="101">
        <f>IF(AND(M364&gt;0,M364&lt;=STATS!$C$22),1,"")</f>
        <v>1</v>
      </c>
      <c r="J364" s="22">
        <v>363</v>
      </c>
      <c r="K364" s="112">
        <v>46.09815</v>
      </c>
      <c r="L364" s="112">
        <v>-91.23428</v>
      </c>
      <c r="M364" s="4">
        <v>7</v>
      </c>
      <c r="N364" s="4" t="s">
        <v>480</v>
      </c>
      <c r="O364" s="4" t="s">
        <v>562</v>
      </c>
      <c r="Q364" s="4">
        <v>2</v>
      </c>
      <c r="R364" s="8"/>
      <c r="S364" s="8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>
        <v>1</v>
      </c>
      <c r="AH364" s="24"/>
      <c r="BT364" s="4">
        <v>2</v>
      </c>
      <c r="CP364" s="4" t="s">
        <v>483</v>
      </c>
      <c r="DK364" s="4">
        <v>1</v>
      </c>
      <c r="EZ364" s="98"/>
      <c r="FA364" s="98"/>
      <c r="FB364" s="98"/>
      <c r="FC364" s="98"/>
      <c r="FD364" s="98"/>
    </row>
    <row r="365" spans="2:160" ht="12.75">
      <c r="B365" s="83">
        <f t="shared" si="30"/>
        <v>2</v>
      </c>
      <c r="C365" s="83">
        <f t="shared" si="31"/>
        <v>2</v>
      </c>
      <c r="D365" s="83">
        <f t="shared" si="32"/>
        <v>2</v>
      </c>
      <c r="E365" s="83">
        <f t="shared" si="33"/>
        <v>2</v>
      </c>
      <c r="F365" s="83">
        <f t="shared" si="34"/>
        <v>2</v>
      </c>
      <c r="G365" s="83">
        <f t="shared" si="35"/>
        <v>7</v>
      </c>
      <c r="H365" s="101">
        <f>IF(AND(M365&gt;0,M365&lt;=STATS!$C$22),1,"")</f>
        <v>1</v>
      </c>
      <c r="J365" s="22">
        <v>364</v>
      </c>
      <c r="K365" s="112">
        <v>46.09815</v>
      </c>
      <c r="L365" s="112">
        <v>-91.23368</v>
      </c>
      <c r="M365" s="4">
        <v>7</v>
      </c>
      <c r="N365" s="4" t="s">
        <v>480</v>
      </c>
      <c r="O365" s="4" t="s">
        <v>562</v>
      </c>
      <c r="Q365" s="4">
        <v>2</v>
      </c>
      <c r="R365" s="8"/>
      <c r="S365" s="8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BT365" s="4">
        <v>2</v>
      </c>
      <c r="DA365" s="4">
        <v>2</v>
      </c>
      <c r="EZ365" s="98"/>
      <c r="FA365" s="98"/>
      <c r="FB365" s="98"/>
      <c r="FC365" s="98"/>
      <c r="FD365" s="98"/>
    </row>
    <row r="366" spans="2:160" ht="12.75">
      <c r="B366" s="83">
        <f t="shared" si="30"/>
        <v>1</v>
      </c>
      <c r="C366" s="83">
        <f t="shared" si="31"/>
        <v>1</v>
      </c>
      <c r="D366" s="83">
        <f t="shared" si="32"/>
        <v>1</v>
      </c>
      <c r="E366" s="83">
        <f t="shared" si="33"/>
        <v>1</v>
      </c>
      <c r="F366" s="83">
        <f t="shared" si="34"/>
        <v>1</v>
      </c>
      <c r="G366" s="83">
        <f t="shared" si="35"/>
        <v>8</v>
      </c>
      <c r="H366" s="101">
        <f>IF(AND(M366&gt;0,M366&lt;=STATS!$C$22),1,"")</f>
        <v>1</v>
      </c>
      <c r="J366" s="22">
        <v>365</v>
      </c>
      <c r="K366" s="112">
        <v>46.09816</v>
      </c>
      <c r="L366" s="112">
        <v>-91.23307</v>
      </c>
      <c r="M366" s="4">
        <v>8</v>
      </c>
      <c r="N366" s="4" t="s">
        <v>480</v>
      </c>
      <c r="O366" s="4" t="s">
        <v>562</v>
      </c>
      <c r="Q366" s="4">
        <v>2</v>
      </c>
      <c r="R366" s="8"/>
      <c r="S366" s="8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DA366" s="4">
        <v>2</v>
      </c>
      <c r="EZ366" s="98"/>
      <c r="FA366" s="98"/>
      <c r="FB366" s="98"/>
      <c r="FC366" s="98"/>
      <c r="FD366" s="98"/>
    </row>
    <row r="367" spans="2:160" ht="12.75">
      <c r="B367" s="83">
        <f t="shared" si="30"/>
        <v>1</v>
      </c>
      <c r="C367" s="83">
        <f t="shared" si="31"/>
        <v>1</v>
      </c>
      <c r="D367" s="83">
        <f t="shared" si="32"/>
        <v>1</v>
      </c>
      <c r="E367" s="83">
        <f t="shared" si="33"/>
        <v>1</v>
      </c>
      <c r="F367" s="83">
        <f t="shared" si="34"/>
        <v>1</v>
      </c>
      <c r="G367" s="83">
        <f t="shared" si="35"/>
        <v>13</v>
      </c>
      <c r="H367" s="101">
        <f>IF(AND(M367&gt;0,M367&lt;=STATS!$C$22),1,"")</f>
        <v>1</v>
      </c>
      <c r="J367" s="22">
        <v>366</v>
      </c>
      <c r="K367" s="112">
        <v>46.09817</v>
      </c>
      <c r="L367" s="112">
        <v>-91.23246</v>
      </c>
      <c r="M367" s="4">
        <v>13</v>
      </c>
      <c r="N367" s="4" t="s">
        <v>480</v>
      </c>
      <c r="O367" s="4" t="s">
        <v>562</v>
      </c>
      <c r="Q367" s="4">
        <v>2</v>
      </c>
      <c r="R367" s="8"/>
      <c r="S367" s="8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DA367" s="4">
        <v>2</v>
      </c>
      <c r="EZ367" s="98"/>
      <c r="FA367" s="98"/>
      <c r="FB367" s="98"/>
      <c r="FC367" s="98"/>
      <c r="FD367" s="98"/>
    </row>
    <row r="368" spans="2:160" ht="12.75">
      <c r="B368" s="83">
        <f t="shared" si="30"/>
        <v>2</v>
      </c>
      <c r="C368" s="83">
        <f t="shared" si="31"/>
        <v>2</v>
      </c>
      <c r="D368" s="83">
        <f t="shared" si="32"/>
        <v>2</v>
      </c>
      <c r="E368" s="83">
        <f t="shared" si="33"/>
        <v>2</v>
      </c>
      <c r="F368" s="83">
        <f t="shared" si="34"/>
        <v>2</v>
      </c>
      <c r="G368" s="83">
        <f t="shared" si="35"/>
        <v>19</v>
      </c>
      <c r="H368" s="101">
        <f>IF(AND(M368&gt;0,M368&lt;=STATS!$C$22),1,"")</f>
        <v>1</v>
      </c>
      <c r="J368" s="22">
        <v>367</v>
      </c>
      <c r="K368" s="112">
        <v>46.09817</v>
      </c>
      <c r="L368" s="112">
        <v>-91.23185</v>
      </c>
      <c r="M368" s="4">
        <v>19</v>
      </c>
      <c r="N368" s="4" t="s">
        <v>480</v>
      </c>
      <c r="O368" s="4" t="s">
        <v>562</v>
      </c>
      <c r="Q368" s="4">
        <v>1</v>
      </c>
      <c r="R368" s="8"/>
      <c r="S368" s="8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DA368" s="4">
        <v>1</v>
      </c>
      <c r="DE368" s="4">
        <v>1</v>
      </c>
      <c r="EZ368" s="98"/>
      <c r="FA368" s="98"/>
      <c r="FB368" s="98"/>
      <c r="FC368" s="98"/>
      <c r="FD368" s="98"/>
    </row>
    <row r="369" spans="2:160" ht="12.75">
      <c r="B369" s="83">
        <f t="shared" si="30"/>
        <v>0</v>
      </c>
      <c r="C369" s="83">
        <f t="shared" si="31"/>
      </c>
      <c r="D369" s="83">
        <f t="shared" si="32"/>
      </c>
      <c r="E369" s="83">
        <f t="shared" si="33"/>
      </c>
      <c r="F369" s="83">
        <f t="shared" si="34"/>
      </c>
      <c r="G369" s="83">
        <f t="shared" si="35"/>
      </c>
      <c r="H369" s="101">
        <f>IF(AND(M369&gt;0,M369&lt;=STATS!$C$22),1,"")</f>
      </c>
      <c r="J369" s="22">
        <v>368</v>
      </c>
      <c r="K369" s="112">
        <v>46.09818</v>
      </c>
      <c r="L369" s="112">
        <v>-91.23124</v>
      </c>
      <c r="M369" s="4">
        <v>25</v>
      </c>
      <c r="N369" s="4" t="s">
        <v>480</v>
      </c>
      <c r="O369" s="4" t="s">
        <v>482</v>
      </c>
      <c r="R369" s="8"/>
      <c r="S369" s="8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EZ369" s="98"/>
      <c r="FA369" s="98"/>
      <c r="FB369" s="98"/>
      <c r="FC369" s="98"/>
      <c r="FD369" s="98"/>
    </row>
    <row r="370" spans="2:160" ht="12.75">
      <c r="B370" s="83">
        <f t="shared" si="30"/>
        <v>0</v>
      </c>
      <c r="C370" s="83">
        <f t="shared" si="31"/>
      </c>
      <c r="D370" s="83">
        <f t="shared" si="32"/>
      </c>
      <c r="E370" s="83">
        <f t="shared" si="33"/>
      </c>
      <c r="F370" s="83">
        <f t="shared" si="34"/>
      </c>
      <c r="G370" s="83">
        <f t="shared" si="35"/>
      </c>
      <c r="H370" s="101">
        <f>IF(AND(M370&gt;0,M370&lt;=STATS!$C$22),1,"")</f>
      </c>
      <c r="J370" s="22">
        <v>369</v>
      </c>
      <c r="K370" s="112">
        <v>46.09819</v>
      </c>
      <c r="L370" s="112">
        <v>-91.23064</v>
      </c>
      <c r="M370" s="4">
        <v>27.5</v>
      </c>
      <c r="N370" s="4" t="s">
        <v>480</v>
      </c>
      <c r="O370" s="4" t="s">
        <v>482</v>
      </c>
      <c r="R370" s="8"/>
      <c r="S370" s="8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EZ370" s="98"/>
      <c r="FA370" s="98"/>
      <c r="FB370" s="98"/>
      <c r="FC370" s="98"/>
      <c r="FD370" s="98"/>
    </row>
    <row r="371" spans="2:160" ht="12.75">
      <c r="B371" s="83">
        <f t="shared" si="30"/>
        <v>3</v>
      </c>
      <c r="C371" s="83">
        <f t="shared" si="31"/>
        <v>3</v>
      </c>
      <c r="D371" s="83">
        <f t="shared" si="32"/>
        <v>3</v>
      </c>
      <c r="E371" s="83">
        <f t="shared" si="33"/>
        <v>3</v>
      </c>
      <c r="F371" s="83">
        <f t="shared" si="34"/>
        <v>3</v>
      </c>
      <c r="G371" s="83">
        <f t="shared" si="35"/>
        <v>7</v>
      </c>
      <c r="H371" s="101">
        <f>IF(AND(M371&gt;0,M371&lt;=STATS!$C$22),1,"")</f>
        <v>1</v>
      </c>
      <c r="J371" s="22">
        <v>370</v>
      </c>
      <c r="K371" s="112">
        <v>46.09819</v>
      </c>
      <c r="L371" s="112">
        <v>-91.23003</v>
      </c>
      <c r="M371" s="4">
        <v>7</v>
      </c>
      <c r="N371" s="4" t="s">
        <v>480</v>
      </c>
      <c r="O371" s="4" t="s">
        <v>562</v>
      </c>
      <c r="Q371" s="4">
        <v>2</v>
      </c>
      <c r="R371" s="8"/>
      <c r="S371" s="8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BT371" s="4">
        <v>2</v>
      </c>
      <c r="CI371" s="4">
        <v>1</v>
      </c>
      <c r="DK371" s="4">
        <v>1</v>
      </c>
      <c r="EZ371" s="98"/>
      <c r="FA371" s="98"/>
      <c r="FB371" s="98"/>
      <c r="FC371" s="98"/>
      <c r="FD371" s="98"/>
    </row>
    <row r="372" spans="2:160" ht="12.75">
      <c r="B372" s="83">
        <f t="shared" si="30"/>
        <v>5</v>
      </c>
      <c r="C372" s="83">
        <f t="shared" si="31"/>
        <v>5</v>
      </c>
      <c r="D372" s="83">
        <f t="shared" si="32"/>
        <v>5</v>
      </c>
      <c r="E372" s="83">
        <f t="shared" si="33"/>
        <v>5</v>
      </c>
      <c r="F372" s="83">
        <f t="shared" si="34"/>
        <v>5</v>
      </c>
      <c r="G372" s="83">
        <f t="shared" si="35"/>
        <v>1.5</v>
      </c>
      <c r="H372" s="101">
        <f>IF(AND(M372&gt;0,M372&lt;=STATS!$C$22),1,"")</f>
        <v>1</v>
      </c>
      <c r="J372" s="22">
        <v>371</v>
      </c>
      <c r="K372" s="112">
        <v>46.09848</v>
      </c>
      <c r="L372" s="112">
        <v>-91.2422</v>
      </c>
      <c r="M372" s="4">
        <v>1.5</v>
      </c>
      <c r="N372" s="4" t="s">
        <v>481</v>
      </c>
      <c r="O372" s="4" t="s">
        <v>562</v>
      </c>
      <c r="Q372" s="4">
        <v>3</v>
      </c>
      <c r="R372" s="8"/>
      <c r="S372" s="8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M372" s="4">
        <v>1</v>
      </c>
      <c r="AT372" s="4">
        <v>1</v>
      </c>
      <c r="BC372" s="4">
        <v>3</v>
      </c>
      <c r="BP372" s="4">
        <v>1</v>
      </c>
      <c r="CG372" s="4" t="s">
        <v>483</v>
      </c>
      <c r="CP372" s="4">
        <v>1</v>
      </c>
      <c r="EZ372" s="98"/>
      <c r="FA372" s="98"/>
      <c r="FB372" s="98"/>
      <c r="FC372" s="98"/>
      <c r="FD372" s="98"/>
    </row>
    <row r="373" spans="2:160" ht="12.75">
      <c r="B373" s="83">
        <f t="shared" si="30"/>
        <v>0</v>
      </c>
      <c r="C373" s="83">
        <f t="shared" si="31"/>
      </c>
      <c r="D373" s="83">
        <f t="shared" si="32"/>
      </c>
      <c r="E373" s="83">
        <f t="shared" si="33"/>
        <v>0</v>
      </c>
      <c r="F373" s="83">
        <f t="shared" si="34"/>
        <v>0</v>
      </c>
      <c r="G373" s="83">
        <f t="shared" si="35"/>
      </c>
      <c r="H373" s="101">
        <f>IF(AND(M373&gt;0,M373&lt;=STATS!$C$22),1,"")</f>
        <v>1</v>
      </c>
      <c r="J373" s="22">
        <v>372</v>
      </c>
      <c r="K373" s="112">
        <v>46.09849</v>
      </c>
      <c r="L373" s="112">
        <v>-91.24159</v>
      </c>
      <c r="M373" s="4">
        <v>4.5</v>
      </c>
      <c r="N373" s="4" t="s">
        <v>481</v>
      </c>
      <c r="O373" s="4" t="s">
        <v>562</v>
      </c>
      <c r="R373" s="8"/>
      <c r="S373" s="8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EZ373" s="98"/>
      <c r="FA373" s="98"/>
      <c r="FB373" s="98"/>
      <c r="FC373" s="98"/>
      <c r="FD373" s="98"/>
    </row>
    <row r="374" spans="2:160" ht="12.75">
      <c r="B374" s="83">
        <f t="shared" si="30"/>
        <v>0</v>
      </c>
      <c r="C374" s="83">
        <f t="shared" si="31"/>
      </c>
      <c r="D374" s="83">
        <f t="shared" si="32"/>
      </c>
      <c r="E374" s="83">
        <f t="shared" si="33"/>
        <v>0</v>
      </c>
      <c r="F374" s="83">
        <f t="shared" si="34"/>
        <v>0</v>
      </c>
      <c r="G374" s="83">
        <f t="shared" si="35"/>
      </c>
      <c r="H374" s="101">
        <f>IF(AND(M374&gt;0,M374&lt;=STATS!$C$22),1,"")</f>
        <v>1</v>
      </c>
      <c r="J374" s="22">
        <v>373</v>
      </c>
      <c r="K374" s="112">
        <v>46.0985</v>
      </c>
      <c r="L374" s="112">
        <v>-91.24098</v>
      </c>
      <c r="M374" s="4">
        <v>5.5</v>
      </c>
      <c r="N374" s="4" t="s">
        <v>480</v>
      </c>
      <c r="O374" s="4" t="s">
        <v>562</v>
      </c>
      <c r="R374" s="8"/>
      <c r="S374" s="8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EZ374" s="98"/>
      <c r="FA374" s="98"/>
      <c r="FB374" s="98"/>
      <c r="FC374" s="98"/>
      <c r="FD374" s="98"/>
    </row>
    <row r="375" spans="2:160" ht="12.75">
      <c r="B375" s="83">
        <f t="shared" si="30"/>
        <v>0</v>
      </c>
      <c r="C375" s="83">
        <f t="shared" si="31"/>
      </c>
      <c r="D375" s="83">
        <f t="shared" si="32"/>
      </c>
      <c r="E375" s="83">
        <f t="shared" si="33"/>
        <v>0</v>
      </c>
      <c r="F375" s="83">
        <f t="shared" si="34"/>
        <v>0</v>
      </c>
      <c r="G375" s="83">
        <f t="shared" si="35"/>
      </c>
      <c r="H375" s="101">
        <f>IF(AND(M375&gt;0,M375&lt;=STATS!$C$22),1,"")</f>
        <v>1</v>
      </c>
      <c r="J375" s="22">
        <v>374</v>
      </c>
      <c r="K375" s="112">
        <v>46.0985</v>
      </c>
      <c r="L375" s="112">
        <v>-91.24037</v>
      </c>
      <c r="M375" s="4">
        <v>5.5</v>
      </c>
      <c r="N375" s="4" t="s">
        <v>480</v>
      </c>
      <c r="O375" s="4" t="s">
        <v>562</v>
      </c>
      <c r="R375" s="8"/>
      <c r="S375" s="8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EZ375" s="98"/>
      <c r="FA375" s="98"/>
      <c r="FB375" s="98"/>
      <c r="FC375" s="98"/>
      <c r="FD375" s="98"/>
    </row>
    <row r="376" spans="2:160" ht="12.75">
      <c r="B376" s="83">
        <f t="shared" si="30"/>
        <v>1</v>
      </c>
      <c r="C376" s="83">
        <f t="shared" si="31"/>
        <v>1</v>
      </c>
      <c r="D376" s="83">
        <f t="shared" si="32"/>
        <v>1</v>
      </c>
      <c r="E376" s="83">
        <f t="shared" si="33"/>
        <v>1</v>
      </c>
      <c r="F376" s="83">
        <f t="shared" si="34"/>
        <v>1</v>
      </c>
      <c r="G376" s="83">
        <f t="shared" si="35"/>
        <v>7</v>
      </c>
      <c r="H376" s="101">
        <f>IF(AND(M376&gt;0,M376&lt;=STATS!$C$22),1,"")</f>
        <v>1</v>
      </c>
      <c r="J376" s="22">
        <v>375</v>
      </c>
      <c r="K376" s="112">
        <v>46.09851</v>
      </c>
      <c r="L376" s="112">
        <v>-91.23976</v>
      </c>
      <c r="M376" s="4">
        <v>7</v>
      </c>
      <c r="N376" s="4" t="s">
        <v>480</v>
      </c>
      <c r="O376" s="4" t="s">
        <v>562</v>
      </c>
      <c r="Q376" s="4">
        <v>1</v>
      </c>
      <c r="R376" s="8"/>
      <c r="S376" s="8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BR376" s="4">
        <v>1</v>
      </c>
      <c r="EZ376" s="98"/>
      <c r="FA376" s="98"/>
      <c r="FB376" s="98"/>
      <c r="FC376" s="98"/>
      <c r="FD376" s="98"/>
    </row>
    <row r="377" spans="2:160" ht="12.75">
      <c r="B377" s="83">
        <f t="shared" si="30"/>
        <v>0</v>
      </c>
      <c r="C377" s="83">
        <f t="shared" si="31"/>
      </c>
      <c r="D377" s="83">
        <f t="shared" si="32"/>
      </c>
      <c r="E377" s="83">
        <f t="shared" si="33"/>
        <v>0</v>
      </c>
      <c r="F377" s="83">
        <f t="shared" si="34"/>
        <v>0</v>
      </c>
      <c r="G377" s="83">
        <f t="shared" si="35"/>
      </c>
      <c r="H377" s="101">
        <f>IF(AND(M377&gt;0,M377&lt;=STATS!$C$22),1,"")</f>
        <v>1</v>
      </c>
      <c r="J377" s="22">
        <v>376</v>
      </c>
      <c r="K377" s="112">
        <v>46.09852</v>
      </c>
      <c r="L377" s="112">
        <v>-91.23916</v>
      </c>
      <c r="M377" s="4">
        <v>5.5</v>
      </c>
      <c r="N377" s="4" t="s">
        <v>480</v>
      </c>
      <c r="O377" s="4" t="s">
        <v>562</v>
      </c>
      <c r="R377" s="8"/>
      <c r="S377" s="8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EZ377" s="98"/>
      <c r="FA377" s="98"/>
      <c r="FB377" s="98"/>
      <c r="FC377" s="98"/>
      <c r="FD377" s="98"/>
    </row>
    <row r="378" spans="2:160" ht="12.75">
      <c r="B378" s="83">
        <f t="shared" si="30"/>
        <v>0</v>
      </c>
      <c r="C378" s="83">
        <f t="shared" si="31"/>
      </c>
      <c r="D378" s="83">
        <f t="shared" si="32"/>
      </c>
      <c r="E378" s="83">
        <f t="shared" si="33"/>
        <v>0</v>
      </c>
      <c r="F378" s="83">
        <f t="shared" si="34"/>
        <v>0</v>
      </c>
      <c r="G378" s="83">
        <f t="shared" si="35"/>
      </c>
      <c r="H378" s="101">
        <f>IF(AND(M378&gt;0,M378&lt;=STATS!$C$22),1,"")</f>
        <v>1</v>
      </c>
      <c r="J378" s="22">
        <v>377</v>
      </c>
      <c r="K378" s="112">
        <v>46.09852</v>
      </c>
      <c r="L378" s="112">
        <v>-91.23855</v>
      </c>
      <c r="M378" s="4">
        <v>5.5</v>
      </c>
      <c r="N378" s="4" t="s">
        <v>480</v>
      </c>
      <c r="O378" s="4" t="s">
        <v>562</v>
      </c>
      <c r="R378" s="8"/>
      <c r="S378" s="8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EZ378" s="98"/>
      <c r="FA378" s="98"/>
      <c r="FB378" s="98"/>
      <c r="FC378" s="98"/>
      <c r="FD378" s="98"/>
    </row>
    <row r="379" spans="2:160" ht="12.75">
      <c r="B379" s="83">
        <f t="shared" si="30"/>
        <v>0</v>
      </c>
      <c r="C379" s="83">
        <f t="shared" si="31"/>
      </c>
      <c r="D379" s="83">
        <f t="shared" si="32"/>
      </c>
      <c r="E379" s="83">
        <f t="shared" si="33"/>
        <v>0</v>
      </c>
      <c r="F379" s="83">
        <f t="shared" si="34"/>
        <v>0</v>
      </c>
      <c r="G379" s="83">
        <f t="shared" si="35"/>
      </c>
      <c r="H379" s="101">
        <f>IF(AND(M379&gt;0,M379&lt;=STATS!$C$22),1,"")</f>
        <v>1</v>
      </c>
      <c r="J379" s="22">
        <v>378</v>
      </c>
      <c r="K379" s="112">
        <v>46.09853</v>
      </c>
      <c r="L379" s="112">
        <v>-91.23794</v>
      </c>
      <c r="M379" s="4">
        <v>5.5</v>
      </c>
      <c r="N379" s="4" t="s">
        <v>480</v>
      </c>
      <c r="O379" s="4" t="s">
        <v>562</v>
      </c>
      <c r="R379" s="8"/>
      <c r="S379" s="8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EZ379" s="98"/>
      <c r="FA379" s="98"/>
      <c r="FB379" s="98"/>
      <c r="FC379" s="98"/>
      <c r="FD379" s="98"/>
    </row>
    <row r="380" spans="2:160" ht="12.75">
      <c r="B380" s="83">
        <f t="shared" si="30"/>
        <v>3</v>
      </c>
      <c r="C380" s="83">
        <f t="shared" si="31"/>
        <v>3</v>
      </c>
      <c r="D380" s="83">
        <f t="shared" si="32"/>
        <v>3</v>
      </c>
      <c r="E380" s="83">
        <f t="shared" si="33"/>
        <v>3</v>
      </c>
      <c r="F380" s="83">
        <f t="shared" si="34"/>
        <v>3</v>
      </c>
      <c r="G380" s="83">
        <f t="shared" si="35"/>
        <v>5.5</v>
      </c>
      <c r="H380" s="101">
        <f>IF(AND(M380&gt;0,M380&lt;=STATS!$C$22),1,"")</f>
        <v>1</v>
      </c>
      <c r="J380" s="22">
        <v>379</v>
      </c>
      <c r="K380" s="112">
        <v>46.09854</v>
      </c>
      <c r="L380" s="112">
        <v>-91.23733</v>
      </c>
      <c r="M380" s="4">
        <v>5.5</v>
      </c>
      <c r="N380" s="4" t="s">
        <v>480</v>
      </c>
      <c r="O380" s="4" t="s">
        <v>562</v>
      </c>
      <c r="Q380" s="4">
        <v>1</v>
      </c>
      <c r="R380" s="8"/>
      <c r="S380" s="8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>
        <v>1</v>
      </c>
      <c r="AH380" s="24"/>
      <c r="BR380" s="4">
        <v>1</v>
      </c>
      <c r="CI380" s="4">
        <v>1</v>
      </c>
      <c r="EZ380" s="98"/>
      <c r="FA380" s="98"/>
      <c r="FB380" s="98"/>
      <c r="FC380" s="98"/>
      <c r="FD380" s="98"/>
    </row>
    <row r="381" spans="2:160" ht="12.75">
      <c r="B381" s="83">
        <f t="shared" si="30"/>
        <v>3</v>
      </c>
      <c r="C381" s="83">
        <f t="shared" si="31"/>
        <v>3</v>
      </c>
      <c r="D381" s="83">
        <f t="shared" si="32"/>
        <v>3</v>
      </c>
      <c r="E381" s="83">
        <f t="shared" si="33"/>
        <v>3</v>
      </c>
      <c r="F381" s="83">
        <f t="shared" si="34"/>
        <v>3</v>
      </c>
      <c r="G381" s="83">
        <f t="shared" si="35"/>
        <v>5.5</v>
      </c>
      <c r="H381" s="101">
        <f>IF(AND(M381&gt;0,M381&lt;=STATS!$C$22),1,"")</f>
        <v>1</v>
      </c>
      <c r="J381" s="22">
        <v>380</v>
      </c>
      <c r="K381" s="112">
        <v>46.09854</v>
      </c>
      <c r="L381" s="112">
        <v>-91.23673</v>
      </c>
      <c r="M381" s="4">
        <v>5.5</v>
      </c>
      <c r="N381" s="4" t="s">
        <v>480</v>
      </c>
      <c r="O381" s="4" t="s">
        <v>562</v>
      </c>
      <c r="Q381" s="4">
        <v>2</v>
      </c>
      <c r="R381" s="8"/>
      <c r="S381" s="8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>
        <v>1</v>
      </c>
      <c r="AH381" s="24"/>
      <c r="CI381" s="4">
        <v>2</v>
      </c>
      <c r="CW381" s="4">
        <v>1</v>
      </c>
      <c r="EZ381" s="98"/>
      <c r="FA381" s="98"/>
      <c r="FB381" s="98"/>
      <c r="FC381" s="98"/>
      <c r="FD381" s="98"/>
    </row>
    <row r="382" spans="2:160" ht="12.75">
      <c r="B382" s="83">
        <f t="shared" si="30"/>
        <v>3</v>
      </c>
      <c r="C382" s="83">
        <f t="shared" si="31"/>
        <v>3</v>
      </c>
      <c r="D382" s="83">
        <f t="shared" si="32"/>
        <v>3</v>
      </c>
      <c r="E382" s="83">
        <f t="shared" si="33"/>
        <v>3</v>
      </c>
      <c r="F382" s="83">
        <f t="shared" si="34"/>
        <v>3</v>
      </c>
      <c r="G382" s="83">
        <f t="shared" si="35"/>
        <v>6</v>
      </c>
      <c r="H382" s="101">
        <f>IF(AND(M382&gt;0,M382&lt;=STATS!$C$22),1,"")</f>
        <v>1</v>
      </c>
      <c r="J382" s="22">
        <v>381</v>
      </c>
      <c r="K382" s="112">
        <v>46.09855</v>
      </c>
      <c r="L382" s="112">
        <v>-91.23612</v>
      </c>
      <c r="M382" s="4">
        <v>6</v>
      </c>
      <c r="N382" s="4" t="s">
        <v>480</v>
      </c>
      <c r="O382" s="4" t="s">
        <v>562</v>
      </c>
      <c r="Q382" s="4">
        <v>2</v>
      </c>
      <c r="R382" s="8"/>
      <c r="S382" s="8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CI382" s="4">
        <v>1</v>
      </c>
      <c r="DA382" s="4">
        <v>2</v>
      </c>
      <c r="ES382" s="4">
        <v>1</v>
      </c>
      <c r="EZ382" s="98"/>
      <c r="FA382" s="98"/>
      <c r="FB382" s="98"/>
      <c r="FC382" s="98"/>
      <c r="FD382" s="98"/>
    </row>
    <row r="383" spans="2:160" ht="12.75">
      <c r="B383" s="83">
        <f t="shared" si="30"/>
        <v>1</v>
      </c>
      <c r="C383" s="83">
        <f t="shared" si="31"/>
        <v>1</v>
      </c>
      <c r="D383" s="83">
        <f t="shared" si="32"/>
        <v>1</v>
      </c>
      <c r="E383" s="83">
        <f t="shared" si="33"/>
        <v>1</v>
      </c>
      <c r="F383" s="83">
        <f t="shared" si="34"/>
        <v>1</v>
      </c>
      <c r="G383" s="83">
        <f t="shared" si="35"/>
        <v>8</v>
      </c>
      <c r="H383" s="101">
        <f>IF(AND(M383&gt;0,M383&lt;=STATS!$C$22),1,"")</f>
        <v>1</v>
      </c>
      <c r="J383" s="22">
        <v>382</v>
      </c>
      <c r="K383" s="112">
        <v>46.09856</v>
      </c>
      <c r="L383" s="112">
        <v>-91.23551</v>
      </c>
      <c r="M383" s="4">
        <v>8</v>
      </c>
      <c r="N383" s="4" t="s">
        <v>480</v>
      </c>
      <c r="O383" s="4" t="s">
        <v>562</v>
      </c>
      <c r="Q383" s="4">
        <v>2</v>
      </c>
      <c r="R383" s="8"/>
      <c r="S383" s="8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DA383" s="4">
        <v>2</v>
      </c>
      <c r="EZ383" s="98"/>
      <c r="FA383" s="98"/>
      <c r="FB383" s="98"/>
      <c r="FC383" s="98"/>
      <c r="FD383" s="98"/>
    </row>
    <row r="384" spans="2:160" ht="12.75">
      <c r="B384" s="83">
        <f t="shared" si="30"/>
        <v>1</v>
      </c>
      <c r="C384" s="83">
        <f t="shared" si="31"/>
        <v>1</v>
      </c>
      <c r="D384" s="83">
        <f t="shared" si="32"/>
        <v>1</v>
      </c>
      <c r="E384" s="83">
        <f t="shared" si="33"/>
        <v>1</v>
      </c>
      <c r="F384" s="83">
        <f t="shared" si="34"/>
        <v>1</v>
      </c>
      <c r="G384" s="83">
        <f t="shared" si="35"/>
        <v>8.5</v>
      </c>
      <c r="H384" s="101">
        <f>IF(AND(M384&gt;0,M384&lt;=STATS!$C$22),1,"")</f>
        <v>1</v>
      </c>
      <c r="J384" s="22">
        <v>383</v>
      </c>
      <c r="K384" s="112">
        <v>46.09856</v>
      </c>
      <c r="L384" s="112">
        <v>-91.2349</v>
      </c>
      <c r="M384" s="4">
        <v>8.5</v>
      </c>
      <c r="N384" s="4" t="s">
        <v>480</v>
      </c>
      <c r="O384" s="4" t="s">
        <v>562</v>
      </c>
      <c r="Q384" s="4">
        <v>2</v>
      </c>
      <c r="R384" s="8"/>
      <c r="S384" s="8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CI384" s="4" t="s">
        <v>483</v>
      </c>
      <c r="CW384" s="4" t="s">
        <v>483</v>
      </c>
      <c r="DA384" s="4">
        <v>2</v>
      </c>
      <c r="EZ384" s="98"/>
      <c r="FA384" s="98"/>
      <c r="FB384" s="98"/>
      <c r="FC384" s="98"/>
      <c r="FD384" s="98"/>
    </row>
    <row r="385" spans="2:160" ht="12.75">
      <c r="B385" s="83">
        <f t="shared" si="30"/>
        <v>1</v>
      </c>
      <c r="C385" s="83">
        <f t="shared" si="31"/>
        <v>1</v>
      </c>
      <c r="D385" s="83">
        <f t="shared" si="32"/>
        <v>1</v>
      </c>
      <c r="E385" s="83">
        <f t="shared" si="33"/>
        <v>1</v>
      </c>
      <c r="F385" s="83">
        <f t="shared" si="34"/>
        <v>1</v>
      </c>
      <c r="G385" s="83">
        <f t="shared" si="35"/>
        <v>14.5</v>
      </c>
      <c r="H385" s="101">
        <f>IF(AND(M385&gt;0,M385&lt;=STATS!$C$22),1,"")</f>
        <v>1</v>
      </c>
      <c r="J385" s="22">
        <v>384</v>
      </c>
      <c r="K385" s="112">
        <v>46.09857</v>
      </c>
      <c r="L385" s="112">
        <v>-91.23429</v>
      </c>
      <c r="M385" s="4">
        <v>14.5</v>
      </c>
      <c r="N385" s="4" t="s">
        <v>480</v>
      </c>
      <c r="O385" s="4" t="s">
        <v>562</v>
      </c>
      <c r="Q385" s="4">
        <v>3</v>
      </c>
      <c r="R385" s="8"/>
      <c r="S385" s="8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DA385" s="4">
        <v>3</v>
      </c>
      <c r="EZ385" s="98"/>
      <c r="FA385" s="98"/>
      <c r="FB385" s="98"/>
      <c r="FC385" s="98"/>
      <c r="FD385" s="98"/>
    </row>
    <row r="386" spans="2:160" ht="12.75">
      <c r="B386" s="83">
        <f aca="true" t="shared" si="36" ref="B386:B449">COUNT(R386:EY386,FE386:FM386)</f>
        <v>1</v>
      </c>
      <c r="C386" s="83">
        <f aca="true" t="shared" si="37" ref="C386:C449">IF(COUNT(R386:EY386,FE386:FM386)&gt;0,COUNT(R386:EY386,FE386:FM386),"")</f>
        <v>1</v>
      </c>
      <c r="D386" s="83">
        <f aca="true" t="shared" si="38" ref="D386:D449">IF(COUNT(T386:BJ386,BL386:BT386,BV386:CB386,CD386:EY386,FE386:FM386)&gt;0,COUNT(T386:BJ386,BL386:BT386,BV386:CB386,CD386:EY386,FE386:FM386),"")</f>
        <v>1</v>
      </c>
      <c r="E386" s="83">
        <f aca="true" t="shared" si="39" ref="E386:E449">IF(H386=1,COUNT(R386:EY386,FE386:FM386),"")</f>
        <v>1</v>
      </c>
      <c r="F386" s="83">
        <f aca="true" t="shared" si="40" ref="F386:F449">IF(H386=1,COUNT(T386:BJ386,BL386:BT386,BV386:CB386,CD386:EY386,FE386:FM386),"")</f>
        <v>1</v>
      </c>
      <c r="G386" s="83">
        <f aca="true" t="shared" si="41" ref="G386:G449">IF($B386&gt;=1,$M386,"")</f>
        <v>18</v>
      </c>
      <c r="H386" s="101">
        <f>IF(AND(M386&gt;0,M386&lt;=STATS!$C$22),1,"")</f>
        <v>1</v>
      </c>
      <c r="J386" s="22">
        <v>385</v>
      </c>
      <c r="K386" s="112">
        <v>46.09858</v>
      </c>
      <c r="L386" s="112">
        <v>-91.23368</v>
      </c>
      <c r="M386" s="4">
        <v>18</v>
      </c>
      <c r="N386" s="4" t="s">
        <v>480</v>
      </c>
      <c r="O386" s="4" t="s">
        <v>562</v>
      </c>
      <c r="Q386" s="4">
        <v>2</v>
      </c>
      <c r="R386" s="8"/>
      <c r="S386" s="8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DA386" s="4">
        <v>2</v>
      </c>
      <c r="EZ386" s="98"/>
      <c r="FA386" s="98"/>
      <c r="FB386" s="98"/>
      <c r="FC386" s="98"/>
      <c r="FD386" s="98"/>
    </row>
    <row r="387" spans="2:160" ht="12.75">
      <c r="B387" s="83">
        <f t="shared" si="36"/>
        <v>1</v>
      </c>
      <c r="C387" s="83">
        <f t="shared" si="37"/>
        <v>1</v>
      </c>
      <c r="D387" s="83">
        <f t="shared" si="38"/>
        <v>1</v>
      </c>
      <c r="E387" s="83">
        <f t="shared" si="39"/>
        <v>1</v>
      </c>
      <c r="F387" s="83">
        <f t="shared" si="40"/>
        <v>1</v>
      </c>
      <c r="G387" s="83">
        <f t="shared" si="41"/>
        <v>18.5</v>
      </c>
      <c r="H387" s="101">
        <f>IF(AND(M387&gt;0,M387&lt;=STATS!$C$22),1,"")</f>
        <v>1</v>
      </c>
      <c r="J387" s="22">
        <v>386</v>
      </c>
      <c r="K387" s="112">
        <v>46.09858</v>
      </c>
      <c r="L387" s="112">
        <v>-91.23308</v>
      </c>
      <c r="M387" s="4">
        <v>18.5</v>
      </c>
      <c r="N387" s="4" t="s">
        <v>480</v>
      </c>
      <c r="O387" s="4" t="s">
        <v>562</v>
      </c>
      <c r="Q387" s="4">
        <v>2</v>
      </c>
      <c r="R387" s="8"/>
      <c r="S387" s="8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DA387" s="4">
        <v>2</v>
      </c>
      <c r="EZ387" s="98"/>
      <c r="FA387" s="98"/>
      <c r="FB387" s="98"/>
      <c r="FC387" s="98"/>
      <c r="FD387" s="98"/>
    </row>
    <row r="388" spans="2:160" ht="12.75">
      <c r="B388" s="83">
        <f t="shared" si="36"/>
        <v>0</v>
      </c>
      <c r="C388" s="83">
        <f t="shared" si="37"/>
      </c>
      <c r="D388" s="83">
        <f t="shared" si="38"/>
      </c>
      <c r="E388" s="83">
        <f t="shared" si="39"/>
        <v>0</v>
      </c>
      <c r="F388" s="83">
        <f t="shared" si="40"/>
        <v>0</v>
      </c>
      <c r="G388" s="83">
        <f t="shared" si="41"/>
      </c>
      <c r="H388" s="101">
        <f>IF(AND(M388&gt;0,M388&lt;=STATS!$C$22),1,"")</f>
        <v>1</v>
      </c>
      <c r="J388" s="22">
        <v>387</v>
      </c>
      <c r="K388" s="112">
        <v>46.09859</v>
      </c>
      <c r="L388" s="112">
        <v>-91.23247</v>
      </c>
      <c r="M388" s="4">
        <v>21</v>
      </c>
      <c r="N388" s="4" t="s">
        <v>480</v>
      </c>
      <c r="O388" s="4" t="s">
        <v>482</v>
      </c>
      <c r="R388" s="8"/>
      <c r="S388" s="8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EZ388" s="98"/>
      <c r="FA388" s="98"/>
      <c r="FB388" s="98"/>
      <c r="FC388" s="98"/>
      <c r="FD388" s="98"/>
    </row>
    <row r="389" spans="2:160" ht="12.75">
      <c r="B389" s="83">
        <f t="shared" si="36"/>
        <v>0</v>
      </c>
      <c r="C389" s="83">
        <f t="shared" si="37"/>
      </c>
      <c r="D389" s="83">
        <f t="shared" si="38"/>
      </c>
      <c r="E389" s="83">
        <f t="shared" si="39"/>
      </c>
      <c r="F389" s="83">
        <f t="shared" si="40"/>
      </c>
      <c r="G389" s="83">
        <f t="shared" si="41"/>
      </c>
      <c r="H389" s="101">
        <f>IF(AND(M389&gt;0,M389&lt;=STATS!$C$22),1,"")</f>
      </c>
      <c r="J389" s="22">
        <v>388</v>
      </c>
      <c r="K389" s="112">
        <v>46.0986</v>
      </c>
      <c r="L389" s="112">
        <v>-91.23186</v>
      </c>
      <c r="M389" s="4">
        <v>25</v>
      </c>
      <c r="N389" s="4" t="s">
        <v>480</v>
      </c>
      <c r="O389" s="4" t="s">
        <v>482</v>
      </c>
      <c r="R389" s="8"/>
      <c r="S389" s="8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EZ389" s="98"/>
      <c r="FA389" s="98"/>
      <c r="FB389" s="98"/>
      <c r="FC389" s="98"/>
      <c r="FD389" s="98"/>
    </row>
    <row r="390" spans="2:160" ht="12.75">
      <c r="B390" s="83">
        <f t="shared" si="36"/>
        <v>0</v>
      </c>
      <c r="C390" s="83">
        <f t="shared" si="37"/>
      </c>
      <c r="D390" s="83">
        <f t="shared" si="38"/>
      </c>
      <c r="E390" s="83">
        <f t="shared" si="39"/>
      </c>
      <c r="F390" s="83">
        <f t="shared" si="40"/>
      </c>
      <c r="G390" s="83">
        <f t="shared" si="41"/>
      </c>
      <c r="H390" s="101">
        <f>IF(AND(M390&gt;0,M390&lt;=STATS!$C$22),1,"")</f>
      </c>
      <c r="J390" s="22">
        <v>389</v>
      </c>
      <c r="K390" s="112">
        <v>46.0986</v>
      </c>
      <c r="L390" s="112">
        <v>-91.23125</v>
      </c>
      <c r="M390" s="4">
        <v>25</v>
      </c>
      <c r="N390" s="4" t="s">
        <v>480</v>
      </c>
      <c r="O390" s="4" t="s">
        <v>482</v>
      </c>
      <c r="R390" s="8"/>
      <c r="S390" s="8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EZ390" s="98"/>
      <c r="FA390" s="98"/>
      <c r="FB390" s="98"/>
      <c r="FC390" s="98"/>
      <c r="FD390" s="98"/>
    </row>
    <row r="391" spans="2:160" ht="12.75">
      <c r="B391" s="83">
        <f t="shared" si="36"/>
        <v>1</v>
      </c>
      <c r="C391" s="83">
        <f t="shared" si="37"/>
        <v>1</v>
      </c>
      <c r="D391" s="83">
        <f t="shared" si="38"/>
        <v>1</v>
      </c>
      <c r="E391" s="83">
        <f t="shared" si="39"/>
        <v>1</v>
      </c>
      <c r="F391" s="83">
        <f t="shared" si="40"/>
        <v>1</v>
      </c>
      <c r="G391" s="83">
        <f t="shared" si="41"/>
        <v>12.5</v>
      </c>
      <c r="H391" s="101">
        <f>IF(AND(M391&gt;0,M391&lt;=STATS!$C$22),1,"")</f>
        <v>1</v>
      </c>
      <c r="J391" s="22">
        <v>390</v>
      </c>
      <c r="K391" s="112">
        <v>46.09861</v>
      </c>
      <c r="L391" s="112">
        <v>-91.23065</v>
      </c>
      <c r="M391" s="4">
        <v>12.5</v>
      </c>
      <c r="N391" s="4" t="s">
        <v>480</v>
      </c>
      <c r="O391" s="4" t="s">
        <v>562</v>
      </c>
      <c r="Q391" s="4">
        <v>2</v>
      </c>
      <c r="R391" s="8"/>
      <c r="S391" s="8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DA391" s="4">
        <v>2</v>
      </c>
      <c r="EZ391" s="98"/>
      <c r="FA391" s="98"/>
      <c r="FB391" s="98"/>
      <c r="FC391" s="98"/>
      <c r="FD391" s="98"/>
    </row>
    <row r="392" spans="2:160" ht="12.75">
      <c r="B392" s="83">
        <f t="shared" si="36"/>
        <v>3</v>
      </c>
      <c r="C392" s="83">
        <f t="shared" si="37"/>
        <v>3</v>
      </c>
      <c r="D392" s="83">
        <f t="shared" si="38"/>
        <v>3</v>
      </c>
      <c r="E392" s="83">
        <f t="shared" si="39"/>
        <v>3</v>
      </c>
      <c r="F392" s="83">
        <f t="shared" si="40"/>
        <v>3</v>
      </c>
      <c r="G392" s="83">
        <f t="shared" si="41"/>
        <v>7</v>
      </c>
      <c r="H392" s="101">
        <f>IF(AND(M392&gt;0,M392&lt;=STATS!$C$22),1,"")</f>
        <v>1</v>
      </c>
      <c r="J392" s="22">
        <v>391</v>
      </c>
      <c r="K392" s="112">
        <v>46.09862</v>
      </c>
      <c r="L392" s="112">
        <v>-91.23004</v>
      </c>
      <c r="M392" s="4">
        <v>7</v>
      </c>
      <c r="N392" s="4" t="s">
        <v>480</v>
      </c>
      <c r="O392" s="4" t="s">
        <v>562</v>
      </c>
      <c r="Q392" s="4">
        <v>1</v>
      </c>
      <c r="R392" s="8"/>
      <c r="S392" s="8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BT392" s="4">
        <v>2</v>
      </c>
      <c r="DA392" s="4">
        <v>1</v>
      </c>
      <c r="DK392" s="4">
        <v>1</v>
      </c>
      <c r="EZ392" s="98"/>
      <c r="FA392" s="98"/>
      <c r="FB392" s="98"/>
      <c r="FC392" s="98"/>
      <c r="FD392" s="98"/>
    </row>
    <row r="393" spans="2:160" ht="12.75">
      <c r="B393" s="83">
        <f t="shared" si="36"/>
        <v>2</v>
      </c>
      <c r="C393" s="83">
        <f t="shared" si="37"/>
        <v>2</v>
      </c>
      <c r="D393" s="83">
        <f t="shared" si="38"/>
        <v>2</v>
      </c>
      <c r="E393" s="83">
        <f t="shared" si="39"/>
        <v>2</v>
      </c>
      <c r="F393" s="83">
        <f t="shared" si="40"/>
        <v>2</v>
      </c>
      <c r="G393" s="83">
        <f t="shared" si="41"/>
        <v>6</v>
      </c>
      <c r="H393" s="101">
        <f>IF(AND(M393&gt;0,M393&lt;=STATS!$C$22),1,"")</f>
        <v>1</v>
      </c>
      <c r="J393" s="22">
        <v>392</v>
      </c>
      <c r="K393" s="112">
        <v>46.09862</v>
      </c>
      <c r="L393" s="112">
        <v>-91.22943</v>
      </c>
      <c r="M393" s="4">
        <v>6</v>
      </c>
      <c r="N393" s="4" t="s">
        <v>481</v>
      </c>
      <c r="O393" s="4" t="s">
        <v>562</v>
      </c>
      <c r="Q393" s="4">
        <v>1</v>
      </c>
      <c r="R393" s="8"/>
      <c r="S393" s="8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>
        <v>1</v>
      </c>
      <c r="AH393" s="24"/>
      <c r="CI393" s="4">
        <v>1</v>
      </c>
      <c r="EZ393" s="98"/>
      <c r="FA393" s="98"/>
      <c r="FB393" s="98"/>
      <c r="FC393" s="98"/>
      <c r="FD393" s="98"/>
    </row>
    <row r="394" spans="2:160" ht="12.75">
      <c r="B394" s="83">
        <f t="shared" si="36"/>
        <v>1</v>
      </c>
      <c r="C394" s="83">
        <f t="shared" si="37"/>
        <v>1</v>
      </c>
      <c r="D394" s="83">
        <f t="shared" si="38"/>
        <v>1</v>
      </c>
      <c r="E394" s="83">
        <f t="shared" si="39"/>
        <v>1</v>
      </c>
      <c r="F394" s="83">
        <f t="shared" si="40"/>
        <v>1</v>
      </c>
      <c r="G394" s="83">
        <f t="shared" si="41"/>
        <v>5.5</v>
      </c>
      <c r="H394" s="101">
        <f>IF(AND(M394&gt;0,M394&lt;=STATS!$C$22),1,"")</f>
        <v>1</v>
      </c>
      <c r="J394" s="22">
        <v>393</v>
      </c>
      <c r="K394" s="112">
        <v>46.09893</v>
      </c>
      <c r="L394" s="112">
        <v>-91.23977</v>
      </c>
      <c r="M394" s="4">
        <v>5.5</v>
      </c>
      <c r="N394" s="4" t="s">
        <v>481</v>
      </c>
      <c r="O394" s="4" t="s">
        <v>562</v>
      </c>
      <c r="Q394" s="4">
        <v>1</v>
      </c>
      <c r="R394" s="8"/>
      <c r="S394" s="8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>
        <v>1</v>
      </c>
      <c r="AH394" s="24"/>
      <c r="EZ394" s="98"/>
      <c r="FA394" s="98"/>
      <c r="FB394" s="98"/>
      <c r="FC394" s="98"/>
      <c r="FD394" s="98"/>
    </row>
    <row r="395" spans="2:160" ht="12.75">
      <c r="B395" s="83">
        <f t="shared" si="36"/>
        <v>0</v>
      </c>
      <c r="C395" s="83">
        <f t="shared" si="37"/>
      </c>
      <c r="D395" s="83">
        <f t="shared" si="38"/>
      </c>
      <c r="E395" s="83">
        <f t="shared" si="39"/>
        <v>0</v>
      </c>
      <c r="F395" s="83">
        <f t="shared" si="40"/>
        <v>0</v>
      </c>
      <c r="G395" s="83">
        <f t="shared" si="41"/>
      </c>
      <c r="H395" s="101">
        <f>IF(AND(M395&gt;0,M395&lt;=STATS!$C$22),1,"")</f>
        <v>1</v>
      </c>
      <c r="J395" s="22">
        <v>394</v>
      </c>
      <c r="K395" s="112">
        <v>46.09894</v>
      </c>
      <c r="L395" s="112">
        <v>-91.23917</v>
      </c>
      <c r="M395" s="4">
        <v>6</v>
      </c>
      <c r="N395" s="4" t="s">
        <v>480</v>
      </c>
      <c r="O395" s="4" t="s">
        <v>562</v>
      </c>
      <c r="R395" s="8"/>
      <c r="S395" s="8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EZ395" s="98"/>
      <c r="FA395" s="98"/>
      <c r="FB395" s="98"/>
      <c r="FC395" s="98"/>
      <c r="FD395" s="98"/>
    </row>
    <row r="396" spans="2:160" ht="12.75">
      <c r="B396" s="83">
        <f t="shared" si="36"/>
        <v>0</v>
      </c>
      <c r="C396" s="83">
        <f t="shared" si="37"/>
      </c>
      <c r="D396" s="83">
        <f t="shared" si="38"/>
      </c>
      <c r="E396" s="83">
        <f t="shared" si="39"/>
        <v>0</v>
      </c>
      <c r="F396" s="83">
        <f t="shared" si="40"/>
        <v>0</v>
      </c>
      <c r="G396" s="83">
        <f t="shared" si="41"/>
      </c>
      <c r="H396" s="101">
        <f>IF(AND(M396&gt;0,M396&lt;=STATS!$C$22),1,"")</f>
        <v>1</v>
      </c>
      <c r="J396" s="22">
        <v>395</v>
      </c>
      <c r="K396" s="112">
        <v>46.09895</v>
      </c>
      <c r="L396" s="112">
        <v>-91.23856</v>
      </c>
      <c r="M396" s="4">
        <v>6.5</v>
      </c>
      <c r="N396" s="4" t="s">
        <v>480</v>
      </c>
      <c r="O396" s="4" t="s">
        <v>562</v>
      </c>
      <c r="R396" s="8"/>
      <c r="S396" s="8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EZ396" s="98"/>
      <c r="FA396" s="98"/>
      <c r="FB396" s="98"/>
      <c r="FC396" s="98"/>
      <c r="FD396" s="98"/>
    </row>
    <row r="397" spans="2:160" ht="12.75">
      <c r="B397" s="83">
        <f t="shared" si="36"/>
        <v>1</v>
      </c>
      <c r="C397" s="83">
        <f t="shared" si="37"/>
        <v>1</v>
      </c>
      <c r="D397" s="83">
        <f t="shared" si="38"/>
        <v>1</v>
      </c>
      <c r="E397" s="83">
        <f t="shared" si="39"/>
        <v>1</v>
      </c>
      <c r="F397" s="83">
        <f t="shared" si="40"/>
        <v>1</v>
      </c>
      <c r="G397" s="83">
        <f t="shared" si="41"/>
        <v>6</v>
      </c>
      <c r="H397" s="101">
        <f>IF(AND(M397&gt;0,M397&lt;=STATS!$C$22),1,"")</f>
        <v>1</v>
      </c>
      <c r="J397" s="22">
        <v>396</v>
      </c>
      <c r="K397" s="112">
        <v>46.09895</v>
      </c>
      <c r="L397" s="112">
        <v>-91.23795</v>
      </c>
      <c r="M397" s="4">
        <v>6</v>
      </c>
      <c r="N397" s="4" t="s">
        <v>480</v>
      </c>
      <c r="O397" s="4" t="s">
        <v>562</v>
      </c>
      <c r="Q397" s="4">
        <v>1</v>
      </c>
      <c r="R397" s="8"/>
      <c r="S397" s="8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CI397" s="4">
        <v>1</v>
      </c>
      <c r="EZ397" s="98"/>
      <c r="FA397" s="98"/>
      <c r="FB397" s="98"/>
      <c r="FC397" s="98"/>
      <c r="FD397" s="98"/>
    </row>
    <row r="398" spans="2:160" ht="12.75">
      <c r="B398" s="83">
        <f t="shared" si="36"/>
        <v>1</v>
      </c>
      <c r="C398" s="83">
        <f t="shared" si="37"/>
        <v>1</v>
      </c>
      <c r="D398" s="83">
        <f t="shared" si="38"/>
        <v>1</v>
      </c>
      <c r="E398" s="83">
        <f t="shared" si="39"/>
        <v>1</v>
      </c>
      <c r="F398" s="83">
        <f t="shared" si="40"/>
        <v>1</v>
      </c>
      <c r="G398" s="83">
        <f t="shared" si="41"/>
        <v>6</v>
      </c>
      <c r="H398" s="101">
        <f>IF(AND(M398&gt;0,M398&lt;=STATS!$C$22),1,"")</f>
        <v>1</v>
      </c>
      <c r="J398" s="22">
        <v>397</v>
      </c>
      <c r="K398" s="112">
        <v>46.09896</v>
      </c>
      <c r="L398" s="112">
        <v>-91.23734</v>
      </c>
      <c r="M398" s="4">
        <v>6</v>
      </c>
      <c r="N398" s="4" t="s">
        <v>480</v>
      </c>
      <c r="O398" s="4" t="s">
        <v>562</v>
      </c>
      <c r="Q398" s="4">
        <v>1</v>
      </c>
      <c r="R398" s="8"/>
      <c r="S398" s="8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BR398" s="4">
        <v>1</v>
      </c>
      <c r="EZ398" s="98"/>
      <c r="FA398" s="98"/>
      <c r="FB398" s="98"/>
      <c r="FC398" s="98"/>
      <c r="FD398" s="98"/>
    </row>
    <row r="399" spans="2:160" ht="12.75">
      <c r="B399" s="83">
        <f t="shared" si="36"/>
        <v>4</v>
      </c>
      <c r="C399" s="83">
        <f t="shared" si="37"/>
        <v>4</v>
      </c>
      <c r="D399" s="83">
        <f t="shared" si="38"/>
        <v>4</v>
      </c>
      <c r="E399" s="83">
        <f t="shared" si="39"/>
        <v>4</v>
      </c>
      <c r="F399" s="83">
        <f t="shared" si="40"/>
        <v>4</v>
      </c>
      <c r="G399" s="83">
        <f t="shared" si="41"/>
        <v>6</v>
      </c>
      <c r="H399" s="101">
        <f>IF(AND(M399&gt;0,M399&lt;=STATS!$C$22),1,"")</f>
        <v>1</v>
      </c>
      <c r="J399" s="22">
        <v>398</v>
      </c>
      <c r="K399" s="112">
        <v>46.09897</v>
      </c>
      <c r="L399" s="112">
        <v>-91.23673</v>
      </c>
      <c r="M399" s="4">
        <v>6</v>
      </c>
      <c r="N399" s="4" t="s">
        <v>480</v>
      </c>
      <c r="O399" s="4" t="s">
        <v>562</v>
      </c>
      <c r="Q399" s="4">
        <v>3</v>
      </c>
      <c r="R399" s="8"/>
      <c r="S399" s="8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BR399" s="4">
        <v>1</v>
      </c>
      <c r="CI399" s="4">
        <v>3</v>
      </c>
      <c r="CW399" s="4">
        <v>1</v>
      </c>
      <c r="DA399" s="4">
        <v>1</v>
      </c>
      <c r="EZ399" s="98"/>
      <c r="FA399" s="98"/>
      <c r="FB399" s="98"/>
      <c r="FC399" s="98"/>
      <c r="FD399" s="98"/>
    </row>
    <row r="400" spans="2:160" ht="12.75">
      <c r="B400" s="83">
        <f t="shared" si="36"/>
        <v>2</v>
      </c>
      <c r="C400" s="83">
        <f t="shared" si="37"/>
        <v>2</v>
      </c>
      <c r="D400" s="83">
        <f t="shared" si="38"/>
        <v>2</v>
      </c>
      <c r="E400" s="83">
        <f t="shared" si="39"/>
        <v>2</v>
      </c>
      <c r="F400" s="83">
        <f t="shared" si="40"/>
        <v>2</v>
      </c>
      <c r="G400" s="83">
        <f t="shared" si="41"/>
        <v>6</v>
      </c>
      <c r="H400" s="101">
        <f>IF(AND(M400&gt;0,M400&lt;=STATS!$C$22),1,"")</f>
        <v>1</v>
      </c>
      <c r="J400" s="22">
        <v>399</v>
      </c>
      <c r="K400" s="112">
        <v>46.09897</v>
      </c>
      <c r="L400" s="112">
        <v>-91.23613</v>
      </c>
      <c r="M400" s="4">
        <v>6</v>
      </c>
      <c r="N400" s="4" t="s">
        <v>480</v>
      </c>
      <c r="O400" s="4" t="s">
        <v>562</v>
      </c>
      <c r="Q400" s="4">
        <v>2</v>
      </c>
      <c r="R400" s="8"/>
      <c r="S400" s="8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CI400" s="4">
        <v>1</v>
      </c>
      <c r="CP400" s="4" t="s">
        <v>483</v>
      </c>
      <c r="DA400" s="4">
        <v>2</v>
      </c>
      <c r="EZ400" s="98"/>
      <c r="FA400" s="98"/>
      <c r="FB400" s="98"/>
      <c r="FC400" s="98"/>
      <c r="FD400" s="98"/>
    </row>
    <row r="401" spans="2:160" ht="12.75">
      <c r="B401" s="83">
        <f t="shared" si="36"/>
        <v>1</v>
      </c>
      <c r="C401" s="83">
        <f t="shared" si="37"/>
        <v>1</v>
      </c>
      <c r="D401" s="83">
        <f t="shared" si="38"/>
        <v>1</v>
      </c>
      <c r="E401" s="83">
        <f t="shared" si="39"/>
        <v>1</v>
      </c>
      <c r="F401" s="83">
        <f t="shared" si="40"/>
        <v>1</v>
      </c>
      <c r="G401" s="83">
        <f t="shared" si="41"/>
        <v>12.5</v>
      </c>
      <c r="H401" s="101">
        <f>IF(AND(M401&gt;0,M401&lt;=STATS!$C$22),1,"")</f>
        <v>1</v>
      </c>
      <c r="J401" s="22">
        <v>400</v>
      </c>
      <c r="K401" s="112">
        <v>46.09898</v>
      </c>
      <c r="L401" s="112">
        <v>-91.23552</v>
      </c>
      <c r="M401" s="4">
        <v>12.5</v>
      </c>
      <c r="N401" s="4" t="s">
        <v>480</v>
      </c>
      <c r="O401" s="4" t="s">
        <v>562</v>
      </c>
      <c r="Q401" s="4">
        <v>2</v>
      </c>
      <c r="R401" s="8"/>
      <c r="S401" s="8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DA401" s="4">
        <v>2</v>
      </c>
      <c r="EZ401" s="98"/>
      <c r="FA401" s="98"/>
      <c r="FB401" s="98"/>
      <c r="FC401" s="98"/>
      <c r="FD401" s="98"/>
    </row>
    <row r="402" spans="2:160" ht="12.75">
      <c r="B402" s="83">
        <f t="shared" si="36"/>
        <v>1</v>
      </c>
      <c r="C402" s="83">
        <f t="shared" si="37"/>
        <v>1</v>
      </c>
      <c r="D402" s="83">
        <f t="shared" si="38"/>
        <v>1</v>
      </c>
      <c r="E402" s="83">
        <f t="shared" si="39"/>
        <v>1</v>
      </c>
      <c r="F402" s="83">
        <f t="shared" si="40"/>
        <v>1</v>
      </c>
      <c r="G402" s="83">
        <f t="shared" si="41"/>
        <v>21.5</v>
      </c>
      <c r="H402" s="101">
        <f>IF(AND(M402&gt;0,M402&lt;=STATS!$C$22),1,"")</f>
        <v>1</v>
      </c>
      <c r="J402" s="22">
        <v>401</v>
      </c>
      <c r="K402" s="112">
        <v>46.09899</v>
      </c>
      <c r="L402" s="112">
        <v>-91.23491</v>
      </c>
      <c r="M402" s="4">
        <v>21.5</v>
      </c>
      <c r="N402" s="4" t="s">
        <v>480</v>
      </c>
      <c r="O402" s="4" t="s">
        <v>482</v>
      </c>
      <c r="Q402" s="4">
        <v>1</v>
      </c>
      <c r="R402" s="8"/>
      <c r="S402" s="8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DA402" s="4">
        <v>1</v>
      </c>
      <c r="EZ402" s="98"/>
      <c r="FA402" s="98"/>
      <c r="FB402" s="98"/>
      <c r="FC402" s="98"/>
      <c r="FD402" s="98"/>
    </row>
    <row r="403" spans="2:160" ht="12.75">
      <c r="B403" s="83">
        <f t="shared" si="36"/>
        <v>0</v>
      </c>
      <c r="C403" s="83">
        <f t="shared" si="37"/>
      </c>
      <c r="D403" s="83">
        <f t="shared" si="38"/>
      </c>
      <c r="E403" s="83">
        <f t="shared" si="39"/>
      </c>
      <c r="F403" s="83">
        <f t="shared" si="40"/>
      </c>
      <c r="G403" s="83">
        <f t="shared" si="41"/>
      </c>
      <c r="H403" s="101">
        <f>IF(AND(M403&gt;0,M403&lt;=STATS!$C$22),1,"")</f>
      </c>
      <c r="J403" s="22">
        <v>402</v>
      </c>
      <c r="K403" s="112">
        <v>46.09899</v>
      </c>
      <c r="L403" s="112">
        <v>-91.2343</v>
      </c>
      <c r="M403" s="4">
        <v>22</v>
      </c>
      <c r="N403" s="4" t="s">
        <v>480</v>
      </c>
      <c r="O403" s="4" t="s">
        <v>482</v>
      </c>
      <c r="R403" s="8"/>
      <c r="S403" s="8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EZ403" s="98"/>
      <c r="FA403" s="98"/>
      <c r="FB403" s="98"/>
      <c r="FC403" s="98"/>
      <c r="FD403" s="98"/>
    </row>
    <row r="404" spans="2:160" ht="12.75">
      <c r="B404" s="83">
        <f t="shared" si="36"/>
        <v>0</v>
      </c>
      <c r="C404" s="83">
        <f t="shared" si="37"/>
      </c>
      <c r="D404" s="83">
        <f t="shared" si="38"/>
      </c>
      <c r="E404" s="83">
        <f t="shared" si="39"/>
      </c>
      <c r="F404" s="83">
        <f t="shared" si="40"/>
      </c>
      <c r="G404" s="83">
        <f t="shared" si="41"/>
      </c>
      <c r="H404" s="101">
        <f>IF(AND(M404&gt;0,M404&lt;=STATS!$C$22),1,"")</f>
      </c>
      <c r="J404" s="22">
        <v>403</v>
      </c>
      <c r="K404" s="112">
        <v>46.099</v>
      </c>
      <c r="L404" s="112">
        <v>-91.2337</v>
      </c>
      <c r="M404" s="4">
        <v>23</v>
      </c>
      <c r="N404" s="4" t="s">
        <v>480</v>
      </c>
      <c r="O404" s="4" t="s">
        <v>482</v>
      </c>
      <c r="R404" s="8"/>
      <c r="S404" s="8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EZ404" s="98"/>
      <c r="FA404" s="98"/>
      <c r="FB404" s="98"/>
      <c r="FC404" s="98"/>
      <c r="FD404" s="98"/>
    </row>
    <row r="405" spans="2:160" ht="12.75">
      <c r="B405" s="83">
        <f t="shared" si="36"/>
        <v>1</v>
      </c>
      <c r="C405" s="83">
        <f t="shared" si="37"/>
        <v>1</v>
      </c>
      <c r="D405" s="83">
        <f t="shared" si="38"/>
        <v>1</v>
      </c>
      <c r="E405" s="83">
        <f t="shared" si="39"/>
        <v>1</v>
      </c>
      <c r="F405" s="83">
        <f t="shared" si="40"/>
        <v>1</v>
      </c>
      <c r="G405" s="83">
        <f t="shared" si="41"/>
        <v>20.5</v>
      </c>
      <c r="H405" s="101">
        <f>IF(AND(M405&gt;0,M405&lt;=STATS!$C$22),1,"")</f>
        <v>1</v>
      </c>
      <c r="J405" s="22">
        <v>404</v>
      </c>
      <c r="K405" s="112">
        <v>46.09901</v>
      </c>
      <c r="L405" s="112">
        <v>-91.23309</v>
      </c>
      <c r="M405" s="4">
        <v>20.5</v>
      </c>
      <c r="N405" s="4" t="s">
        <v>480</v>
      </c>
      <c r="O405" s="4" t="s">
        <v>482</v>
      </c>
      <c r="Q405" s="4">
        <v>2</v>
      </c>
      <c r="R405" s="8"/>
      <c r="S405" s="8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DA405" s="4">
        <v>2</v>
      </c>
      <c r="EZ405" s="98">
        <v>1</v>
      </c>
      <c r="FA405" s="98"/>
      <c r="FB405" s="98"/>
      <c r="FC405" s="98"/>
      <c r="FD405" s="98"/>
    </row>
    <row r="406" spans="2:160" ht="12.75">
      <c r="B406" s="83">
        <f t="shared" si="36"/>
        <v>0</v>
      </c>
      <c r="C406" s="83">
        <f t="shared" si="37"/>
      </c>
      <c r="D406" s="83">
        <f t="shared" si="38"/>
      </c>
      <c r="E406" s="83">
        <f t="shared" si="39"/>
        <v>0</v>
      </c>
      <c r="F406" s="83">
        <f t="shared" si="40"/>
        <v>0</v>
      </c>
      <c r="G406" s="83">
        <f t="shared" si="41"/>
      </c>
      <c r="H406" s="101">
        <f>IF(AND(M406&gt;0,M406&lt;=STATS!$C$22),1,"")</f>
        <v>1</v>
      </c>
      <c r="J406" s="22">
        <v>405</v>
      </c>
      <c r="K406" s="112">
        <v>46.09901</v>
      </c>
      <c r="L406" s="112">
        <v>-91.23248</v>
      </c>
      <c r="M406" s="4">
        <v>21.5</v>
      </c>
      <c r="N406" s="4" t="s">
        <v>480</v>
      </c>
      <c r="O406" s="4" t="s">
        <v>482</v>
      </c>
      <c r="R406" s="8"/>
      <c r="S406" s="8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EZ406" s="98"/>
      <c r="FA406" s="98"/>
      <c r="FB406" s="98"/>
      <c r="FC406" s="98"/>
      <c r="FD406" s="98"/>
    </row>
    <row r="407" spans="2:160" ht="12.75">
      <c r="B407" s="83">
        <f t="shared" si="36"/>
        <v>1</v>
      </c>
      <c r="C407" s="83">
        <f t="shared" si="37"/>
        <v>1</v>
      </c>
      <c r="D407" s="83">
        <f t="shared" si="38"/>
        <v>1</v>
      </c>
      <c r="E407" s="83">
        <f t="shared" si="39"/>
        <v>1</v>
      </c>
      <c r="F407" s="83">
        <f t="shared" si="40"/>
        <v>1</v>
      </c>
      <c r="G407" s="83">
        <f t="shared" si="41"/>
        <v>18.5</v>
      </c>
      <c r="H407" s="101">
        <f>IF(AND(M407&gt;0,M407&lt;=STATS!$C$22),1,"")</f>
        <v>1</v>
      </c>
      <c r="J407" s="22">
        <v>406</v>
      </c>
      <c r="K407" s="112">
        <v>46.09902</v>
      </c>
      <c r="L407" s="112">
        <v>-91.23187</v>
      </c>
      <c r="M407" s="4">
        <v>18.5</v>
      </c>
      <c r="N407" s="4" t="s">
        <v>480</v>
      </c>
      <c r="O407" s="4" t="s">
        <v>562</v>
      </c>
      <c r="Q407" s="4">
        <v>2</v>
      </c>
      <c r="R407" s="8"/>
      <c r="S407" s="8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DA407" s="4">
        <v>2</v>
      </c>
      <c r="EZ407" s="98"/>
      <c r="FA407" s="98"/>
      <c r="FB407" s="98"/>
      <c r="FC407" s="98"/>
      <c r="FD407" s="98"/>
    </row>
    <row r="408" spans="2:160" ht="12.75">
      <c r="B408" s="83">
        <f t="shared" si="36"/>
        <v>3</v>
      </c>
      <c r="C408" s="83">
        <f t="shared" si="37"/>
        <v>3</v>
      </c>
      <c r="D408" s="83">
        <f t="shared" si="38"/>
        <v>3</v>
      </c>
      <c r="E408" s="83">
        <f t="shared" si="39"/>
        <v>3</v>
      </c>
      <c r="F408" s="83">
        <f t="shared" si="40"/>
        <v>3</v>
      </c>
      <c r="G408" s="83">
        <f t="shared" si="41"/>
        <v>6.5</v>
      </c>
      <c r="H408" s="101">
        <f>IF(AND(M408&gt;0,M408&lt;=STATS!$C$22),1,"")</f>
        <v>1</v>
      </c>
      <c r="J408" s="22">
        <v>407</v>
      </c>
      <c r="K408" s="112">
        <v>46.09903</v>
      </c>
      <c r="L408" s="112">
        <v>-91.23126</v>
      </c>
      <c r="M408" s="4">
        <v>6.5</v>
      </c>
      <c r="N408" s="4" t="s">
        <v>480</v>
      </c>
      <c r="O408" s="4" t="s">
        <v>562</v>
      </c>
      <c r="Q408" s="4">
        <v>2</v>
      </c>
      <c r="R408" s="8"/>
      <c r="S408" s="8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BT408" s="4">
        <v>1</v>
      </c>
      <c r="CI408" s="4">
        <v>1</v>
      </c>
      <c r="DA408" s="4">
        <v>2</v>
      </c>
      <c r="EZ408" s="98"/>
      <c r="FA408" s="98"/>
      <c r="FB408" s="98"/>
      <c r="FC408" s="98"/>
      <c r="FD408" s="98"/>
    </row>
    <row r="409" spans="2:160" ht="12.75">
      <c r="B409" s="83">
        <f t="shared" si="36"/>
        <v>1</v>
      </c>
      <c r="C409" s="83">
        <f t="shared" si="37"/>
        <v>1</v>
      </c>
      <c r="D409" s="83">
        <f t="shared" si="38"/>
        <v>1</v>
      </c>
      <c r="E409" s="83">
        <f t="shared" si="39"/>
        <v>1</v>
      </c>
      <c r="F409" s="83">
        <f t="shared" si="40"/>
        <v>1</v>
      </c>
      <c r="G409" s="83">
        <f t="shared" si="41"/>
        <v>4.5</v>
      </c>
      <c r="H409" s="101">
        <f>IF(AND(M409&gt;0,M409&lt;=STATS!$C$22),1,"")</f>
        <v>1</v>
      </c>
      <c r="J409" s="22">
        <v>408</v>
      </c>
      <c r="K409" s="112">
        <v>46.09905</v>
      </c>
      <c r="L409" s="112">
        <v>-91.22944</v>
      </c>
      <c r="M409" s="4">
        <v>4.5</v>
      </c>
      <c r="N409" s="4" t="s">
        <v>482</v>
      </c>
      <c r="O409" s="4" t="s">
        <v>562</v>
      </c>
      <c r="Q409" s="4">
        <v>1</v>
      </c>
      <c r="R409" s="8"/>
      <c r="S409" s="8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>
        <v>1</v>
      </c>
      <c r="AH409" s="24"/>
      <c r="EZ409" s="98"/>
      <c r="FA409" s="98"/>
      <c r="FB409" s="98"/>
      <c r="FC409" s="98"/>
      <c r="FD409" s="98"/>
    </row>
    <row r="410" spans="2:160" ht="12.75">
      <c r="B410" s="83">
        <f t="shared" si="36"/>
        <v>2</v>
      </c>
      <c r="C410" s="83">
        <f t="shared" si="37"/>
        <v>2</v>
      </c>
      <c r="D410" s="83">
        <f t="shared" si="38"/>
        <v>2</v>
      </c>
      <c r="E410" s="83">
        <f t="shared" si="39"/>
        <v>2</v>
      </c>
      <c r="F410" s="83">
        <f t="shared" si="40"/>
        <v>2</v>
      </c>
      <c r="G410" s="83">
        <f t="shared" si="41"/>
        <v>4</v>
      </c>
      <c r="H410" s="101">
        <f>IF(AND(M410&gt;0,M410&lt;=STATS!$C$22),1,"")</f>
        <v>1</v>
      </c>
      <c r="J410" s="22">
        <v>409</v>
      </c>
      <c r="K410" s="112">
        <v>46.09936</v>
      </c>
      <c r="L410" s="112">
        <v>-91.23918</v>
      </c>
      <c r="M410" s="4">
        <v>4</v>
      </c>
      <c r="N410" s="4" t="s">
        <v>481</v>
      </c>
      <c r="O410" s="4" t="s">
        <v>562</v>
      </c>
      <c r="Q410" s="4">
        <v>1</v>
      </c>
      <c r="R410" s="8"/>
      <c r="S410" s="8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M410" s="4">
        <v>1</v>
      </c>
      <c r="BP410" s="4">
        <v>1</v>
      </c>
      <c r="EZ410" s="98"/>
      <c r="FA410" s="98"/>
      <c r="FB410" s="98"/>
      <c r="FC410" s="98"/>
      <c r="FD410" s="98"/>
    </row>
    <row r="411" spans="2:160" ht="12.75">
      <c r="B411" s="83">
        <f t="shared" si="36"/>
        <v>1</v>
      </c>
      <c r="C411" s="83">
        <f t="shared" si="37"/>
        <v>1</v>
      </c>
      <c r="D411" s="83">
        <f t="shared" si="38"/>
        <v>1</v>
      </c>
      <c r="E411" s="83">
        <f t="shared" si="39"/>
        <v>1</v>
      </c>
      <c r="F411" s="83">
        <f t="shared" si="40"/>
        <v>1</v>
      </c>
      <c r="G411" s="83">
        <f t="shared" si="41"/>
        <v>6</v>
      </c>
      <c r="H411" s="101">
        <f>IF(AND(M411&gt;0,M411&lt;=STATS!$C$22),1,"")</f>
        <v>1</v>
      </c>
      <c r="J411" s="22">
        <v>410</v>
      </c>
      <c r="K411" s="112">
        <v>46.09937</v>
      </c>
      <c r="L411" s="112">
        <v>-91.23857</v>
      </c>
      <c r="M411" s="4">
        <v>6</v>
      </c>
      <c r="N411" s="4" t="s">
        <v>480</v>
      </c>
      <c r="O411" s="4" t="s">
        <v>562</v>
      </c>
      <c r="Q411" s="4">
        <v>1</v>
      </c>
      <c r="R411" s="8"/>
      <c r="S411" s="8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BR411" s="4">
        <v>1</v>
      </c>
      <c r="EZ411" s="98"/>
      <c r="FA411" s="98"/>
      <c r="FB411" s="98"/>
      <c r="FC411" s="98"/>
      <c r="FD411" s="98"/>
    </row>
    <row r="412" spans="2:160" ht="12.75">
      <c r="B412" s="83">
        <f t="shared" si="36"/>
        <v>0</v>
      </c>
      <c r="C412" s="83">
        <f t="shared" si="37"/>
      </c>
      <c r="D412" s="83">
        <f t="shared" si="38"/>
      </c>
      <c r="E412" s="83">
        <f t="shared" si="39"/>
        <v>0</v>
      </c>
      <c r="F412" s="83">
        <f t="shared" si="40"/>
        <v>0</v>
      </c>
      <c r="G412" s="83">
        <f t="shared" si="41"/>
      </c>
      <c r="H412" s="101">
        <f>IF(AND(M412&gt;0,M412&lt;=STATS!$C$22),1,"")</f>
        <v>1</v>
      </c>
      <c r="J412" s="22">
        <v>411</v>
      </c>
      <c r="K412" s="112">
        <v>46.09938</v>
      </c>
      <c r="L412" s="112">
        <v>-91.23796</v>
      </c>
      <c r="M412" s="4">
        <v>7</v>
      </c>
      <c r="N412" s="4" t="s">
        <v>480</v>
      </c>
      <c r="O412" s="4" t="s">
        <v>562</v>
      </c>
      <c r="R412" s="8"/>
      <c r="S412" s="8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EZ412" s="98"/>
      <c r="FA412" s="98"/>
      <c r="FB412" s="98"/>
      <c r="FC412" s="98"/>
      <c r="FD412" s="98"/>
    </row>
    <row r="413" spans="2:160" ht="12.75">
      <c r="B413" s="83">
        <f t="shared" si="36"/>
        <v>0</v>
      </c>
      <c r="C413" s="83">
        <f t="shared" si="37"/>
      </c>
      <c r="D413" s="83">
        <f t="shared" si="38"/>
      </c>
      <c r="E413" s="83">
        <f t="shared" si="39"/>
        <v>0</v>
      </c>
      <c r="F413" s="83">
        <f t="shared" si="40"/>
        <v>0</v>
      </c>
      <c r="G413" s="83">
        <f t="shared" si="41"/>
      </c>
      <c r="H413" s="101">
        <f>IF(AND(M413&gt;0,M413&lt;=STATS!$C$22),1,"")</f>
        <v>1</v>
      </c>
      <c r="J413" s="22">
        <v>412</v>
      </c>
      <c r="K413" s="112">
        <v>46.09938</v>
      </c>
      <c r="L413" s="112">
        <v>-91.23735</v>
      </c>
      <c r="M413" s="4">
        <v>7</v>
      </c>
      <c r="N413" s="4" t="s">
        <v>480</v>
      </c>
      <c r="O413" s="4" t="s">
        <v>562</v>
      </c>
      <c r="R413" s="8"/>
      <c r="S413" s="8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EZ413" s="98"/>
      <c r="FA413" s="98"/>
      <c r="FB413" s="98"/>
      <c r="FC413" s="98"/>
      <c r="FD413" s="98"/>
    </row>
    <row r="414" spans="2:160" ht="12.75">
      <c r="B414" s="83">
        <f t="shared" si="36"/>
        <v>0</v>
      </c>
      <c r="C414" s="83">
        <f t="shared" si="37"/>
      </c>
      <c r="D414" s="83">
        <f t="shared" si="38"/>
      </c>
      <c r="E414" s="83">
        <f t="shared" si="39"/>
        <v>0</v>
      </c>
      <c r="F414" s="83">
        <f t="shared" si="40"/>
        <v>0</v>
      </c>
      <c r="G414" s="83">
        <f t="shared" si="41"/>
      </c>
      <c r="H414" s="101">
        <f>IF(AND(M414&gt;0,M414&lt;=STATS!$C$22),1,"")</f>
        <v>1</v>
      </c>
      <c r="J414" s="22">
        <v>413</v>
      </c>
      <c r="K414" s="112">
        <v>46.09939</v>
      </c>
      <c r="L414" s="112">
        <v>-91.23674</v>
      </c>
      <c r="M414" s="4">
        <v>6</v>
      </c>
      <c r="N414" s="4" t="s">
        <v>480</v>
      </c>
      <c r="O414" s="4" t="s">
        <v>562</v>
      </c>
      <c r="R414" s="8"/>
      <c r="S414" s="8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EZ414" s="98"/>
      <c r="FA414" s="98"/>
      <c r="FB414" s="98"/>
      <c r="FC414" s="98"/>
      <c r="FD414" s="98"/>
    </row>
    <row r="415" spans="2:160" ht="12.75">
      <c r="B415" s="83">
        <f t="shared" si="36"/>
        <v>0</v>
      </c>
      <c r="C415" s="83">
        <f t="shared" si="37"/>
      </c>
      <c r="D415" s="83">
        <f t="shared" si="38"/>
      </c>
      <c r="E415" s="83">
        <f t="shared" si="39"/>
        <v>0</v>
      </c>
      <c r="F415" s="83">
        <f t="shared" si="40"/>
        <v>0</v>
      </c>
      <c r="G415" s="83">
        <f t="shared" si="41"/>
      </c>
      <c r="H415" s="101">
        <f>IF(AND(M415&gt;0,M415&lt;=STATS!$C$22),1,"")</f>
        <v>1</v>
      </c>
      <c r="J415" s="22">
        <v>414</v>
      </c>
      <c r="K415" s="112">
        <v>46.0994</v>
      </c>
      <c r="L415" s="112">
        <v>-91.23614</v>
      </c>
      <c r="M415" s="4">
        <v>8</v>
      </c>
      <c r="N415" s="4" t="s">
        <v>480</v>
      </c>
      <c r="O415" s="4" t="s">
        <v>562</v>
      </c>
      <c r="R415" s="8"/>
      <c r="S415" s="8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CP415" s="4" t="s">
        <v>483</v>
      </c>
      <c r="EZ415" s="98"/>
      <c r="FA415" s="98"/>
      <c r="FB415" s="98"/>
      <c r="FC415" s="98"/>
      <c r="FD415" s="98"/>
    </row>
    <row r="416" spans="2:160" ht="12.75">
      <c r="B416" s="83">
        <f t="shared" si="36"/>
        <v>2</v>
      </c>
      <c r="C416" s="83">
        <f t="shared" si="37"/>
        <v>2</v>
      </c>
      <c r="D416" s="83">
        <f t="shared" si="38"/>
        <v>2</v>
      </c>
      <c r="E416" s="83">
        <f t="shared" si="39"/>
        <v>2</v>
      </c>
      <c r="F416" s="83">
        <f t="shared" si="40"/>
        <v>2</v>
      </c>
      <c r="G416" s="83">
        <f t="shared" si="41"/>
        <v>5.5</v>
      </c>
      <c r="H416" s="101">
        <f>IF(AND(M416&gt;0,M416&lt;=STATS!$C$22),1,"")</f>
        <v>1</v>
      </c>
      <c r="J416" s="22">
        <v>415</v>
      </c>
      <c r="K416" s="112">
        <v>46.0994</v>
      </c>
      <c r="L416" s="112">
        <v>-91.23553</v>
      </c>
      <c r="M416" s="4">
        <v>5.5</v>
      </c>
      <c r="N416" s="4" t="s">
        <v>480</v>
      </c>
      <c r="O416" s="4" t="s">
        <v>562</v>
      </c>
      <c r="Q416" s="4">
        <v>1</v>
      </c>
      <c r="R416" s="8"/>
      <c r="S416" s="8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CI416" s="4">
        <v>1</v>
      </c>
      <c r="ES416" s="4">
        <v>1</v>
      </c>
      <c r="EZ416" s="98"/>
      <c r="FA416" s="98"/>
      <c r="FB416" s="98"/>
      <c r="FC416" s="98"/>
      <c r="FD416" s="98"/>
    </row>
    <row r="417" spans="2:160" ht="12.75">
      <c r="B417" s="83">
        <f t="shared" si="36"/>
        <v>3</v>
      </c>
      <c r="C417" s="83">
        <f t="shared" si="37"/>
        <v>3</v>
      </c>
      <c r="D417" s="83">
        <f t="shared" si="38"/>
        <v>3</v>
      </c>
      <c r="E417" s="83">
        <f t="shared" si="39"/>
        <v>3</v>
      </c>
      <c r="F417" s="83">
        <f t="shared" si="40"/>
        <v>3</v>
      </c>
      <c r="G417" s="83">
        <f t="shared" si="41"/>
        <v>6.5</v>
      </c>
      <c r="H417" s="101">
        <f>IF(AND(M417&gt;0,M417&lt;=STATS!$C$22),1,"")</f>
        <v>1</v>
      </c>
      <c r="J417" s="22">
        <v>416</v>
      </c>
      <c r="K417" s="112">
        <v>46.09941</v>
      </c>
      <c r="L417" s="112">
        <v>-91.23492</v>
      </c>
      <c r="M417" s="4">
        <v>6.5</v>
      </c>
      <c r="N417" s="4" t="s">
        <v>480</v>
      </c>
      <c r="O417" s="4" t="s">
        <v>562</v>
      </c>
      <c r="Q417" s="4">
        <v>2</v>
      </c>
      <c r="R417" s="8"/>
      <c r="S417" s="8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CI417" s="4">
        <v>1</v>
      </c>
      <c r="DA417" s="4">
        <v>2</v>
      </c>
      <c r="ES417" s="4">
        <v>2</v>
      </c>
      <c r="EZ417" s="98"/>
      <c r="FA417" s="98"/>
      <c r="FB417" s="98"/>
      <c r="FC417" s="98"/>
      <c r="FD417" s="98"/>
    </row>
    <row r="418" spans="2:160" ht="12.75">
      <c r="B418" s="83">
        <f t="shared" si="36"/>
        <v>1</v>
      </c>
      <c r="C418" s="83">
        <f t="shared" si="37"/>
        <v>1</v>
      </c>
      <c r="D418" s="83">
        <f t="shared" si="38"/>
        <v>1</v>
      </c>
      <c r="E418" s="83">
        <f t="shared" si="39"/>
        <v>1</v>
      </c>
      <c r="F418" s="83">
        <f t="shared" si="40"/>
        <v>1</v>
      </c>
      <c r="G418" s="83">
        <f t="shared" si="41"/>
        <v>18</v>
      </c>
      <c r="H418" s="101">
        <f>IF(AND(M418&gt;0,M418&lt;=STATS!$C$22),1,"")</f>
        <v>1</v>
      </c>
      <c r="J418" s="22">
        <v>417</v>
      </c>
      <c r="K418" s="112">
        <v>46.09942</v>
      </c>
      <c r="L418" s="112">
        <v>-91.23431</v>
      </c>
      <c r="M418" s="4">
        <v>18</v>
      </c>
      <c r="N418" s="4" t="s">
        <v>480</v>
      </c>
      <c r="O418" s="4" t="s">
        <v>562</v>
      </c>
      <c r="Q418" s="4">
        <v>2</v>
      </c>
      <c r="R418" s="8"/>
      <c r="S418" s="8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DA418" s="4">
        <v>2</v>
      </c>
      <c r="EZ418" s="98"/>
      <c r="FA418" s="98"/>
      <c r="FB418" s="98"/>
      <c r="FC418" s="98"/>
      <c r="FD418" s="98"/>
    </row>
    <row r="419" spans="2:160" ht="12.75">
      <c r="B419" s="83">
        <f t="shared" si="36"/>
        <v>1</v>
      </c>
      <c r="C419" s="83">
        <f t="shared" si="37"/>
        <v>1</v>
      </c>
      <c r="D419" s="83">
        <f t="shared" si="38"/>
        <v>1</v>
      </c>
      <c r="E419" s="83">
        <f t="shared" si="39"/>
        <v>1</v>
      </c>
      <c r="F419" s="83">
        <f t="shared" si="40"/>
        <v>1</v>
      </c>
      <c r="G419" s="83">
        <f t="shared" si="41"/>
        <v>17</v>
      </c>
      <c r="H419" s="101">
        <f>IF(AND(M419&gt;0,M419&lt;=STATS!$C$22),1,"")</f>
        <v>1</v>
      </c>
      <c r="J419" s="22">
        <v>418</v>
      </c>
      <c r="K419" s="112">
        <v>46.09942</v>
      </c>
      <c r="L419" s="112">
        <v>-91.2337</v>
      </c>
      <c r="M419" s="4">
        <v>17</v>
      </c>
      <c r="N419" s="4" t="s">
        <v>480</v>
      </c>
      <c r="O419" s="4" t="s">
        <v>562</v>
      </c>
      <c r="Q419" s="4">
        <v>1</v>
      </c>
      <c r="R419" s="8"/>
      <c r="S419" s="8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DA419" s="4">
        <v>1</v>
      </c>
      <c r="EZ419" s="98"/>
      <c r="FA419" s="98"/>
      <c r="FB419" s="98"/>
      <c r="FC419" s="98"/>
      <c r="FD419" s="98"/>
    </row>
    <row r="420" spans="2:160" ht="12.75">
      <c r="B420" s="83">
        <f t="shared" si="36"/>
        <v>0</v>
      </c>
      <c r="C420" s="83">
        <f t="shared" si="37"/>
      </c>
      <c r="D420" s="83">
        <f t="shared" si="38"/>
      </c>
      <c r="E420" s="83">
        <f t="shared" si="39"/>
        <v>0</v>
      </c>
      <c r="F420" s="83">
        <f t="shared" si="40"/>
        <v>0</v>
      </c>
      <c r="G420" s="83">
        <f t="shared" si="41"/>
      </c>
      <c r="H420" s="101">
        <f>IF(AND(M420&gt;0,M420&lt;=STATS!$C$22),1,"")</f>
        <v>1</v>
      </c>
      <c r="J420" s="22">
        <v>419</v>
      </c>
      <c r="K420" s="112">
        <v>46.09943</v>
      </c>
      <c r="L420" s="112">
        <v>-91.2331</v>
      </c>
      <c r="M420" s="4">
        <v>7</v>
      </c>
      <c r="N420" s="4" t="s">
        <v>480</v>
      </c>
      <c r="O420" s="4" t="s">
        <v>562</v>
      </c>
      <c r="R420" s="8"/>
      <c r="S420" s="8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EZ420" s="98"/>
      <c r="FA420" s="98"/>
      <c r="FB420" s="98"/>
      <c r="FC420" s="98"/>
      <c r="FD420" s="98"/>
    </row>
    <row r="421" spans="2:160" ht="12.75">
      <c r="B421" s="83">
        <f t="shared" si="36"/>
        <v>2</v>
      </c>
      <c r="C421" s="83">
        <f t="shared" si="37"/>
        <v>2</v>
      </c>
      <c r="D421" s="83">
        <f t="shared" si="38"/>
        <v>2</v>
      </c>
      <c r="E421" s="83">
        <f t="shared" si="39"/>
        <v>2</v>
      </c>
      <c r="F421" s="83">
        <f t="shared" si="40"/>
        <v>2</v>
      </c>
      <c r="G421" s="83">
        <f t="shared" si="41"/>
        <v>8</v>
      </c>
      <c r="H421" s="101">
        <f>IF(AND(M421&gt;0,M421&lt;=STATS!$C$22),1,"")</f>
        <v>1</v>
      </c>
      <c r="J421" s="22">
        <v>420</v>
      </c>
      <c r="K421" s="112">
        <v>46.09944</v>
      </c>
      <c r="L421" s="112">
        <v>-91.23249</v>
      </c>
      <c r="M421" s="4">
        <v>8</v>
      </c>
      <c r="N421" s="4" t="s">
        <v>480</v>
      </c>
      <c r="O421" s="4" t="s">
        <v>562</v>
      </c>
      <c r="Q421" s="4">
        <v>1</v>
      </c>
      <c r="R421" s="8"/>
      <c r="S421" s="8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CW421" s="4">
        <v>1</v>
      </c>
      <c r="DA421" s="4">
        <v>1</v>
      </c>
      <c r="EZ421" s="98"/>
      <c r="FA421" s="98"/>
      <c r="FB421" s="98"/>
      <c r="FC421" s="98"/>
      <c r="FD421" s="98"/>
    </row>
    <row r="422" spans="2:160" ht="12.75">
      <c r="B422" s="83">
        <f t="shared" si="36"/>
        <v>4</v>
      </c>
      <c r="C422" s="83">
        <f t="shared" si="37"/>
        <v>4</v>
      </c>
      <c r="D422" s="83">
        <f t="shared" si="38"/>
        <v>4</v>
      </c>
      <c r="E422" s="83">
        <f t="shared" si="39"/>
        <v>4</v>
      </c>
      <c r="F422" s="83">
        <f t="shared" si="40"/>
        <v>4</v>
      </c>
      <c r="G422" s="83">
        <f t="shared" si="41"/>
        <v>6.5</v>
      </c>
      <c r="H422" s="101">
        <f>IF(AND(M422&gt;0,M422&lt;=STATS!$C$22),1,"")</f>
        <v>1</v>
      </c>
      <c r="J422" s="22">
        <v>421</v>
      </c>
      <c r="K422" s="112">
        <v>46.09944</v>
      </c>
      <c r="L422" s="112">
        <v>-91.23188</v>
      </c>
      <c r="M422" s="4">
        <v>6.5</v>
      </c>
      <c r="N422" s="4" t="s">
        <v>480</v>
      </c>
      <c r="O422" s="4" t="s">
        <v>562</v>
      </c>
      <c r="Q422" s="4">
        <v>3</v>
      </c>
      <c r="R422" s="8"/>
      <c r="S422" s="8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BR422" s="4">
        <v>1</v>
      </c>
      <c r="CI422" s="4">
        <v>3</v>
      </c>
      <c r="CP422" s="4">
        <v>2</v>
      </c>
      <c r="CW422" s="4" t="s">
        <v>483</v>
      </c>
      <c r="DA422" s="4">
        <v>1</v>
      </c>
      <c r="EZ422" s="98"/>
      <c r="FA422" s="98"/>
      <c r="FB422" s="98"/>
      <c r="FC422" s="98"/>
      <c r="FD422" s="98"/>
    </row>
    <row r="423" spans="2:160" ht="12.75">
      <c r="B423" s="83">
        <f t="shared" si="36"/>
        <v>3</v>
      </c>
      <c r="C423" s="83">
        <f t="shared" si="37"/>
        <v>3</v>
      </c>
      <c r="D423" s="83">
        <f t="shared" si="38"/>
        <v>3</v>
      </c>
      <c r="E423" s="83">
        <f t="shared" si="39"/>
        <v>3</v>
      </c>
      <c r="F423" s="83">
        <f t="shared" si="40"/>
        <v>3</v>
      </c>
      <c r="G423" s="83">
        <f t="shared" si="41"/>
        <v>1</v>
      </c>
      <c r="H423" s="101">
        <f>IF(AND(M423&gt;0,M423&lt;=STATS!$C$22),1,"")</f>
        <v>1</v>
      </c>
      <c r="J423" s="22">
        <v>422</v>
      </c>
      <c r="K423" s="112">
        <v>46.09947</v>
      </c>
      <c r="L423" s="112">
        <v>-91.22945</v>
      </c>
      <c r="M423" s="4">
        <v>1</v>
      </c>
      <c r="N423" s="4" t="s">
        <v>480</v>
      </c>
      <c r="O423" s="4" t="s">
        <v>562</v>
      </c>
      <c r="Q423" s="4">
        <v>2</v>
      </c>
      <c r="R423" s="8"/>
      <c r="S423" s="8"/>
      <c r="T423" s="24"/>
      <c r="U423" s="24"/>
      <c r="V423" s="24"/>
      <c r="W423" s="24"/>
      <c r="X423" s="24">
        <v>2</v>
      </c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J423" s="4" t="s">
        <v>483</v>
      </c>
      <c r="CG423" s="4">
        <v>1</v>
      </c>
      <c r="CY423" s="4">
        <v>1</v>
      </c>
      <c r="EZ423" s="98"/>
      <c r="FA423" s="98"/>
      <c r="FB423" s="98"/>
      <c r="FC423" s="98"/>
      <c r="FD423" s="98"/>
    </row>
    <row r="424" spans="2:160" ht="12.75">
      <c r="B424" s="83">
        <f t="shared" si="36"/>
        <v>3</v>
      </c>
      <c r="C424" s="83">
        <f t="shared" si="37"/>
        <v>3</v>
      </c>
      <c r="D424" s="83">
        <f t="shared" si="38"/>
        <v>3</v>
      </c>
      <c r="E424" s="83">
        <f t="shared" si="39"/>
        <v>3</v>
      </c>
      <c r="F424" s="83">
        <f t="shared" si="40"/>
        <v>3</v>
      </c>
      <c r="G424" s="83">
        <f t="shared" si="41"/>
        <v>2</v>
      </c>
      <c r="H424" s="101">
        <f>IF(AND(M424&gt;0,M424&lt;=STATS!$C$22),1,"")</f>
        <v>1</v>
      </c>
      <c r="J424" s="22">
        <v>423</v>
      </c>
      <c r="K424" s="112">
        <v>46.09981</v>
      </c>
      <c r="L424" s="112">
        <v>-91.23736</v>
      </c>
      <c r="M424" s="4">
        <v>2</v>
      </c>
      <c r="N424" s="4" t="s">
        <v>482</v>
      </c>
      <c r="O424" s="4" t="s">
        <v>562</v>
      </c>
      <c r="Q424" s="4">
        <v>2</v>
      </c>
      <c r="R424" s="8"/>
      <c r="S424" s="8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M424" s="4">
        <v>2</v>
      </c>
      <c r="BC424" s="4">
        <v>1</v>
      </c>
      <c r="CP424" s="4">
        <v>1</v>
      </c>
      <c r="EZ424" s="98"/>
      <c r="FA424" s="98"/>
      <c r="FB424" s="98"/>
      <c r="FC424" s="98"/>
      <c r="FD424" s="98"/>
    </row>
    <row r="425" spans="2:160" ht="12.75">
      <c r="B425" s="83">
        <f t="shared" si="36"/>
        <v>0</v>
      </c>
      <c r="C425" s="83">
        <f t="shared" si="37"/>
      </c>
      <c r="D425" s="83">
        <f t="shared" si="38"/>
      </c>
      <c r="E425" s="83">
        <f t="shared" si="39"/>
        <v>0</v>
      </c>
      <c r="F425" s="83">
        <f t="shared" si="40"/>
        <v>0</v>
      </c>
      <c r="G425" s="83">
        <f t="shared" si="41"/>
      </c>
      <c r="H425" s="101">
        <f>IF(AND(M425&gt;0,M425&lt;=STATS!$C$22),1,"")</f>
        <v>1</v>
      </c>
      <c r="J425" s="22">
        <v>424</v>
      </c>
      <c r="K425" s="112">
        <v>46.09981</v>
      </c>
      <c r="L425" s="112">
        <v>-91.23675</v>
      </c>
      <c r="M425" s="4">
        <v>6</v>
      </c>
      <c r="N425" s="4" t="s">
        <v>480</v>
      </c>
      <c r="O425" s="4" t="s">
        <v>562</v>
      </c>
      <c r="R425" s="8"/>
      <c r="S425" s="8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EZ425" s="98"/>
      <c r="FA425" s="98"/>
      <c r="FB425" s="98"/>
      <c r="FC425" s="98"/>
      <c r="FD425" s="98"/>
    </row>
    <row r="426" spans="2:160" ht="12.75">
      <c r="B426" s="83">
        <f t="shared" si="36"/>
        <v>0</v>
      </c>
      <c r="C426" s="83">
        <f t="shared" si="37"/>
      </c>
      <c r="D426" s="83">
        <f t="shared" si="38"/>
      </c>
      <c r="E426" s="83">
        <f t="shared" si="39"/>
        <v>0</v>
      </c>
      <c r="F426" s="83">
        <f t="shared" si="40"/>
        <v>0</v>
      </c>
      <c r="G426" s="83">
        <f t="shared" si="41"/>
      </c>
      <c r="H426" s="101">
        <f>IF(AND(M426&gt;0,M426&lt;=STATS!$C$22),1,"")</f>
        <v>1</v>
      </c>
      <c r="J426" s="22">
        <v>425</v>
      </c>
      <c r="K426" s="112">
        <v>46.09982</v>
      </c>
      <c r="L426" s="112">
        <v>-91.23614</v>
      </c>
      <c r="M426" s="4">
        <v>6</v>
      </c>
      <c r="N426" s="4" t="s">
        <v>481</v>
      </c>
      <c r="O426" s="4" t="s">
        <v>562</v>
      </c>
      <c r="R426" s="8"/>
      <c r="S426" s="8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EZ426" s="98"/>
      <c r="FA426" s="98"/>
      <c r="FB426" s="98"/>
      <c r="FC426" s="98"/>
      <c r="FD426" s="98"/>
    </row>
    <row r="427" spans="2:160" ht="12.75">
      <c r="B427" s="83">
        <f t="shared" si="36"/>
        <v>0</v>
      </c>
      <c r="C427" s="83">
        <f t="shared" si="37"/>
      </c>
      <c r="D427" s="83">
        <f t="shared" si="38"/>
      </c>
      <c r="E427" s="83">
        <f t="shared" si="39"/>
        <v>0</v>
      </c>
      <c r="F427" s="83">
        <f t="shared" si="40"/>
        <v>0</v>
      </c>
      <c r="G427" s="83">
        <f t="shared" si="41"/>
      </c>
      <c r="H427" s="101">
        <f>IF(AND(M427&gt;0,M427&lt;=STATS!$C$22),1,"")</f>
        <v>1</v>
      </c>
      <c r="J427" s="22">
        <v>426</v>
      </c>
      <c r="K427" s="112">
        <v>46.09983</v>
      </c>
      <c r="L427" s="112">
        <v>-91.23554</v>
      </c>
      <c r="M427" s="4">
        <v>6.5</v>
      </c>
      <c r="N427" s="4" t="s">
        <v>480</v>
      </c>
      <c r="O427" s="4" t="s">
        <v>562</v>
      </c>
      <c r="R427" s="8"/>
      <c r="S427" s="8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CI427" s="4" t="s">
        <v>483</v>
      </c>
      <c r="EZ427" s="98"/>
      <c r="FA427" s="98"/>
      <c r="FB427" s="98"/>
      <c r="FC427" s="98"/>
      <c r="FD427" s="98"/>
    </row>
    <row r="428" spans="2:160" ht="12.75">
      <c r="B428" s="83">
        <f t="shared" si="36"/>
        <v>3</v>
      </c>
      <c r="C428" s="83">
        <f t="shared" si="37"/>
        <v>3</v>
      </c>
      <c r="D428" s="83">
        <f t="shared" si="38"/>
        <v>3</v>
      </c>
      <c r="E428" s="83">
        <f t="shared" si="39"/>
        <v>3</v>
      </c>
      <c r="F428" s="83">
        <f t="shared" si="40"/>
        <v>3</v>
      </c>
      <c r="G428" s="83">
        <f t="shared" si="41"/>
        <v>5.5</v>
      </c>
      <c r="H428" s="101">
        <f>IF(AND(M428&gt;0,M428&lt;=STATS!$C$22),1,"")</f>
        <v>1</v>
      </c>
      <c r="J428" s="22">
        <v>427</v>
      </c>
      <c r="K428" s="112">
        <v>46.09983</v>
      </c>
      <c r="L428" s="112">
        <v>-91.23493</v>
      </c>
      <c r="M428" s="4">
        <v>5.5</v>
      </c>
      <c r="N428" s="4" t="s">
        <v>480</v>
      </c>
      <c r="O428" s="4" t="s">
        <v>562</v>
      </c>
      <c r="Q428" s="4">
        <v>3</v>
      </c>
      <c r="R428" s="8"/>
      <c r="S428" s="8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BR428" s="4">
        <v>2</v>
      </c>
      <c r="CI428" s="4">
        <v>1</v>
      </c>
      <c r="CW428" s="4">
        <v>3</v>
      </c>
      <c r="EZ428" s="98"/>
      <c r="FA428" s="98"/>
      <c r="FB428" s="98"/>
      <c r="FC428" s="98"/>
      <c r="FD428" s="98"/>
    </row>
    <row r="429" spans="2:160" ht="12.75">
      <c r="B429" s="83">
        <f t="shared" si="36"/>
        <v>2</v>
      </c>
      <c r="C429" s="83">
        <f t="shared" si="37"/>
        <v>2</v>
      </c>
      <c r="D429" s="83">
        <f t="shared" si="38"/>
        <v>2</v>
      </c>
      <c r="E429" s="83">
        <f t="shared" si="39"/>
        <v>2</v>
      </c>
      <c r="F429" s="83">
        <f t="shared" si="40"/>
        <v>2</v>
      </c>
      <c r="G429" s="83">
        <f t="shared" si="41"/>
        <v>5</v>
      </c>
      <c r="H429" s="101">
        <f>IF(AND(M429&gt;0,M429&lt;=STATS!$C$22),1,"")</f>
        <v>1</v>
      </c>
      <c r="J429" s="22">
        <v>428</v>
      </c>
      <c r="K429" s="112">
        <v>46.09984</v>
      </c>
      <c r="L429" s="112">
        <v>-91.23432</v>
      </c>
      <c r="M429" s="4">
        <v>5</v>
      </c>
      <c r="N429" s="4" t="s">
        <v>480</v>
      </c>
      <c r="O429" s="4" t="s">
        <v>562</v>
      </c>
      <c r="Q429" s="4">
        <v>2</v>
      </c>
      <c r="R429" s="8"/>
      <c r="S429" s="8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>
        <v>2</v>
      </c>
      <c r="AH429" s="24"/>
      <c r="CI429" s="4">
        <v>2</v>
      </c>
      <c r="EZ429" s="98"/>
      <c r="FA429" s="98"/>
      <c r="FB429" s="98"/>
      <c r="FC429" s="98"/>
      <c r="FD429" s="98"/>
    </row>
    <row r="430" spans="2:160" ht="12.75">
      <c r="B430" s="83">
        <f t="shared" si="36"/>
        <v>5</v>
      </c>
      <c r="C430" s="83">
        <f t="shared" si="37"/>
        <v>5</v>
      </c>
      <c r="D430" s="83">
        <f t="shared" si="38"/>
        <v>5</v>
      </c>
      <c r="E430" s="83">
        <f t="shared" si="39"/>
        <v>5</v>
      </c>
      <c r="F430" s="83">
        <f t="shared" si="40"/>
        <v>5</v>
      </c>
      <c r="G430" s="83">
        <f t="shared" si="41"/>
        <v>6.5</v>
      </c>
      <c r="H430" s="101">
        <f>IF(AND(M430&gt;0,M430&lt;=STATS!$C$22),1,"")</f>
        <v>1</v>
      </c>
      <c r="J430" s="22">
        <v>429</v>
      </c>
      <c r="K430" s="112">
        <v>46.09985</v>
      </c>
      <c r="L430" s="112">
        <v>-91.23371</v>
      </c>
      <c r="M430" s="4">
        <v>6.5</v>
      </c>
      <c r="N430" s="4" t="s">
        <v>480</v>
      </c>
      <c r="O430" s="4" t="s">
        <v>562</v>
      </c>
      <c r="Q430" s="4">
        <v>2</v>
      </c>
      <c r="R430" s="8"/>
      <c r="S430" s="8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BR430" s="4">
        <v>1</v>
      </c>
      <c r="CI430" s="4">
        <v>2</v>
      </c>
      <c r="DA430" s="4">
        <v>1</v>
      </c>
      <c r="DK430" s="4">
        <v>1</v>
      </c>
      <c r="ES430" s="4">
        <v>1</v>
      </c>
      <c r="EZ430" s="98"/>
      <c r="FA430" s="98"/>
      <c r="FB430" s="98"/>
      <c r="FC430" s="98"/>
      <c r="FD430" s="98"/>
    </row>
    <row r="431" spans="2:160" ht="12.75">
      <c r="B431" s="83">
        <f t="shared" si="36"/>
        <v>0</v>
      </c>
      <c r="C431" s="83">
        <f t="shared" si="37"/>
      </c>
      <c r="D431" s="83">
        <f t="shared" si="38"/>
      </c>
      <c r="E431" s="83">
        <f t="shared" si="39"/>
        <v>0</v>
      </c>
      <c r="F431" s="83">
        <f t="shared" si="40"/>
        <v>0</v>
      </c>
      <c r="G431" s="83">
        <f t="shared" si="41"/>
      </c>
      <c r="H431" s="101">
        <f>IF(AND(M431&gt;0,M431&lt;=STATS!$C$22),1,"")</f>
        <v>1</v>
      </c>
      <c r="J431" s="22">
        <v>430</v>
      </c>
      <c r="K431" s="112">
        <v>46.09985</v>
      </c>
      <c r="L431" s="112">
        <v>-91.23311</v>
      </c>
      <c r="M431" s="4">
        <v>7</v>
      </c>
      <c r="N431" s="4" t="s">
        <v>480</v>
      </c>
      <c r="O431" s="4" t="s">
        <v>562</v>
      </c>
      <c r="R431" s="8"/>
      <c r="S431" s="8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EZ431" s="98"/>
      <c r="FA431" s="98"/>
      <c r="FB431" s="98"/>
      <c r="FC431" s="98"/>
      <c r="FD431" s="98"/>
    </row>
    <row r="432" spans="2:160" ht="12.75">
      <c r="B432" s="83">
        <f t="shared" si="36"/>
        <v>1</v>
      </c>
      <c r="C432" s="83">
        <f t="shared" si="37"/>
        <v>1</v>
      </c>
      <c r="D432" s="83">
        <f t="shared" si="38"/>
        <v>1</v>
      </c>
      <c r="E432" s="83">
        <f t="shared" si="39"/>
        <v>1</v>
      </c>
      <c r="F432" s="83">
        <f t="shared" si="40"/>
        <v>1</v>
      </c>
      <c r="G432" s="83">
        <f t="shared" si="41"/>
        <v>6</v>
      </c>
      <c r="H432" s="101">
        <f>IF(AND(M432&gt;0,M432&lt;=STATS!$C$22),1,"")</f>
        <v>1</v>
      </c>
      <c r="J432" s="22">
        <v>431</v>
      </c>
      <c r="K432" s="112">
        <v>46.09986</v>
      </c>
      <c r="L432" s="112">
        <v>-91.2325</v>
      </c>
      <c r="M432" s="4">
        <v>6</v>
      </c>
      <c r="N432" s="4" t="s">
        <v>480</v>
      </c>
      <c r="O432" s="4" t="s">
        <v>562</v>
      </c>
      <c r="Q432" s="4">
        <v>1</v>
      </c>
      <c r="R432" s="8"/>
      <c r="S432" s="8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BR432" s="4">
        <v>1</v>
      </c>
      <c r="CI432" s="4" t="s">
        <v>483</v>
      </c>
      <c r="EZ432" s="98"/>
      <c r="FA432" s="98"/>
      <c r="FB432" s="98"/>
      <c r="FC432" s="98"/>
      <c r="FD432" s="98"/>
    </row>
    <row r="433" spans="2:160" ht="12.75">
      <c r="B433" s="83">
        <f t="shared" si="36"/>
        <v>3</v>
      </c>
      <c r="C433" s="83">
        <f t="shared" si="37"/>
        <v>3</v>
      </c>
      <c r="D433" s="83">
        <f t="shared" si="38"/>
        <v>3</v>
      </c>
      <c r="E433" s="83">
        <f t="shared" si="39"/>
        <v>3</v>
      </c>
      <c r="F433" s="83">
        <f t="shared" si="40"/>
        <v>3</v>
      </c>
      <c r="G433" s="83">
        <f t="shared" si="41"/>
        <v>4</v>
      </c>
      <c r="H433" s="101">
        <f>IF(AND(M433&gt;0,M433&lt;=STATS!$C$22),1,"")</f>
        <v>1</v>
      </c>
      <c r="J433" s="22">
        <v>432</v>
      </c>
      <c r="K433" s="112">
        <v>46.09987</v>
      </c>
      <c r="L433" s="112">
        <v>-91.23189</v>
      </c>
      <c r="M433" s="4">
        <v>4</v>
      </c>
      <c r="N433" s="4" t="s">
        <v>481</v>
      </c>
      <c r="O433" s="4" t="s">
        <v>562</v>
      </c>
      <c r="Q433" s="4">
        <v>1</v>
      </c>
      <c r="R433" s="8"/>
      <c r="S433" s="8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>
        <v>1</v>
      </c>
      <c r="AH433" s="24"/>
      <c r="BR433" s="4">
        <v>1</v>
      </c>
      <c r="DA433" s="4">
        <v>1</v>
      </c>
      <c r="EZ433" s="98"/>
      <c r="FA433" s="98"/>
      <c r="FB433" s="98"/>
      <c r="FC433" s="98"/>
      <c r="FD433" s="98"/>
    </row>
    <row r="434" spans="2:160" ht="12.75">
      <c r="B434" s="83">
        <f t="shared" si="36"/>
        <v>1</v>
      </c>
      <c r="C434" s="83">
        <f t="shared" si="37"/>
        <v>1</v>
      </c>
      <c r="D434" s="83">
        <f t="shared" si="38"/>
        <v>1</v>
      </c>
      <c r="E434" s="83">
        <f t="shared" si="39"/>
        <v>1</v>
      </c>
      <c r="F434" s="83">
        <f t="shared" si="40"/>
        <v>1</v>
      </c>
      <c r="G434" s="83">
        <f t="shared" si="41"/>
        <v>1</v>
      </c>
      <c r="H434" s="101">
        <f>IF(AND(M434&gt;0,M434&lt;=STATS!$C$22),1,"")</f>
        <v>1</v>
      </c>
      <c r="J434" s="22">
        <v>433</v>
      </c>
      <c r="K434" s="112">
        <v>46.09989</v>
      </c>
      <c r="L434" s="112">
        <v>-91.22946</v>
      </c>
      <c r="M434" s="4">
        <v>1</v>
      </c>
      <c r="N434" s="4" t="s">
        <v>480</v>
      </c>
      <c r="O434" s="4" t="s">
        <v>562</v>
      </c>
      <c r="Q434" s="4">
        <v>2</v>
      </c>
      <c r="R434" s="8"/>
      <c r="S434" s="8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CB434" s="4">
        <v>2</v>
      </c>
      <c r="CG434" s="4" t="s">
        <v>483</v>
      </c>
      <c r="EZ434" s="98"/>
      <c r="FA434" s="98"/>
      <c r="FB434" s="98"/>
      <c r="FC434" s="98"/>
      <c r="FD434" s="98"/>
    </row>
    <row r="435" spans="2:160" ht="12.75">
      <c r="B435" s="83">
        <f t="shared" si="36"/>
        <v>2</v>
      </c>
      <c r="C435" s="83">
        <f t="shared" si="37"/>
        <v>2</v>
      </c>
      <c r="D435" s="83">
        <f t="shared" si="38"/>
        <v>2</v>
      </c>
      <c r="E435" s="83">
        <f t="shared" si="39"/>
        <v>2</v>
      </c>
      <c r="F435" s="83">
        <f t="shared" si="40"/>
        <v>2</v>
      </c>
      <c r="G435" s="83">
        <f t="shared" si="41"/>
        <v>2.5</v>
      </c>
      <c r="H435" s="101">
        <f>IF(AND(M435&gt;0,M435&lt;=STATS!$C$22),1,"")</f>
        <v>1</v>
      </c>
      <c r="J435" s="22">
        <v>434</v>
      </c>
      <c r="K435" s="112">
        <v>46.10024</v>
      </c>
      <c r="L435" s="112">
        <v>-91.23676</v>
      </c>
      <c r="M435" s="4">
        <v>2.5</v>
      </c>
      <c r="N435" s="4" t="s">
        <v>481</v>
      </c>
      <c r="O435" s="4" t="s">
        <v>562</v>
      </c>
      <c r="Q435" s="4">
        <v>3</v>
      </c>
      <c r="R435" s="8"/>
      <c r="S435" s="8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>
        <v>1</v>
      </c>
      <c r="AH435" s="24"/>
      <c r="EQ435" s="4">
        <v>3</v>
      </c>
      <c r="EZ435" s="98"/>
      <c r="FA435" s="98"/>
      <c r="FB435" s="98"/>
      <c r="FC435" s="98"/>
      <c r="FD435" s="98"/>
    </row>
    <row r="436" spans="2:160" ht="12.75">
      <c r="B436" s="83">
        <f t="shared" si="36"/>
        <v>0</v>
      </c>
      <c r="C436" s="83">
        <f t="shared" si="37"/>
      </c>
      <c r="D436" s="83">
        <f t="shared" si="38"/>
      </c>
      <c r="E436" s="83">
        <f t="shared" si="39"/>
        <v>0</v>
      </c>
      <c r="F436" s="83">
        <f t="shared" si="40"/>
        <v>0</v>
      </c>
      <c r="G436" s="83">
        <f t="shared" si="41"/>
      </c>
      <c r="H436" s="101">
        <f>IF(AND(M436&gt;0,M436&lt;=STATS!$C$22),1,"")</f>
        <v>1</v>
      </c>
      <c r="J436" s="22">
        <v>435</v>
      </c>
      <c r="K436" s="112">
        <v>46.10024</v>
      </c>
      <c r="L436" s="112">
        <v>-91.23616</v>
      </c>
      <c r="M436" s="4">
        <v>6</v>
      </c>
      <c r="N436" s="4" t="s">
        <v>481</v>
      </c>
      <c r="O436" s="4" t="s">
        <v>562</v>
      </c>
      <c r="R436" s="8"/>
      <c r="S436" s="8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EZ436" s="98"/>
      <c r="FA436" s="98"/>
      <c r="FB436" s="98"/>
      <c r="FC436" s="98"/>
      <c r="FD436" s="98"/>
    </row>
    <row r="437" spans="2:160" ht="12.75">
      <c r="B437" s="83">
        <f t="shared" si="36"/>
        <v>3</v>
      </c>
      <c r="C437" s="83">
        <f t="shared" si="37"/>
        <v>3</v>
      </c>
      <c r="D437" s="83">
        <f t="shared" si="38"/>
        <v>3</v>
      </c>
      <c r="E437" s="83">
        <f t="shared" si="39"/>
        <v>3</v>
      </c>
      <c r="F437" s="83">
        <f t="shared" si="40"/>
        <v>3</v>
      </c>
      <c r="G437" s="83">
        <f t="shared" si="41"/>
        <v>5</v>
      </c>
      <c r="H437" s="101">
        <f>IF(AND(M437&gt;0,M437&lt;=STATS!$C$22),1,"")</f>
        <v>1</v>
      </c>
      <c r="J437" s="22">
        <v>436</v>
      </c>
      <c r="K437" s="112">
        <v>46.10025</v>
      </c>
      <c r="L437" s="112">
        <v>-91.23555</v>
      </c>
      <c r="M437" s="4">
        <v>5</v>
      </c>
      <c r="N437" s="4" t="s">
        <v>482</v>
      </c>
      <c r="O437" s="4" t="s">
        <v>562</v>
      </c>
      <c r="Q437" s="4">
        <v>1</v>
      </c>
      <c r="R437" s="8"/>
      <c r="S437" s="8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>
        <v>1</v>
      </c>
      <c r="AH437" s="24"/>
      <c r="BP437" s="4">
        <v>1</v>
      </c>
      <c r="CP437" s="4">
        <v>1</v>
      </c>
      <c r="EZ437" s="98"/>
      <c r="FA437" s="98"/>
      <c r="FB437" s="98"/>
      <c r="FC437" s="98"/>
      <c r="FD437" s="98"/>
    </row>
    <row r="438" spans="2:160" ht="12.75">
      <c r="B438" s="83">
        <f t="shared" si="36"/>
        <v>1</v>
      </c>
      <c r="C438" s="83">
        <f t="shared" si="37"/>
        <v>1</v>
      </c>
      <c r="D438" s="83">
        <f t="shared" si="38"/>
        <v>1</v>
      </c>
      <c r="E438" s="83">
        <f t="shared" si="39"/>
        <v>1</v>
      </c>
      <c r="F438" s="83">
        <f t="shared" si="40"/>
        <v>1</v>
      </c>
      <c r="G438" s="83">
        <f t="shared" si="41"/>
        <v>6</v>
      </c>
      <c r="H438" s="101">
        <f>IF(AND(M438&gt;0,M438&lt;=STATS!$C$22),1,"")</f>
        <v>1</v>
      </c>
      <c r="J438" s="22">
        <v>437</v>
      </c>
      <c r="K438" s="112">
        <v>46.10025</v>
      </c>
      <c r="L438" s="112">
        <v>-91.23494</v>
      </c>
      <c r="M438" s="4">
        <v>6</v>
      </c>
      <c r="N438" s="4" t="s">
        <v>480</v>
      </c>
      <c r="O438" s="4" t="s">
        <v>562</v>
      </c>
      <c r="Q438" s="4">
        <v>1</v>
      </c>
      <c r="R438" s="8"/>
      <c r="S438" s="8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CP438" s="4">
        <v>1</v>
      </c>
      <c r="EZ438" s="98"/>
      <c r="FA438" s="98"/>
      <c r="FB438" s="98"/>
      <c r="FC438" s="98"/>
      <c r="FD438" s="98"/>
    </row>
    <row r="439" spans="2:160" ht="12.75">
      <c r="B439" s="83">
        <f t="shared" si="36"/>
        <v>1</v>
      </c>
      <c r="C439" s="83">
        <f t="shared" si="37"/>
        <v>1</v>
      </c>
      <c r="D439" s="83">
        <f t="shared" si="38"/>
        <v>1</v>
      </c>
      <c r="E439" s="83">
        <f t="shared" si="39"/>
        <v>1</v>
      </c>
      <c r="F439" s="83">
        <f t="shared" si="40"/>
        <v>1</v>
      </c>
      <c r="G439" s="83">
        <f t="shared" si="41"/>
        <v>6</v>
      </c>
      <c r="H439" s="101">
        <f>IF(AND(M439&gt;0,M439&lt;=STATS!$C$22),1,"")</f>
        <v>1</v>
      </c>
      <c r="J439" s="22">
        <v>438</v>
      </c>
      <c r="K439" s="112">
        <v>46.10026</v>
      </c>
      <c r="L439" s="112">
        <v>-91.23433</v>
      </c>
      <c r="M439" s="4">
        <v>6</v>
      </c>
      <c r="N439" s="4" t="s">
        <v>480</v>
      </c>
      <c r="O439" s="4" t="s">
        <v>562</v>
      </c>
      <c r="Q439" s="4">
        <v>1</v>
      </c>
      <c r="R439" s="8"/>
      <c r="S439" s="8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BR439" s="4">
        <v>1</v>
      </c>
      <c r="EZ439" s="98"/>
      <c r="FA439" s="98"/>
      <c r="FB439" s="98"/>
      <c r="FC439" s="98"/>
      <c r="FD439" s="98"/>
    </row>
    <row r="440" spans="2:160" ht="12.75">
      <c r="B440" s="83">
        <f t="shared" si="36"/>
        <v>0</v>
      </c>
      <c r="C440" s="83">
        <f t="shared" si="37"/>
      </c>
      <c r="D440" s="83">
        <f t="shared" si="38"/>
      </c>
      <c r="E440" s="83">
        <f t="shared" si="39"/>
        <v>0</v>
      </c>
      <c r="F440" s="83">
        <f t="shared" si="40"/>
        <v>0</v>
      </c>
      <c r="G440" s="83">
        <f t="shared" si="41"/>
      </c>
      <c r="H440" s="101">
        <f>IF(AND(M440&gt;0,M440&lt;=STATS!$C$22),1,"")</f>
        <v>1</v>
      </c>
      <c r="J440" s="22">
        <v>439</v>
      </c>
      <c r="K440" s="112">
        <v>46.10027</v>
      </c>
      <c r="L440" s="112">
        <v>-91.23372</v>
      </c>
      <c r="M440" s="4">
        <v>5.5</v>
      </c>
      <c r="N440" s="4" t="s">
        <v>480</v>
      </c>
      <c r="O440" s="4" t="s">
        <v>562</v>
      </c>
      <c r="R440" s="8"/>
      <c r="S440" s="8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EZ440" s="98"/>
      <c r="FA440" s="98"/>
      <c r="FB440" s="98"/>
      <c r="FC440" s="98"/>
      <c r="FD440" s="98"/>
    </row>
    <row r="441" spans="2:160" ht="12.75">
      <c r="B441" s="83">
        <f t="shared" si="36"/>
        <v>0</v>
      </c>
      <c r="C441" s="83">
        <f t="shared" si="37"/>
      </c>
      <c r="D441" s="83">
        <f t="shared" si="38"/>
      </c>
      <c r="E441" s="83">
        <f t="shared" si="39"/>
        <v>0</v>
      </c>
      <c r="F441" s="83">
        <f t="shared" si="40"/>
        <v>0</v>
      </c>
      <c r="G441" s="83">
        <f t="shared" si="41"/>
      </c>
      <c r="H441" s="101">
        <f>IF(AND(M441&gt;0,M441&lt;=STATS!$C$22),1,"")</f>
        <v>1</v>
      </c>
      <c r="J441" s="22">
        <v>440</v>
      </c>
      <c r="K441" s="112">
        <v>46.10027</v>
      </c>
      <c r="L441" s="112">
        <v>-91.23312</v>
      </c>
      <c r="M441" s="4">
        <v>6</v>
      </c>
      <c r="N441" s="4" t="s">
        <v>480</v>
      </c>
      <c r="O441" s="4" t="s">
        <v>562</v>
      </c>
      <c r="R441" s="8"/>
      <c r="S441" s="8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CI441" s="4" t="s">
        <v>483</v>
      </c>
      <c r="EZ441" s="98"/>
      <c r="FA441" s="98"/>
      <c r="FB441" s="98"/>
      <c r="FC441" s="98"/>
      <c r="FD441" s="98"/>
    </row>
    <row r="442" spans="2:160" ht="12.75">
      <c r="B442" s="83">
        <f t="shared" si="36"/>
        <v>1</v>
      </c>
      <c r="C442" s="83">
        <f t="shared" si="37"/>
        <v>1</v>
      </c>
      <c r="D442" s="83">
        <f t="shared" si="38"/>
        <v>1</v>
      </c>
      <c r="E442" s="83">
        <f t="shared" si="39"/>
        <v>1</v>
      </c>
      <c r="F442" s="83">
        <f t="shared" si="40"/>
        <v>1</v>
      </c>
      <c r="G442" s="83">
        <f t="shared" si="41"/>
        <v>6.5</v>
      </c>
      <c r="H442" s="101">
        <f>IF(AND(M442&gt;0,M442&lt;=STATS!$C$22),1,"")</f>
        <v>1</v>
      </c>
      <c r="J442" s="22">
        <v>441</v>
      </c>
      <c r="K442" s="112">
        <v>46.10028</v>
      </c>
      <c r="L442" s="112">
        <v>-91.23251</v>
      </c>
      <c r="M442" s="4">
        <v>6.5</v>
      </c>
      <c r="N442" s="4" t="s">
        <v>480</v>
      </c>
      <c r="O442" s="4" t="s">
        <v>562</v>
      </c>
      <c r="Q442" s="4">
        <v>1</v>
      </c>
      <c r="R442" s="8"/>
      <c r="S442" s="8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BR442" s="4">
        <v>1</v>
      </c>
      <c r="EZ442" s="98"/>
      <c r="FA442" s="98"/>
      <c r="FB442" s="98"/>
      <c r="FC442" s="98"/>
      <c r="FD442" s="98"/>
    </row>
    <row r="443" spans="2:160" ht="12.75">
      <c r="B443" s="83">
        <f t="shared" si="36"/>
        <v>1</v>
      </c>
      <c r="C443" s="83">
        <f t="shared" si="37"/>
        <v>1</v>
      </c>
      <c r="D443" s="83">
        <f t="shared" si="38"/>
        <v>1</v>
      </c>
      <c r="E443" s="83">
        <f t="shared" si="39"/>
        <v>1</v>
      </c>
      <c r="F443" s="83">
        <f t="shared" si="40"/>
        <v>1</v>
      </c>
      <c r="G443" s="83">
        <f t="shared" si="41"/>
        <v>2</v>
      </c>
      <c r="H443" s="101">
        <f>IF(AND(M443&gt;0,M443&lt;=STATS!$C$22),1,"")</f>
        <v>1</v>
      </c>
      <c r="J443" s="22">
        <v>442</v>
      </c>
      <c r="K443" s="112">
        <v>46.10066</v>
      </c>
      <c r="L443" s="112">
        <v>-91.23677</v>
      </c>
      <c r="M443" s="4">
        <v>2</v>
      </c>
      <c r="N443" s="4" t="s">
        <v>481</v>
      </c>
      <c r="O443" s="4" t="s">
        <v>562</v>
      </c>
      <c r="Q443" s="4">
        <v>1</v>
      </c>
      <c r="R443" s="8"/>
      <c r="S443" s="8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T443" s="4">
        <v>1</v>
      </c>
      <c r="EZ443" s="98"/>
      <c r="FA443" s="98"/>
      <c r="FB443" s="98"/>
      <c r="FC443" s="98"/>
      <c r="FD443" s="98"/>
    </row>
    <row r="444" spans="2:160" ht="12.75">
      <c r="B444" s="83">
        <f t="shared" si="36"/>
        <v>4</v>
      </c>
      <c r="C444" s="83">
        <f t="shared" si="37"/>
        <v>4</v>
      </c>
      <c r="D444" s="83">
        <f t="shared" si="38"/>
        <v>4</v>
      </c>
      <c r="E444" s="83">
        <f t="shared" si="39"/>
        <v>4</v>
      </c>
      <c r="F444" s="83">
        <f t="shared" si="40"/>
        <v>4</v>
      </c>
      <c r="G444" s="83">
        <f t="shared" si="41"/>
        <v>4</v>
      </c>
      <c r="H444" s="101">
        <f>IF(AND(M444&gt;0,M444&lt;=STATS!$C$22),1,"")</f>
        <v>1</v>
      </c>
      <c r="J444" s="22">
        <v>443</v>
      </c>
      <c r="K444" s="112">
        <v>46.10067</v>
      </c>
      <c r="L444" s="112">
        <v>-91.23616</v>
      </c>
      <c r="M444" s="4">
        <v>4</v>
      </c>
      <c r="N444" s="4" t="s">
        <v>482</v>
      </c>
      <c r="O444" s="4" t="s">
        <v>562</v>
      </c>
      <c r="Q444" s="4">
        <v>3</v>
      </c>
      <c r="R444" s="8"/>
      <c r="S444" s="8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>
        <v>2</v>
      </c>
      <c r="AH444" s="24"/>
      <c r="AM444" s="4">
        <v>1</v>
      </c>
      <c r="BC444" s="4">
        <v>2</v>
      </c>
      <c r="BP444" s="4">
        <v>2</v>
      </c>
      <c r="EZ444" s="98"/>
      <c r="FA444" s="98"/>
      <c r="FB444" s="98"/>
      <c r="FC444" s="98"/>
      <c r="FD444" s="98"/>
    </row>
    <row r="445" spans="2:160" ht="12.75">
      <c r="B445" s="83">
        <f t="shared" si="36"/>
        <v>0</v>
      </c>
      <c r="C445" s="83">
        <f t="shared" si="37"/>
      </c>
      <c r="D445" s="83">
        <f t="shared" si="38"/>
      </c>
      <c r="E445" s="83">
        <f t="shared" si="39"/>
        <v>0</v>
      </c>
      <c r="F445" s="83">
        <f t="shared" si="40"/>
        <v>0</v>
      </c>
      <c r="G445" s="83">
        <f t="shared" si="41"/>
      </c>
      <c r="H445" s="101">
        <f>IF(AND(M445&gt;0,M445&lt;=STATS!$C$22),1,"")</f>
        <v>1</v>
      </c>
      <c r="J445" s="22">
        <v>444</v>
      </c>
      <c r="K445" s="112">
        <v>46.10067</v>
      </c>
      <c r="L445" s="112">
        <v>-91.23556</v>
      </c>
      <c r="M445" s="4">
        <v>5</v>
      </c>
      <c r="N445" s="4" t="s">
        <v>480</v>
      </c>
      <c r="O445" s="4" t="s">
        <v>562</v>
      </c>
      <c r="R445" s="8"/>
      <c r="S445" s="8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EZ445" s="98"/>
      <c r="FA445" s="98"/>
      <c r="FB445" s="98"/>
      <c r="FC445" s="98"/>
      <c r="FD445" s="98"/>
    </row>
    <row r="446" spans="2:160" ht="12.75">
      <c r="B446" s="83">
        <f t="shared" si="36"/>
        <v>0</v>
      </c>
      <c r="C446" s="83">
        <f t="shared" si="37"/>
      </c>
      <c r="D446" s="83">
        <f t="shared" si="38"/>
      </c>
      <c r="E446" s="83">
        <f t="shared" si="39"/>
        <v>0</v>
      </c>
      <c r="F446" s="83">
        <f t="shared" si="40"/>
        <v>0</v>
      </c>
      <c r="G446" s="83">
        <f t="shared" si="41"/>
      </c>
      <c r="H446" s="101">
        <f>IF(AND(M446&gt;0,M446&lt;=STATS!$C$22),1,"")</f>
        <v>1</v>
      </c>
      <c r="J446" s="22">
        <v>445</v>
      </c>
      <c r="K446" s="112">
        <v>46.10068</v>
      </c>
      <c r="L446" s="112">
        <v>-91.23495</v>
      </c>
      <c r="M446" s="4">
        <v>5</v>
      </c>
      <c r="N446" s="4" t="s">
        <v>480</v>
      </c>
      <c r="O446" s="4" t="s">
        <v>562</v>
      </c>
      <c r="R446" s="8"/>
      <c r="S446" s="8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EZ446" s="98"/>
      <c r="FA446" s="98"/>
      <c r="FB446" s="98"/>
      <c r="FC446" s="98"/>
      <c r="FD446" s="98"/>
    </row>
    <row r="447" spans="2:160" ht="12.75">
      <c r="B447" s="83">
        <f t="shared" si="36"/>
        <v>0</v>
      </c>
      <c r="C447" s="83">
        <f t="shared" si="37"/>
      </c>
      <c r="D447" s="83">
        <f t="shared" si="38"/>
      </c>
      <c r="E447" s="83">
        <f t="shared" si="39"/>
        <v>0</v>
      </c>
      <c r="F447" s="83">
        <f t="shared" si="40"/>
        <v>0</v>
      </c>
      <c r="G447" s="83">
        <f t="shared" si="41"/>
      </c>
      <c r="H447" s="101">
        <f>IF(AND(M447&gt;0,M447&lt;=STATS!$C$22),1,"")</f>
        <v>1</v>
      </c>
      <c r="J447" s="22">
        <v>446</v>
      </c>
      <c r="K447" s="112">
        <v>46.10069</v>
      </c>
      <c r="L447" s="112">
        <v>-91.23434</v>
      </c>
      <c r="M447" s="4">
        <v>5</v>
      </c>
      <c r="N447" s="4" t="s">
        <v>480</v>
      </c>
      <c r="O447" s="4" t="s">
        <v>562</v>
      </c>
      <c r="R447" s="8"/>
      <c r="S447" s="8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EZ447" s="98"/>
      <c r="FA447" s="98"/>
      <c r="FB447" s="98"/>
      <c r="FC447" s="98"/>
      <c r="FD447" s="98"/>
    </row>
    <row r="448" spans="2:160" ht="12.75">
      <c r="B448" s="83">
        <f t="shared" si="36"/>
        <v>0</v>
      </c>
      <c r="C448" s="83">
        <f t="shared" si="37"/>
      </c>
      <c r="D448" s="83">
        <f t="shared" si="38"/>
      </c>
      <c r="E448" s="83">
        <f t="shared" si="39"/>
        <v>0</v>
      </c>
      <c r="F448" s="83">
        <f t="shared" si="40"/>
        <v>0</v>
      </c>
      <c r="G448" s="83">
        <f t="shared" si="41"/>
      </c>
      <c r="H448" s="101">
        <f>IF(AND(M448&gt;0,M448&lt;=STATS!$C$22),1,"")</f>
        <v>1</v>
      </c>
      <c r="J448" s="22">
        <v>447</v>
      </c>
      <c r="K448" s="112">
        <v>46.10069</v>
      </c>
      <c r="L448" s="112">
        <v>-91.23373</v>
      </c>
      <c r="M448" s="4">
        <v>5.5</v>
      </c>
      <c r="N448" s="4" t="s">
        <v>480</v>
      </c>
      <c r="O448" s="4" t="s">
        <v>562</v>
      </c>
      <c r="R448" s="8"/>
      <c r="S448" s="8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CI448" s="4" t="s">
        <v>483</v>
      </c>
      <c r="EZ448" s="98"/>
      <c r="FA448" s="98"/>
      <c r="FB448" s="98"/>
      <c r="FC448" s="98"/>
      <c r="FD448" s="98"/>
    </row>
    <row r="449" spans="2:160" ht="12.75">
      <c r="B449" s="83">
        <f t="shared" si="36"/>
        <v>0</v>
      </c>
      <c r="C449" s="83">
        <f t="shared" si="37"/>
      </c>
      <c r="D449" s="83">
        <f t="shared" si="38"/>
      </c>
      <c r="E449" s="83">
        <f t="shared" si="39"/>
        <v>0</v>
      </c>
      <c r="F449" s="83">
        <f t="shared" si="40"/>
        <v>0</v>
      </c>
      <c r="G449" s="83">
        <f t="shared" si="41"/>
      </c>
      <c r="H449" s="101">
        <f>IF(AND(M449&gt;0,M449&lt;=STATS!$C$22),1,"")</f>
        <v>1</v>
      </c>
      <c r="J449" s="22">
        <v>448</v>
      </c>
      <c r="K449" s="112">
        <v>46.1007</v>
      </c>
      <c r="L449" s="112">
        <v>-91.23312</v>
      </c>
      <c r="M449" s="4">
        <v>6</v>
      </c>
      <c r="N449" s="4" t="s">
        <v>480</v>
      </c>
      <c r="O449" s="4" t="s">
        <v>562</v>
      </c>
      <c r="R449" s="8"/>
      <c r="S449" s="8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EZ449" s="98"/>
      <c r="FA449" s="98"/>
      <c r="FB449" s="98"/>
      <c r="FC449" s="98"/>
      <c r="FD449" s="98"/>
    </row>
    <row r="450" spans="2:160" ht="12.75">
      <c r="B450" s="83">
        <f aca="true" t="shared" si="42" ref="B450:B455">COUNT(R450:EY450,FE450:FM450)</f>
        <v>2</v>
      </c>
      <c r="C450" s="83">
        <f aca="true" t="shared" si="43" ref="C450:C455">IF(COUNT(R450:EY450,FE450:FM450)&gt;0,COUNT(R450:EY450,FE450:FM450),"")</f>
        <v>2</v>
      </c>
      <c r="D450" s="83">
        <f aca="true" t="shared" si="44" ref="D450:D455">IF(COUNT(T450:BJ450,BL450:BT450,BV450:CB450,CD450:EY450,FE450:FM450)&gt;0,COUNT(T450:BJ450,BL450:BT450,BV450:CB450,CD450:EY450,FE450:FM450),"")</f>
        <v>2</v>
      </c>
      <c r="E450" s="83">
        <f aca="true" t="shared" si="45" ref="E450:E455">IF(H450=1,COUNT(R450:EY450,FE450:FM450),"")</f>
        <v>2</v>
      </c>
      <c r="F450" s="83">
        <f aca="true" t="shared" si="46" ref="F450:F455">IF(H450=1,COUNT(T450:BJ450,BL450:BT450,BV450:CB450,CD450:EY450,FE450:FM450),"")</f>
        <v>2</v>
      </c>
      <c r="G450" s="83">
        <f aca="true" t="shared" si="47" ref="G450:G455">IF($B450&gt;=1,$M450,"")</f>
        <v>2.5</v>
      </c>
      <c r="H450" s="101">
        <f>IF(AND(M450&gt;0,M450&lt;=STATS!$C$22),1,"")</f>
        <v>1</v>
      </c>
      <c r="J450" s="22">
        <v>449</v>
      </c>
      <c r="K450" s="112">
        <v>46.10109</v>
      </c>
      <c r="L450" s="112">
        <v>-91.23617</v>
      </c>
      <c r="M450" s="4">
        <v>2.5</v>
      </c>
      <c r="N450" s="4" t="s">
        <v>482</v>
      </c>
      <c r="O450" s="4" t="s">
        <v>562</v>
      </c>
      <c r="Q450" s="4">
        <v>2</v>
      </c>
      <c r="R450" s="8"/>
      <c r="S450" s="8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BC450" s="4">
        <v>2</v>
      </c>
      <c r="CP450" s="4" t="s">
        <v>483</v>
      </c>
      <c r="EQ450" s="4">
        <v>2</v>
      </c>
      <c r="EZ450" s="98"/>
      <c r="FA450" s="98"/>
      <c r="FB450" s="98"/>
      <c r="FC450" s="98"/>
      <c r="FD450" s="98"/>
    </row>
    <row r="451" spans="2:160" ht="12.75">
      <c r="B451" s="83">
        <f t="shared" si="42"/>
        <v>0</v>
      </c>
      <c r="C451" s="83">
        <f t="shared" si="43"/>
      </c>
      <c r="D451" s="83">
        <f t="shared" si="44"/>
      </c>
      <c r="E451" s="83">
        <f t="shared" si="45"/>
        <v>0</v>
      </c>
      <c r="F451" s="83">
        <f t="shared" si="46"/>
        <v>0</v>
      </c>
      <c r="G451" s="83">
        <f t="shared" si="47"/>
      </c>
      <c r="H451" s="101">
        <f>IF(AND(M451&gt;0,M451&lt;=STATS!$C$22),1,"")</f>
        <v>1</v>
      </c>
      <c r="J451" s="22">
        <v>450</v>
      </c>
      <c r="K451" s="112">
        <v>46.10109</v>
      </c>
      <c r="L451" s="112">
        <v>-91.23557</v>
      </c>
      <c r="M451" s="4">
        <v>4</v>
      </c>
      <c r="N451" s="4" t="s">
        <v>480</v>
      </c>
      <c r="O451" s="4" t="s">
        <v>562</v>
      </c>
      <c r="R451" s="8"/>
      <c r="S451" s="8"/>
      <c r="T451" s="24"/>
      <c r="U451" s="24"/>
      <c r="V451" s="24"/>
      <c r="W451" s="24"/>
      <c r="X451" s="24" t="s">
        <v>483</v>
      </c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DK451" s="4" t="s">
        <v>483</v>
      </c>
      <c r="EZ451" s="98"/>
      <c r="FA451" s="98"/>
      <c r="FB451" s="98"/>
      <c r="FC451" s="98"/>
      <c r="FD451" s="98"/>
    </row>
    <row r="452" spans="2:160" ht="12.75">
      <c r="B452" s="83">
        <f t="shared" si="42"/>
        <v>5</v>
      </c>
      <c r="C452" s="83">
        <f t="shared" si="43"/>
        <v>5</v>
      </c>
      <c r="D452" s="83">
        <f t="shared" si="44"/>
        <v>5</v>
      </c>
      <c r="E452" s="83">
        <f t="shared" si="45"/>
        <v>5</v>
      </c>
      <c r="F452" s="83">
        <f t="shared" si="46"/>
        <v>5</v>
      </c>
      <c r="G452" s="83">
        <f t="shared" si="47"/>
        <v>2</v>
      </c>
      <c r="H452" s="101">
        <f>IF(AND(M452&gt;0,M452&lt;=STATS!$C$22),1,"")</f>
        <v>1</v>
      </c>
      <c r="J452" s="22">
        <v>451</v>
      </c>
      <c r="K452" s="112">
        <v>46.1011</v>
      </c>
      <c r="L452" s="112">
        <v>-91.23496</v>
      </c>
      <c r="M452" s="4">
        <v>2</v>
      </c>
      <c r="N452" s="4" t="s">
        <v>481</v>
      </c>
      <c r="O452" s="4" t="s">
        <v>562</v>
      </c>
      <c r="Q452" s="4">
        <v>2</v>
      </c>
      <c r="R452" s="8"/>
      <c r="S452" s="8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>
        <v>1</v>
      </c>
      <c r="AH452" s="24"/>
      <c r="AT452" s="4">
        <v>2</v>
      </c>
      <c r="BP452" s="4">
        <v>1</v>
      </c>
      <c r="CP452" s="4">
        <v>1</v>
      </c>
      <c r="DX452" s="4" t="s">
        <v>483</v>
      </c>
      <c r="EQ452" s="4">
        <v>2</v>
      </c>
      <c r="EZ452" s="98"/>
      <c r="FA452" s="98"/>
      <c r="FB452" s="98"/>
      <c r="FC452" s="98"/>
      <c r="FD452" s="98"/>
    </row>
    <row r="453" spans="2:160" ht="12.75">
      <c r="B453" s="83">
        <f t="shared" si="42"/>
        <v>2</v>
      </c>
      <c r="C453" s="83">
        <f t="shared" si="43"/>
        <v>2</v>
      </c>
      <c r="D453" s="83">
        <f t="shared" si="44"/>
        <v>2</v>
      </c>
      <c r="E453" s="83">
        <f t="shared" si="45"/>
        <v>2</v>
      </c>
      <c r="F453" s="83">
        <f t="shared" si="46"/>
        <v>2</v>
      </c>
      <c r="G453" s="83">
        <f t="shared" si="47"/>
        <v>4</v>
      </c>
      <c r="H453" s="101">
        <f>IF(AND(M453&gt;0,M453&lt;=STATS!$C$22),1,"")</f>
        <v>1</v>
      </c>
      <c r="J453" s="22">
        <v>452</v>
      </c>
      <c r="K453" s="112">
        <v>46.10111</v>
      </c>
      <c r="L453" s="112">
        <v>-91.23435</v>
      </c>
      <c r="M453" s="4">
        <v>4</v>
      </c>
      <c r="N453" s="4" t="s">
        <v>480</v>
      </c>
      <c r="O453" s="4" t="s">
        <v>562</v>
      </c>
      <c r="Q453" s="4">
        <v>1</v>
      </c>
      <c r="R453" s="8"/>
      <c r="S453" s="8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CA453" s="4" t="s">
        <v>483</v>
      </c>
      <c r="CS453" s="4">
        <v>1</v>
      </c>
      <c r="DK453" s="4">
        <v>1</v>
      </c>
      <c r="EZ453" s="98"/>
      <c r="FA453" s="98"/>
      <c r="FB453" s="98"/>
      <c r="FC453" s="98"/>
      <c r="FD453" s="98"/>
    </row>
    <row r="454" spans="2:160" ht="12.75">
      <c r="B454" s="83">
        <f t="shared" si="42"/>
        <v>0</v>
      </c>
      <c r="C454" s="83">
        <f t="shared" si="43"/>
      </c>
      <c r="D454" s="83">
        <f t="shared" si="44"/>
      </c>
      <c r="E454" s="83">
        <f t="shared" si="45"/>
        <v>0</v>
      </c>
      <c r="F454" s="83">
        <f t="shared" si="46"/>
        <v>0</v>
      </c>
      <c r="G454" s="83">
        <f t="shared" si="47"/>
      </c>
      <c r="H454" s="101">
        <f>IF(AND(M454&gt;0,M454&lt;=STATS!$C$22),1,"")</f>
        <v>1</v>
      </c>
      <c r="J454" s="22">
        <v>453</v>
      </c>
      <c r="K454" s="112">
        <v>46.10111</v>
      </c>
      <c r="L454" s="112">
        <v>-91.23374</v>
      </c>
      <c r="M454" s="4">
        <v>5</v>
      </c>
      <c r="N454" s="4" t="s">
        <v>480</v>
      </c>
      <c r="O454" s="4" t="s">
        <v>562</v>
      </c>
      <c r="R454" s="8"/>
      <c r="S454" s="8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EZ454" s="98"/>
      <c r="FA454" s="98"/>
      <c r="FB454" s="98"/>
      <c r="FC454" s="98"/>
      <c r="FD454" s="98"/>
    </row>
    <row r="455" spans="2:160" ht="12.75">
      <c r="B455" s="83">
        <f t="shared" si="42"/>
        <v>3</v>
      </c>
      <c r="C455" s="83">
        <f t="shared" si="43"/>
        <v>3</v>
      </c>
      <c r="D455" s="83">
        <f t="shared" si="44"/>
        <v>3</v>
      </c>
      <c r="E455" s="83">
        <f t="shared" si="45"/>
        <v>3</v>
      </c>
      <c r="F455" s="83">
        <f t="shared" si="46"/>
        <v>3</v>
      </c>
      <c r="G455" s="83">
        <f t="shared" si="47"/>
        <v>3</v>
      </c>
      <c r="H455" s="101">
        <f>IF(AND(M455&gt;0,M455&lt;=STATS!$C$22),1,"")</f>
        <v>1</v>
      </c>
      <c r="J455" s="22">
        <v>454</v>
      </c>
      <c r="K455" s="112">
        <v>46.10153</v>
      </c>
      <c r="L455" s="112">
        <v>-91.23436</v>
      </c>
      <c r="M455" s="4">
        <v>3</v>
      </c>
      <c r="N455" s="4" t="s">
        <v>480</v>
      </c>
      <c r="O455" s="4" t="s">
        <v>562</v>
      </c>
      <c r="Q455" s="4">
        <v>3</v>
      </c>
      <c r="R455" s="8"/>
      <c r="S455" s="8"/>
      <c r="T455" s="24"/>
      <c r="U455" s="24"/>
      <c r="V455" s="24"/>
      <c r="W455" s="24"/>
      <c r="X455" s="24">
        <v>2</v>
      </c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CB455" s="4">
        <v>1</v>
      </c>
      <c r="DT455" s="4">
        <v>3</v>
      </c>
      <c r="EZ455" s="98"/>
      <c r="FA455" s="98"/>
      <c r="FB455" s="98"/>
      <c r="FC455" s="98"/>
      <c r="FD455" s="98"/>
    </row>
    <row r="456" ht="12.75">
      <c r="J456" s="24">
        <f>AVERAGE(M2:M455)</f>
        <v>6.153421633554084</v>
      </c>
    </row>
  </sheetData>
  <sheetProtection formatCells="0" sort="0"/>
  <protectedRanges>
    <protectedRange sqref="N338:N455" name="Range1"/>
    <protectedRange sqref="N304:N337" name="Range1_2"/>
    <protectedRange sqref="P2:Q8 N2:N303 O2:O455" name="Range1_3"/>
    <protectedRange sqref="K2:L8" name="Range1_1_1_1"/>
  </protectedRanges>
  <dataValidations count="9">
    <dataValidation type="list" allowBlank="1" showInputMessage="1" showErrorMessage="1" sqref="Q456:AF65536 EZ456:EZ65536 Q1 AE1:AF1 AC1 X1">
      <formula1>"V,v,1,2,3"</formula1>
    </dataValidation>
    <dataValidation type="whole" allowBlank="1" showInputMessage="1" showErrorMessage="1" errorTitle="Presence/Absence Data" error="Enter 1 if present" sqref="FA456:FM65536 AG456:EY65536">
      <formula1>1</formula1>
      <formula2>1</formula2>
    </dataValidation>
    <dataValidation type="list" allowBlank="1" showInputMessage="1" showErrorMessage="1" sqref="O456:O65536">
      <formula1>"R,P"</formula1>
    </dataValidation>
    <dataValidation type="list" allowBlank="1" showInputMessage="1" showErrorMessage="1" sqref="O2:O455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55">
      <formula1>"1,2,3"</formula1>
    </dataValidation>
    <dataValidation type="list" allowBlank="1" showInputMessage="1" showErrorMessage="1" error="Please enter a rake fullness rating of 1, 2, 3 or V (visual).  If species not found, leave cell blank." sqref="R2:FM455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55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2" t="s">
        <v>16</v>
      </c>
    </row>
    <row r="2" spans="1:2" ht="12.75">
      <c r="A2" s="59" t="s">
        <v>48</v>
      </c>
      <c r="B2" t="str">
        <f>IF('ENTRY '!I2="","",'ENTRY '!I2)</f>
        <v>Clear Lake (Spider Chain)</v>
      </c>
    </row>
    <row r="3" spans="1:2" ht="12.75">
      <c r="A3" s="59" t="s">
        <v>25</v>
      </c>
      <c r="B3" t="str">
        <f>IF('ENTRY '!I3="","",'ENTRY '!I3)</f>
        <v>Sawyer</v>
      </c>
    </row>
    <row r="4" spans="1:2" ht="12.75">
      <c r="A4" s="59" t="s">
        <v>49</v>
      </c>
      <c r="B4" s="62">
        <f>IF('ENTRY '!I4="","",'ENTRY '!I4)</f>
        <v>2435800</v>
      </c>
    </row>
    <row r="5" spans="1:2" ht="12.75">
      <c r="A5" s="60" t="s">
        <v>38</v>
      </c>
      <c r="B5" s="78" t="str">
        <f>IF('ENTRY '!I5="","",'ENTRY '!I5)</f>
        <v>8 4 2017</v>
      </c>
    </row>
    <row r="6" spans="1:2" ht="12.75">
      <c r="A6" s="60" t="s">
        <v>47</v>
      </c>
      <c r="B6" s="62" t="str">
        <f>IF('ENTRY '!I6="","",'ENTRY '!I6)</f>
        <v>Matthew S. Berg</v>
      </c>
    </row>
    <row r="7" ht="12.75">
      <c r="A7" s="60"/>
    </row>
    <row r="8" spans="1:2" ht="12.75">
      <c r="A8" s="60"/>
      <c r="B8" s="62"/>
    </row>
    <row r="9" spans="1:2" ht="12.75">
      <c r="A9" s="60"/>
      <c r="B9" s="62"/>
    </row>
    <row r="10" spans="1:2" ht="12.75">
      <c r="A10" s="79" t="s">
        <v>41</v>
      </c>
      <c r="B10" s="79" t="s">
        <v>44</v>
      </c>
    </row>
    <row r="11" spans="1:2" ht="12.75">
      <c r="A11" s="138">
        <v>422</v>
      </c>
      <c r="B11" s="201" t="s">
        <v>583</v>
      </c>
    </row>
    <row r="12" spans="1:2" ht="12.75">
      <c r="A12" s="138">
        <v>434</v>
      </c>
      <c r="B12" s="201" t="s">
        <v>584</v>
      </c>
    </row>
    <row r="13" spans="1:2" ht="12.75">
      <c r="A13" s="138">
        <v>349</v>
      </c>
      <c r="B13" s="201" t="s">
        <v>585</v>
      </c>
    </row>
    <row r="14" spans="1:2" ht="12.75">
      <c r="A14" s="138">
        <v>299</v>
      </c>
      <c r="B14" s="201" t="s">
        <v>586</v>
      </c>
    </row>
    <row r="15" spans="1:2" ht="15" customHeight="1">
      <c r="A15" s="138">
        <v>178</v>
      </c>
      <c r="B15" s="201" t="s">
        <v>587</v>
      </c>
    </row>
    <row r="16" spans="1:2" ht="13.5" customHeight="1">
      <c r="A16" s="138">
        <v>454</v>
      </c>
      <c r="B16" s="201" t="s">
        <v>588</v>
      </c>
    </row>
    <row r="17" spans="1:2" ht="12.75">
      <c r="A17" s="138">
        <v>3</v>
      </c>
      <c r="B17" s="201" t="s">
        <v>589</v>
      </c>
    </row>
    <row r="18" spans="1:2" ht="12.75">
      <c r="A18" s="138">
        <v>454</v>
      </c>
      <c r="B18" s="201" t="s">
        <v>590</v>
      </c>
    </row>
    <row r="19" spans="1:3" ht="12.75">
      <c r="A19" s="138">
        <v>349</v>
      </c>
      <c r="B19" s="201" t="s">
        <v>591</v>
      </c>
      <c r="C19" s="134"/>
    </row>
    <row r="20" spans="1:2" ht="12.75">
      <c r="A20" s="138">
        <v>299</v>
      </c>
      <c r="B20" s="201" t="s">
        <v>592</v>
      </c>
    </row>
    <row r="21" spans="1:2" ht="12.75">
      <c r="A21" s="138">
        <v>20</v>
      </c>
      <c r="B21" s="201" t="s">
        <v>593</v>
      </c>
    </row>
    <row r="22" spans="1:2" ht="12.75">
      <c r="A22" s="138">
        <v>178</v>
      </c>
      <c r="B22" s="201" t="s">
        <v>594</v>
      </c>
    </row>
    <row r="23" spans="1:2" ht="12.75">
      <c r="A23" s="138">
        <v>349</v>
      </c>
      <c r="B23" s="201" t="s">
        <v>595</v>
      </c>
    </row>
    <row r="24" spans="1:2" ht="12.75">
      <c r="A24" s="138">
        <v>299</v>
      </c>
      <c r="B24" s="201" t="s">
        <v>596</v>
      </c>
    </row>
    <row r="25" spans="1:2" ht="12.75">
      <c r="A25" s="138">
        <v>97</v>
      </c>
      <c r="B25" s="201" t="s">
        <v>597</v>
      </c>
    </row>
    <row r="26" spans="1:2" ht="12.75">
      <c r="A26" s="138">
        <v>422</v>
      </c>
      <c r="B26" s="201" t="s">
        <v>598</v>
      </c>
    </row>
    <row r="27" spans="1:2" ht="12.75">
      <c r="A27" s="138">
        <v>422</v>
      </c>
      <c r="B27" s="201" t="s">
        <v>599</v>
      </c>
    </row>
    <row r="28" spans="1:2" ht="12.75">
      <c r="A28" s="61"/>
      <c r="B28" s="135"/>
    </row>
    <row r="29" ht="12.75">
      <c r="B29" s="139" t="s">
        <v>543</v>
      </c>
    </row>
    <row r="30" ht="12.75">
      <c r="B30" s="137" t="s">
        <v>544</v>
      </c>
    </row>
    <row r="31" ht="12.75">
      <c r="B31" s="137" t="s">
        <v>545</v>
      </c>
    </row>
    <row r="32" ht="12.75">
      <c r="B32" s="137" t="s">
        <v>546</v>
      </c>
    </row>
    <row r="33" ht="12.75">
      <c r="B33" s="137" t="s">
        <v>547</v>
      </c>
    </row>
    <row r="34" ht="33.75">
      <c r="B34" s="137" t="s">
        <v>548</v>
      </c>
    </row>
    <row r="35" spans="1:2" ht="45">
      <c r="A35" s="61"/>
      <c r="B35" s="137" t="s">
        <v>549</v>
      </c>
    </row>
    <row r="36" ht="12.75">
      <c r="B36" s="135"/>
    </row>
    <row r="37" ht="12.75">
      <c r="B37" s="135"/>
    </row>
    <row r="38" ht="12.75">
      <c r="B38" s="135"/>
    </row>
    <row r="39" ht="12.75">
      <c r="B39" s="135"/>
    </row>
    <row r="40" ht="12.75">
      <c r="B40" s="135"/>
    </row>
    <row r="41" ht="12.75">
      <c r="B41" s="135"/>
    </row>
    <row r="42" ht="12.75">
      <c r="B42" s="135"/>
    </row>
    <row r="43" spans="1:2" ht="12.75">
      <c r="A43" s="61"/>
      <c r="B43" s="135"/>
    </row>
    <row r="44" ht="12.75">
      <c r="B44" s="135"/>
    </row>
    <row r="45" ht="12.75">
      <c r="B45" s="135"/>
    </row>
    <row r="46" ht="12.75">
      <c r="B46" s="135"/>
    </row>
    <row r="47" ht="12.75">
      <c r="B47" s="135"/>
    </row>
    <row r="48" ht="12.75">
      <c r="B48" s="135"/>
    </row>
    <row r="49" ht="12.75">
      <c r="B49" s="136"/>
    </row>
    <row r="50" spans="1:2" ht="12.75">
      <c r="A50" s="61"/>
      <c r="B50" s="135"/>
    </row>
    <row r="51" ht="12.75">
      <c r="B51" s="135"/>
    </row>
    <row r="52" ht="12.75">
      <c r="B52" s="135"/>
    </row>
    <row r="53" ht="12.75">
      <c r="B53" s="135"/>
    </row>
    <row r="54" ht="12.75">
      <c r="B54" s="135"/>
    </row>
    <row r="55" ht="12.75">
      <c r="B55" s="135"/>
    </row>
    <row r="56" ht="12.75">
      <c r="B56" s="136"/>
    </row>
    <row r="57" spans="1:2" ht="12.75">
      <c r="A57" s="61"/>
      <c r="B57" s="135"/>
    </row>
    <row r="58" ht="12.75">
      <c r="B58" s="135"/>
    </row>
    <row r="59" ht="12.75">
      <c r="B59" s="135"/>
    </row>
    <row r="60" ht="12.75">
      <c r="B60" s="135"/>
    </row>
    <row r="61" ht="12.75">
      <c r="B61" s="135"/>
    </row>
    <row r="62" ht="12.75">
      <c r="B62" s="135"/>
    </row>
    <row r="63" ht="12.75">
      <c r="B63" s="135"/>
    </row>
    <row r="64" ht="12.75">
      <c r="B64" s="136"/>
    </row>
    <row r="65" spans="1:2" ht="12.75">
      <c r="A65" s="61"/>
      <c r="B65" s="135"/>
    </row>
    <row r="66" ht="12.75">
      <c r="B66" s="135"/>
    </row>
    <row r="67" ht="12.75">
      <c r="B67" s="135"/>
    </row>
    <row r="68" ht="12.75">
      <c r="B68" s="135"/>
    </row>
    <row r="69" ht="12.75">
      <c r="B69" s="135"/>
    </row>
    <row r="70" ht="12.75">
      <c r="B70" s="135"/>
    </row>
    <row r="71" ht="12.75">
      <c r="B71" s="135"/>
    </row>
    <row r="73" spans="1:2" ht="12.75">
      <c r="A73" s="61"/>
      <c r="B73" s="133"/>
    </row>
    <row r="74" ht="12.75">
      <c r="B74" s="133"/>
    </row>
    <row r="75" ht="12.75">
      <c r="B75" s="133"/>
    </row>
    <row r="76" ht="12.75">
      <c r="B76" s="133"/>
    </row>
    <row r="77" ht="12.75">
      <c r="B77" s="133"/>
    </row>
    <row r="78" ht="12.75">
      <c r="B78" s="133"/>
    </row>
    <row r="79" ht="12.75">
      <c r="B79" s="133"/>
    </row>
    <row r="81" spans="1:2" ht="12.75">
      <c r="A81" s="61"/>
      <c r="B81" s="133"/>
    </row>
    <row r="82" ht="12.75">
      <c r="B82" s="133"/>
    </row>
    <row r="83" ht="12.75">
      <c r="B83" s="133"/>
    </row>
    <row r="84" ht="12.75">
      <c r="B84" s="133"/>
    </row>
    <row r="85" ht="12.75">
      <c r="B85" s="133"/>
    </row>
    <row r="86" ht="12.75">
      <c r="B86" s="133"/>
    </row>
    <row r="87" ht="12.75">
      <c r="B87" s="133"/>
    </row>
    <row r="89" spans="1:2" ht="12.75">
      <c r="A89" s="61"/>
      <c r="B89" s="133"/>
    </row>
    <row r="90" ht="12.75">
      <c r="B90" s="133"/>
    </row>
    <row r="91" ht="12.75">
      <c r="B91" s="133"/>
    </row>
    <row r="92" ht="12.75">
      <c r="B92" s="133"/>
    </row>
    <row r="93" ht="12.75">
      <c r="B93" s="133"/>
    </row>
    <row r="94" ht="12.75">
      <c r="B94" s="133"/>
    </row>
    <row r="96" spans="1:2" ht="12.75">
      <c r="A96" s="61"/>
      <c r="B96" s="134"/>
    </row>
    <row r="97" ht="12.75">
      <c r="B97" s="134"/>
    </row>
    <row r="98" ht="12.75">
      <c r="B98" s="134"/>
    </row>
    <row r="99" ht="12.75">
      <c r="B99" s="134"/>
    </row>
    <row r="100" ht="12.75">
      <c r="B100" s="134"/>
    </row>
    <row r="101" ht="12.75">
      <c r="B101" s="134"/>
    </row>
    <row r="102" ht="12.75">
      <c r="B102" s="134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3" sqref="C23:C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5" width="6.7109375" style="32" customWidth="1"/>
    <col min="6" max="153" width="6.7109375" style="0" customWidth="1"/>
    <col min="154" max="154" width="5.7109375" style="0" customWidth="1"/>
    <col min="155" max="16384" width="5.7109375" style="25" customWidth="1"/>
  </cols>
  <sheetData>
    <row r="1" spans="1:156" s="13" customFormat="1" ht="138" customHeight="1">
      <c r="A1" s="50"/>
      <c r="B1" s="39" t="s">
        <v>14</v>
      </c>
      <c r="C1" s="104" t="s">
        <v>12</v>
      </c>
      <c r="D1" s="105" t="s">
        <v>324</v>
      </c>
      <c r="E1" s="106" t="s">
        <v>325</v>
      </c>
      <c r="F1" s="107" t="str">
        <f>'ENTRY '!T1</f>
        <v>Acorus americanus,Sweet-flag</v>
      </c>
      <c r="G1" s="107" t="str">
        <f>'ENTRY '!U1</f>
        <v>Alisma triviale,Northern water-plantain</v>
      </c>
      <c r="H1" s="107" t="str">
        <f>'ENTRY '!V1</f>
        <v>Bidens beckii,Water marigold</v>
      </c>
      <c r="I1" s="107" t="str">
        <f>'ENTRY '!W1</f>
        <v>Bolboschoenus fluviatilis,River bulrush</v>
      </c>
      <c r="J1" s="107" t="str">
        <f>'ENTRY '!X1</f>
        <v>Brasenia schreberi,Watershield</v>
      </c>
      <c r="K1" s="107" t="str">
        <f>'ENTRY '!Y1</f>
        <v>Calla palustris,Wild calla</v>
      </c>
      <c r="L1" s="107" t="str">
        <f>'ENTRY '!Z1</f>
        <v>Callitriche hermaphroditica,Autumnal water-starwort</v>
      </c>
      <c r="M1" s="107" t="str">
        <f>'ENTRY '!AA1</f>
        <v>Callitriche heterophylla,Large water-starwort</v>
      </c>
      <c r="N1" s="107" t="str">
        <f>'ENTRY '!AB1</f>
        <v>Callitriche palustris,Common water-starwort</v>
      </c>
      <c r="O1" s="107" t="str">
        <f>'ENTRY '!AC1</f>
        <v>Carex comosa,Bottle brush sedge</v>
      </c>
      <c r="P1" s="107" t="str">
        <f>'ENTRY '!AD1</f>
        <v>Catabrosa aquatica,Brook grass</v>
      </c>
      <c r="Q1" s="107" t="str">
        <f>'ENTRY '!AE1</f>
        <v>Ceratophyllum demersum,Coontail</v>
      </c>
      <c r="R1" s="107" t="str">
        <f>'ENTRY '!AF1</f>
        <v>Ceratophyllum echinatum,Spiny hornwort</v>
      </c>
      <c r="S1" s="107" t="str">
        <f>'ENTRY '!AG1</f>
        <v>Chara sp.,Muskgrass</v>
      </c>
      <c r="T1" s="107" t="str">
        <f>'ENTRY '!AH1</f>
        <v>Comarum palustre,Marsh cinquefoil</v>
      </c>
      <c r="U1" s="107" t="str">
        <f>'ENTRY '!AI1</f>
        <v>Decodon verticillatus,Swamp loosestrife</v>
      </c>
      <c r="V1" s="107" t="str">
        <f>'ENTRY '!AJ1</f>
        <v>Dulichium arundinaceum,Three-way sedge</v>
      </c>
      <c r="W1" s="107" t="str">
        <f>'ENTRY '!AK1</f>
        <v>Elatine minima,Waterwort</v>
      </c>
      <c r="X1" s="107" t="str">
        <f>'ENTRY '!AL1</f>
        <v>Elatine triandra,Greater waterwort</v>
      </c>
      <c r="Y1" s="107" t="str">
        <f>'ENTRY '!AM1</f>
        <v>Eleocharis acicularis,Needle spikerush</v>
      </c>
      <c r="Z1" s="107" t="str">
        <f>'ENTRY '!AN1</f>
        <v>Eleocharis erythropoda,Bald spikerush</v>
      </c>
      <c r="AA1" s="107" t="str">
        <f>'ENTRY '!AO1</f>
        <v>Eleocharis palustris,Creeping spikerush</v>
      </c>
      <c r="AB1" s="107" t="str">
        <f>'ENTRY '!AP1</f>
        <v>Eleocharis robbinsii,Robbins' spikerush</v>
      </c>
      <c r="AC1" s="107" t="str">
        <f>'ENTRY '!AQ1</f>
        <v>Elodea canadensis,Common waterweed</v>
      </c>
      <c r="AD1" s="107" t="str">
        <f>'ENTRY '!AR1</f>
        <v>Elodea nuttallii,Slender waterweed</v>
      </c>
      <c r="AE1" s="107" t="str">
        <f>'ENTRY '!AS1</f>
        <v>Equisetum fluviatile,Water horsetail</v>
      </c>
      <c r="AF1" s="107" t="str">
        <f>'ENTRY '!AT1</f>
        <v>Eriocaulon aquaticum,Pipewort</v>
      </c>
      <c r="AG1" s="107" t="str">
        <f>'ENTRY '!AU1</f>
        <v>Glyceria borealis,Northern manna grass</v>
      </c>
      <c r="AH1" s="107" t="str">
        <f>'ENTRY '!AV1</f>
        <v>Gratiola aurea,Golden hedge-hyssop</v>
      </c>
      <c r="AI1" s="107" t="str">
        <f>'ENTRY '!AW1</f>
        <v>Heteranthera dubia,Water star-grass</v>
      </c>
      <c r="AJ1" s="107" t="str">
        <f>'ENTRY '!AX1</f>
        <v>Iris versicolor,Northern blue flag</v>
      </c>
      <c r="AK1" s="107" t="str">
        <f>'ENTRY '!AY1</f>
        <v>Iris virginica,Southern blue flag</v>
      </c>
      <c r="AL1" s="107" t="str">
        <f>'ENTRY '!AZ1</f>
        <v>Isoetes echinospora,Spiny spored-quillwort</v>
      </c>
      <c r="AM1" s="107" t="str">
        <f>'ENTRY '!BA1</f>
        <v>Isoetes lacustris,Lake quillwort</v>
      </c>
      <c r="AN1" s="107" t="str">
        <f>'ENTRY '!BB1</f>
        <v>Isoetes sp.,Quillwort</v>
      </c>
      <c r="AO1" s="107" t="str">
        <f>'ENTRY '!BC1</f>
        <v>Juncus pelocarpus f. submersus,Brown-fruited rush</v>
      </c>
      <c r="AP1" s="107" t="str">
        <f>'ENTRY '!BD1</f>
        <v>Juncus torreyi,Torrey's rush</v>
      </c>
      <c r="AQ1" s="107" t="str">
        <f>'ENTRY '!BE1</f>
        <v>Lemna minor,Small duckweed</v>
      </c>
      <c r="AR1" s="107" t="str">
        <f>'ENTRY '!BF1</f>
        <v>Lemna perpusilla,Least duckweed</v>
      </c>
      <c r="AS1" s="107" t="str">
        <f>'ENTRY '!BG1</f>
        <v>Lemna trisulca,Forked duckweed</v>
      </c>
      <c r="AT1" s="107" t="str">
        <f>'ENTRY '!BH1</f>
        <v>Littorella uniflora,Littorella</v>
      </c>
      <c r="AU1" s="107" t="str">
        <f>'ENTRY '!BI1</f>
        <v>Lobelia dortmanna,Water lobelia</v>
      </c>
      <c r="AV1" s="107" t="str">
        <f>'ENTRY '!BJ1</f>
        <v>Ludwigia palustris,Marsh purslane</v>
      </c>
      <c r="AW1" s="107" t="str">
        <f>'ENTRY '!BK1</f>
        <v>Lythrum salicaria,Purple loosestrife</v>
      </c>
      <c r="AX1" s="107" t="str">
        <f>'ENTRY '!BL1</f>
        <v>Myriophyllum alterniflorum,Alternate-flowered water-milfoil</v>
      </c>
      <c r="AY1" s="107" t="str">
        <f>'ENTRY '!BM1</f>
        <v>Myriophyllum farwellii,Farwell's water-milfoil</v>
      </c>
      <c r="AZ1" s="107" t="str">
        <f>'ENTRY '!BN1</f>
        <v>Myriophyllum heterophyllum,Various-leaved water-milfoil</v>
      </c>
      <c r="BA1" s="107" t="str">
        <f>'ENTRY '!BO1</f>
        <v>Myriophyllum sibiricum,Northern water-milfoil</v>
      </c>
      <c r="BB1" s="107" t="str">
        <f>'ENTRY '!BP1</f>
        <v>Myriophyllum tenellum,Dwarf water-milfoil</v>
      </c>
      <c r="BC1" s="107" t="str">
        <f>'ENTRY '!BQ1</f>
        <v>Myriophyllum verticillatum,Whorled water-milfoil</v>
      </c>
      <c r="BD1" s="107" t="str">
        <f>'ENTRY '!BR1</f>
        <v>Najas flexilis,Slender naiad</v>
      </c>
      <c r="BE1" s="107" t="str">
        <f>'ENTRY '!BS1</f>
        <v>Najas gracillima,Northern naiad</v>
      </c>
      <c r="BF1" s="107" t="str">
        <f>'ENTRY '!BT1</f>
        <v>Najas guadalupensis,Southern naiad</v>
      </c>
      <c r="BG1" s="107" t="str">
        <f>'ENTRY '!BU1</f>
        <v>Najas marina,Spiny naiad</v>
      </c>
      <c r="BH1" s="107" t="str">
        <f>'ENTRY '!BV1</f>
        <v>Nelumbo lutea,American lotus</v>
      </c>
      <c r="BI1" s="107" t="str">
        <f>'ENTRY '!BW1</f>
        <v>Nitella sp.,Nitella</v>
      </c>
      <c r="BJ1" s="107" t="str">
        <f>'ENTRY '!BX1</f>
        <v>Nuphar advena,Yellow pond lily</v>
      </c>
      <c r="BK1" s="107" t="str">
        <f>'ENTRY '!BY1</f>
        <v>Nuphar microphylla,Small pond lily</v>
      </c>
      <c r="BL1" s="107" t="str">
        <f>'ENTRY '!BZ1</f>
        <v>Nuphar X rubrodisca,Intermediate pond lily</v>
      </c>
      <c r="BM1" s="107" t="str">
        <f>'ENTRY '!CA1</f>
        <v>Nuphar variegata,Spatterdock</v>
      </c>
      <c r="BN1" s="107" t="str">
        <f>'ENTRY '!CB1</f>
        <v>Nymphaea odorata,White water lily</v>
      </c>
      <c r="BO1" s="107" t="str">
        <f>'ENTRY '!CC1</f>
        <v>Phalaris arundinacea,Reed canary grass</v>
      </c>
      <c r="BP1" s="107" t="str">
        <f>'ENTRY '!CD1</f>
        <v>Phragmites australis,Common reed</v>
      </c>
      <c r="BQ1" s="107" t="str">
        <f>'ENTRY '!CE1</f>
        <v>Polygonum amphibium,Water smartweed</v>
      </c>
      <c r="BR1" s="107" t="str">
        <f>'ENTRY '!CF1</f>
        <v>Polygonum punctatum,Dotted smartweed</v>
      </c>
      <c r="BS1" s="107" t="str">
        <f>'ENTRY '!CG1</f>
        <v>Pontederia cordata,Pickerelweed</v>
      </c>
      <c r="BT1" s="107" t="str">
        <f>'ENTRY '!CH1</f>
        <v>Potamogeton alpinus,Alpine pondweed</v>
      </c>
      <c r="BU1" s="107" t="str">
        <f>'ENTRY '!CI1</f>
        <v>Potamogeton amplifolius,Large-leaf pondweed</v>
      </c>
      <c r="BV1" s="107" t="str">
        <f>'ENTRY '!CJ1</f>
        <v>Potamogeton bicupulatus,Snail-seed pondweed</v>
      </c>
      <c r="BW1" s="107" t="str">
        <f>'ENTRY '!CK1</f>
        <v>Potamogeton confervoides,Algal-leaved pondweed</v>
      </c>
      <c r="BX1" s="107" t="str">
        <f>'ENTRY '!CL1</f>
        <v>Potamogeton diversifolius,Water-thread pondweed</v>
      </c>
      <c r="BY1" s="107" t="str">
        <f>'ENTRY '!CM1</f>
        <v>Potamogeton epihydrus,Ribbon-leaf pondweed</v>
      </c>
      <c r="BZ1" s="107" t="str">
        <f>'ENTRY '!CN1</f>
        <v>Potamogeton foliosus,Leafy pondweed</v>
      </c>
      <c r="CA1" s="107" t="str">
        <f>'ENTRY '!CO1</f>
        <v>Potamogeton friesii,Fries' pondweed</v>
      </c>
      <c r="CB1" s="107" t="str">
        <f>'ENTRY '!CP1</f>
        <v>Potamogeton gramineus,Variable pondweed</v>
      </c>
      <c r="CC1" s="107" t="str">
        <f>'ENTRY '!CQ1</f>
        <v>Potamogeton hillii,Hill's pondweed</v>
      </c>
      <c r="CD1" s="107" t="str">
        <f>'ENTRY '!CR1</f>
        <v>Potamogeton illinoensis,Illinois pondweed</v>
      </c>
      <c r="CE1" s="107" t="str">
        <f>'ENTRY '!CS1</f>
        <v>Potamogeton natans,Floating-leaf pondweed</v>
      </c>
      <c r="CF1" s="107" t="str">
        <f>'ENTRY '!CT1</f>
        <v>Potamogeton nodosus,Long-leaf pondweed</v>
      </c>
      <c r="CG1" s="107" t="str">
        <f>'ENTRY '!CU1</f>
        <v>Potamogeton oakesianus,Oakes' pondweed</v>
      </c>
      <c r="CH1" s="107" t="str">
        <f>'ENTRY '!CV1</f>
        <v>Potamogeton obtusifolius,Blunt-leaf pondweed</v>
      </c>
      <c r="CI1" s="107" t="str">
        <f>'ENTRY '!CW1</f>
        <v>Potamogeton praelongus,White-stem pondweed</v>
      </c>
      <c r="CJ1" s="107" t="str">
        <f>'ENTRY '!CX1</f>
        <v>Potamogeton pulcher,Spotted pondweed</v>
      </c>
      <c r="CK1" s="107" t="str">
        <f>'ENTRY '!CY1</f>
        <v>Potamogeton pusillus,Small pondweed</v>
      </c>
      <c r="CL1" s="107" t="str">
        <f>'ENTRY '!CZ1</f>
        <v>Potamogeton richardsonii,Clasping-leaf pondweed</v>
      </c>
      <c r="CM1" s="107" t="str">
        <f>'ENTRY '!DA1</f>
        <v>Potamogeton robbinsii,Fern pondweed</v>
      </c>
      <c r="CN1" s="107" t="str">
        <f>'ENTRY '!DB1</f>
        <v>Potamogeton spirillus,Spiral-fruited pondweed</v>
      </c>
      <c r="CO1" s="107" t="str">
        <f>'ENTRY '!DC1</f>
        <v>Potamogeton strictifolius,Stiff pondweed</v>
      </c>
      <c r="CP1" s="107" t="str">
        <f>'ENTRY '!DD1</f>
        <v>Potamogeton vaseyi,Vasey's pondweed</v>
      </c>
      <c r="CQ1" s="107" t="str">
        <f>'ENTRY '!DE1</f>
        <v>Potamogeton zosteriformis,Flat-stem pondweed</v>
      </c>
      <c r="CR1" s="107" t="str">
        <f>'ENTRY '!DF1</f>
        <v>Ranunculus aquatilis,White water crowfoot</v>
      </c>
      <c r="CS1" s="107" t="str">
        <f>'ENTRY '!DG1</f>
        <v>Ranunculus flabellaris,Yellow water crowfoot</v>
      </c>
      <c r="CT1" s="107" t="str">
        <f>'ENTRY '!DH1</f>
        <v>Ranunculus flammula,Creeping spearwort</v>
      </c>
      <c r="CU1" s="107" t="str">
        <f>'ENTRY '!DI1</f>
        <v>Ruppia cirrhosa,Ditch grass</v>
      </c>
      <c r="CV1" s="107" t="str">
        <f>'ENTRY '!DJ1</f>
        <v>Sagittaria brevirostra,Midwestern arrowhead</v>
      </c>
      <c r="CW1" s="107" t="str">
        <f>'ENTRY '!DK1</f>
        <v>Sagittaria cristata,Crested arrowhead</v>
      </c>
      <c r="CX1" s="107" t="str">
        <f>'ENTRY '!DL1</f>
        <v>Sagittaria cuneata,Arum-leaved arrowhead</v>
      </c>
      <c r="CY1" s="107" t="str">
        <f>'ENTRY '!DM1</f>
        <v>Sagittaria graminea,Grass-leaved arrowhead</v>
      </c>
      <c r="CZ1" s="107" t="str">
        <f>'ENTRY '!DN1</f>
        <v>Sagittaria latifolia,Common arrowhead</v>
      </c>
      <c r="DA1" s="107" t="str">
        <f>'ENTRY '!DO1</f>
        <v>Sagittaria rigida,Sessile-fruited arrowhead</v>
      </c>
      <c r="DB1" s="107" t="str">
        <f>'ENTRY '!DP1</f>
        <v>Sagittaria sp.,Arrowhead</v>
      </c>
      <c r="DC1" s="107" t="str">
        <f>'ENTRY '!DQ1</f>
        <v>Schoenoplectus acutus,Hardstem bulrush</v>
      </c>
      <c r="DD1" s="107" t="str">
        <f>'ENTRY '!DR1</f>
        <v>Schoenoplectus heterochaetus,Slender bulrush</v>
      </c>
      <c r="DE1" s="107" t="str">
        <f>'ENTRY '!DS1</f>
        <v>Schoenoplectus pungens,Three-square bulrush</v>
      </c>
      <c r="DF1" s="107" t="str">
        <f>'ENTRY '!DT1</f>
        <v>Schoenoplectus subterminalis,Water bulrush</v>
      </c>
      <c r="DG1" s="107" t="str">
        <f>'ENTRY '!DU1</f>
        <v>Schoenoplectus tabernaemontani,Softstem bulrush</v>
      </c>
      <c r="DH1" s="107" t="str">
        <f>'ENTRY '!DV1</f>
        <v>Sparganium americanum,American bur-reed</v>
      </c>
      <c r="DI1" s="107" t="str">
        <f>'ENTRY '!DW1</f>
        <v>Sparganium androcladum,Branched bur-reed</v>
      </c>
      <c r="DJ1" s="107" t="str">
        <f>'ENTRY '!DX1</f>
        <v>Sparganium angustifolium,Narrow-leaved bur-reed</v>
      </c>
      <c r="DK1" s="107" t="str">
        <f>'ENTRY '!DY1</f>
        <v>Sparganium emersum,Short-stemmed bur-reed</v>
      </c>
      <c r="DL1" s="107" t="str">
        <f>'ENTRY '!DZ1</f>
        <v>Sparganium eurycarpum,Common bur-reed</v>
      </c>
      <c r="DM1" s="107" t="str">
        <f>'ENTRY '!EA1</f>
        <v>Sparganium fluctuans,Floating-leaf bur-reed</v>
      </c>
      <c r="DN1" s="107" t="str">
        <f>'ENTRY '!EB1</f>
        <v>Sparganium natans,Small bur-reed</v>
      </c>
      <c r="DO1" s="107" t="str">
        <f>'ENTRY '!EC1</f>
        <v>Sparganium sp.,Bur-reed</v>
      </c>
      <c r="DP1" s="107" t="str">
        <f>'ENTRY '!ED1</f>
        <v>Spirodela polyrhiza,Large duckweed</v>
      </c>
      <c r="DQ1" s="107" t="str">
        <f>'ENTRY '!EE1</f>
        <v>Stuckenia filiformis,Fine-leaved pondweed</v>
      </c>
      <c r="DR1" s="107" t="str">
        <f>'ENTRY '!EF1</f>
        <v>Stuckenia pectinata,Sago pondweed</v>
      </c>
      <c r="DS1" s="107" t="str">
        <f>'ENTRY '!EG1</f>
        <v>Stuckenia vaginata,Sheathed pondweed</v>
      </c>
      <c r="DT1" s="107" t="str">
        <f>'ENTRY '!EH1</f>
        <v>Typha angustifolia,Narrow-leaved cattail</v>
      </c>
      <c r="DU1" s="107" t="str">
        <f>'ENTRY '!EI1</f>
        <v>Typha latifolia,Broad-leaved cattail</v>
      </c>
      <c r="DV1" s="107" t="str">
        <f>'ENTRY '!EJ1</f>
        <v>Typha sp.,Cattail</v>
      </c>
      <c r="DW1" s="107" t="str">
        <f>'ENTRY '!EK1</f>
        <v>Utricularia cornuta,Horned pondweed</v>
      </c>
      <c r="DX1" s="107" t="str">
        <f>'ENTRY '!EL1</f>
        <v>Utricularia geminiscapa,Twin-stemmed bladderwort</v>
      </c>
      <c r="DY1" s="107" t="str">
        <f>'ENTRY '!EM1</f>
        <v>Utricularia gibba,Creeping bladderwort</v>
      </c>
      <c r="DZ1" s="107" t="str">
        <f>'ENTRY '!EN1</f>
        <v>Utricularia intermedia,Flat-leaf bladderwort</v>
      </c>
      <c r="EA1" s="107" t="str">
        <f>'ENTRY '!EO1</f>
        <v>Utricularia minor,Small bladderwort</v>
      </c>
      <c r="EB1" s="107" t="str">
        <f>'ENTRY '!EP1</f>
        <v>Utricularia purpurea,Large purple bladderwort</v>
      </c>
      <c r="EC1" s="107" t="str">
        <f>'ENTRY '!EQ1</f>
        <v>Utricularia resupinata,Small purple bladderwort</v>
      </c>
      <c r="ED1" s="107" t="str">
        <f>'ENTRY '!ER1</f>
        <v>Utricularia vulgaris,Common bladderwort</v>
      </c>
      <c r="EE1" s="107" t="str">
        <f>'ENTRY '!ES1</f>
        <v>Vallisneria americana,Wild celery</v>
      </c>
      <c r="EF1" s="107" t="str">
        <f>'ENTRY '!ET1</f>
        <v>Wolffia borealis,Northern watermeal</v>
      </c>
      <c r="EG1" s="107" t="str">
        <f>'ENTRY '!EU1</f>
        <v>Wolffia columbiana,Common watermeal</v>
      </c>
      <c r="EH1" s="107" t="str">
        <f>'ENTRY '!EV1</f>
        <v>Zannichellia palustris,Horned pondweed</v>
      </c>
      <c r="EI1" s="107" t="str">
        <f>'ENTRY '!EW1</f>
        <v>Zizania aquatica,Southern wild rice</v>
      </c>
      <c r="EJ1" s="107" t="str">
        <f>'ENTRY '!EX1</f>
        <v>Zizania palustris,Northern wild rice</v>
      </c>
      <c r="EK1" s="107" t="str">
        <f>'ENTRY '!EY1</f>
        <v>Zizania sp.,Wild rice</v>
      </c>
      <c r="EL1" s="107" t="str">
        <f>'ENTRY '!EZ1</f>
        <v>Aquatic moss</v>
      </c>
      <c r="EM1" s="107" t="str">
        <f>'ENTRY '!FA1</f>
        <v>Freshwater sponge</v>
      </c>
      <c r="EN1" s="107" t="str">
        <f>'ENTRY '!FB1</f>
        <v>Filamentous algae</v>
      </c>
      <c r="EO1" s="107" t="str">
        <f>'ENTRY '!FC1</f>
        <v>Riccia fluitans,Slender riccia</v>
      </c>
      <c r="EP1" s="107" t="str">
        <f>'ENTRY '!FD1</f>
        <v>Ricciocarpus natans,Purple-fringed riccia </v>
      </c>
      <c r="EQ1" s="107" t="str">
        <f>'ENTRY '!FE1</f>
        <v>Carex lasiocarpa, Narrow-leaved woolly sedge</v>
      </c>
      <c r="ER1" s="107" t="str">
        <f>'ENTRY '!FF1</f>
        <v>sp2</v>
      </c>
      <c r="ES1" s="107" t="str">
        <f>'ENTRY '!FG1</f>
        <v>sp3</v>
      </c>
      <c r="ET1" s="107" t="str">
        <f>'ENTRY '!FH1</f>
        <v>sp4</v>
      </c>
      <c r="EU1" s="107" t="str">
        <f>'ENTRY '!FI1</f>
        <v>sp5</v>
      </c>
      <c r="EV1" s="107" t="str">
        <f>'ENTRY '!FJ1</f>
        <v>sp6</v>
      </c>
      <c r="EW1" s="107" t="str">
        <f>'ENTRY '!FK1</f>
        <v>sp7</v>
      </c>
      <c r="EX1" s="107" t="str">
        <f>'ENTRY '!FL1</f>
        <v>sp8</v>
      </c>
      <c r="EY1" s="107" t="str">
        <f>'ENTRY '!FM1</f>
        <v>sp9</v>
      </c>
      <c r="EZ1" s="23"/>
    </row>
    <row r="2" spans="1:155" s="13" customFormat="1" ht="12.75" customHeight="1">
      <c r="A2" s="51" t="s">
        <v>48</v>
      </c>
      <c r="B2" s="49" t="str">
        <f>IF('ENTRY '!I2="","",'ENTRY '!I2)</f>
        <v>Clear Lake (Spider Chain)</v>
      </c>
      <c r="C2" s="38"/>
      <c r="D2" s="34"/>
      <c r="E2" s="27"/>
      <c r="F2" s="48"/>
      <c r="G2" s="48"/>
      <c r="H2" s="48"/>
      <c r="I2" s="4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48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:155" s="13" customFormat="1" ht="12.75" customHeight="1">
      <c r="A3" s="51" t="s">
        <v>25</v>
      </c>
      <c r="B3" s="49" t="str">
        <f>IF('ENTRY '!I3="","",'ENTRY '!I3)</f>
        <v>Sawyer</v>
      </c>
      <c r="C3" s="38"/>
      <c r="D3" s="34"/>
      <c r="E3" s="27"/>
      <c r="F3" s="48"/>
      <c r="G3" s="48"/>
      <c r="H3" s="48"/>
      <c r="I3" s="4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48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s="13" customFormat="1" ht="12.75" customHeight="1">
      <c r="A4" s="51" t="s">
        <v>26</v>
      </c>
      <c r="B4" s="49">
        <f>IF('ENTRY '!I4="","",'ENTRY '!I4)</f>
        <v>2435800</v>
      </c>
      <c r="C4" s="38"/>
      <c r="D4" s="34"/>
      <c r="E4" s="27"/>
      <c r="F4" s="48"/>
      <c r="G4" s="48"/>
      <c r="H4" s="48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48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s="13" customFormat="1" ht="12.75" customHeight="1">
      <c r="A5" s="52" t="s">
        <v>39</v>
      </c>
      <c r="B5" s="56" t="str">
        <f>IF('ENTRY '!I5="","",'ENTRY '!I5)</f>
        <v>8 4 2017</v>
      </c>
      <c r="C5" s="38"/>
      <c r="D5" s="34"/>
      <c r="E5" s="27"/>
      <c r="F5" s="48"/>
      <c r="G5" s="48"/>
      <c r="H5" s="48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48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</row>
    <row r="6" spans="2:155" s="13" customFormat="1" ht="15" customHeight="1">
      <c r="B6" s="12" t="s">
        <v>23</v>
      </c>
      <c r="C6" s="38"/>
      <c r="D6" s="34"/>
      <c r="E6" s="27"/>
      <c r="F6" s="34"/>
      <c r="G6" s="34"/>
      <c r="H6" s="34"/>
      <c r="I6" s="34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8"/>
      <c r="BO6" s="27"/>
      <c r="BP6" s="28"/>
      <c r="BQ6" s="27"/>
      <c r="BR6" s="27"/>
      <c r="BS6" s="27"/>
      <c r="BT6" s="28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8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34"/>
      <c r="EM6" s="27"/>
      <c r="EN6" s="27"/>
      <c r="EO6" s="27"/>
      <c r="EP6" s="27"/>
      <c r="EQ6" s="29"/>
      <c r="ER6" s="29"/>
      <c r="ES6" s="29"/>
      <c r="ET6" s="29"/>
      <c r="EU6" s="29"/>
      <c r="EV6" s="29"/>
      <c r="EW6" s="29"/>
      <c r="EX6" s="29"/>
      <c r="EY6" s="29"/>
    </row>
    <row r="7" spans="1:155" s="71" customFormat="1" ht="12.75" customHeight="1">
      <c r="A7" s="45"/>
      <c r="B7" s="45" t="s">
        <v>13</v>
      </c>
      <c r="C7" s="42"/>
      <c r="D7" s="46">
        <f>IF(D11="","",(D11/$C$18)*100)</f>
      </c>
      <c r="E7" s="47">
        <f>IF(E11="","",(E11/$C$18)*100)</f>
      </c>
      <c r="F7" s="47">
        <f aca="true" t="shared" si="0" ref="F7:BQ7">IF(F11="","",(F11/$C$18)*100)</f>
      </c>
      <c r="G7" s="47">
        <f t="shared" si="0"/>
      </c>
      <c r="H7" s="47">
        <f t="shared" si="0"/>
        <v>0.43859649122807015</v>
      </c>
      <c r="I7" s="47">
        <f t="shared" si="0"/>
      </c>
      <c r="J7" s="47">
        <f t="shared" si="0"/>
        <v>5.263157894736842</v>
      </c>
      <c r="K7" s="47">
        <f t="shared" si="0"/>
      </c>
      <c r="L7" s="47">
        <f t="shared" si="0"/>
      </c>
      <c r="M7" s="47">
        <f t="shared" si="0"/>
      </c>
      <c r="N7" s="47">
        <f t="shared" si="0"/>
      </c>
      <c r="O7" s="47">
        <f t="shared" si="0"/>
      </c>
      <c r="P7" s="47">
        <f t="shared" si="0"/>
      </c>
      <c r="Q7" s="47">
        <f t="shared" si="0"/>
      </c>
      <c r="R7" s="47">
        <f t="shared" si="0"/>
      </c>
      <c r="S7" s="47">
        <f t="shared" si="0"/>
        <v>15.350877192982457</v>
      </c>
      <c r="T7" s="47">
        <f t="shared" si="0"/>
      </c>
      <c r="U7" s="47">
        <f t="shared" si="0"/>
      </c>
      <c r="V7" s="47">
        <f t="shared" si="0"/>
      </c>
      <c r="W7" s="47">
        <f t="shared" si="0"/>
      </c>
      <c r="X7" s="47">
        <f t="shared" si="0"/>
      </c>
      <c r="Y7" s="47">
        <f t="shared" si="0"/>
        <v>2.1929824561403506</v>
      </c>
      <c r="Z7" s="47">
        <f t="shared" si="0"/>
      </c>
      <c r="AA7" s="47">
        <f t="shared" si="0"/>
        <v>0.43859649122807015</v>
      </c>
      <c r="AB7" s="47">
        <f t="shared" si="0"/>
      </c>
      <c r="AC7" s="47">
        <f t="shared" si="0"/>
      </c>
      <c r="AD7" s="47">
        <f t="shared" si="0"/>
      </c>
      <c r="AE7" s="47">
        <f t="shared" si="0"/>
      </c>
      <c r="AF7" s="47">
        <f t="shared" si="0"/>
        <v>3.508771929824561</v>
      </c>
      <c r="AG7" s="47">
        <f t="shared" si="0"/>
      </c>
      <c r="AH7" s="47">
        <f t="shared" si="0"/>
      </c>
      <c r="AI7" s="47">
        <f t="shared" si="0"/>
      </c>
      <c r="AJ7" s="47">
        <f t="shared" si="0"/>
      </c>
      <c r="AK7" s="47">
        <f t="shared" si="0"/>
      </c>
      <c r="AL7" s="47">
        <f t="shared" si="0"/>
      </c>
      <c r="AM7" s="47">
        <f t="shared" si="0"/>
      </c>
      <c r="AN7" s="47">
        <f t="shared" si="0"/>
      </c>
      <c r="AO7" s="47">
        <f t="shared" si="0"/>
        <v>2.631578947368421</v>
      </c>
      <c r="AP7" s="47">
        <f t="shared" si="0"/>
      </c>
      <c r="AQ7" s="47">
        <f t="shared" si="0"/>
      </c>
      <c r="AR7" s="47">
        <f t="shared" si="0"/>
      </c>
      <c r="AS7" s="47">
        <f t="shared" si="0"/>
      </c>
      <c r="AT7" s="47">
        <f t="shared" si="0"/>
      </c>
      <c r="AU7" s="47">
        <f t="shared" si="0"/>
      </c>
      <c r="AV7" s="47">
        <f t="shared" si="0"/>
      </c>
      <c r="AW7" s="47">
        <f t="shared" si="0"/>
      </c>
      <c r="AX7" s="47">
        <f t="shared" si="0"/>
      </c>
      <c r="AY7" s="47">
        <f t="shared" si="0"/>
      </c>
      <c r="AZ7" s="47">
        <f t="shared" si="0"/>
      </c>
      <c r="BA7" s="47">
        <f t="shared" si="0"/>
        <v>0.43859649122807015</v>
      </c>
      <c r="BB7" s="47">
        <f t="shared" si="0"/>
        <v>5.701754385964912</v>
      </c>
      <c r="BC7" s="47">
        <f t="shared" si="0"/>
      </c>
      <c r="BD7" s="47">
        <f t="shared" si="0"/>
        <v>33.33333333333333</v>
      </c>
      <c r="BE7" s="47">
        <f t="shared" si="0"/>
      </c>
      <c r="BF7" s="47">
        <f t="shared" si="0"/>
        <v>10.087719298245613</v>
      </c>
      <c r="BG7" s="47">
        <f t="shared" si="0"/>
      </c>
      <c r="BH7" s="47">
        <f t="shared" si="0"/>
      </c>
      <c r="BI7" s="47">
        <f t="shared" si="0"/>
      </c>
      <c r="BJ7" s="47">
        <f t="shared" si="0"/>
      </c>
      <c r="BK7" s="47">
        <f t="shared" si="0"/>
      </c>
      <c r="BL7" s="47">
        <f t="shared" si="0"/>
      </c>
      <c r="BM7" s="47">
        <f t="shared" si="0"/>
        <v>1.3157894736842104</v>
      </c>
      <c r="BN7" s="47">
        <f t="shared" si="0"/>
        <v>12.719298245614036</v>
      </c>
      <c r="BO7" s="47">
        <f t="shared" si="0"/>
      </c>
      <c r="BP7" s="47">
        <f t="shared" si="0"/>
      </c>
      <c r="BQ7" s="47">
        <f t="shared" si="0"/>
      </c>
      <c r="BR7" s="47">
        <f aca="true" t="shared" si="1" ref="BR7:EC7">IF(BR11="","",(BR11/$C$18)*100)</f>
      </c>
      <c r="BS7" s="47">
        <f t="shared" si="1"/>
        <v>0.43859649122807015</v>
      </c>
      <c r="BT7" s="47">
        <f t="shared" si="1"/>
      </c>
      <c r="BU7" s="47">
        <f t="shared" si="1"/>
        <v>18.859649122807017</v>
      </c>
      <c r="BV7" s="47">
        <f t="shared" si="1"/>
      </c>
      <c r="BW7" s="47">
        <f t="shared" si="1"/>
      </c>
      <c r="BX7" s="47">
        <f t="shared" si="1"/>
      </c>
      <c r="BY7" s="47">
        <f t="shared" si="1"/>
      </c>
      <c r="BZ7" s="47">
        <f t="shared" si="1"/>
      </c>
      <c r="CA7" s="47">
        <f t="shared" si="1"/>
      </c>
      <c r="CB7" s="47">
        <f t="shared" si="1"/>
        <v>10.526315789473683</v>
      </c>
      <c r="CC7" s="47">
        <f t="shared" si="1"/>
      </c>
      <c r="CD7" s="47">
        <f t="shared" si="1"/>
        <v>0.8771929824561403</v>
      </c>
      <c r="CE7" s="47">
        <f t="shared" si="1"/>
        <v>2.1929824561403506</v>
      </c>
      <c r="CF7" s="47">
        <f t="shared" si="1"/>
      </c>
      <c r="CG7" s="47">
        <f t="shared" si="1"/>
      </c>
      <c r="CH7" s="47">
        <f t="shared" si="1"/>
      </c>
      <c r="CI7" s="47">
        <f t="shared" si="1"/>
        <v>8.771929824561402</v>
      </c>
      <c r="CJ7" s="47">
        <f t="shared" si="1"/>
      </c>
      <c r="CK7" s="47">
        <f t="shared" si="1"/>
        <v>0.43859649122807015</v>
      </c>
      <c r="CL7" s="47">
        <f t="shared" si="1"/>
      </c>
      <c r="CM7" s="47">
        <f t="shared" si="1"/>
        <v>29.385964912280706</v>
      </c>
      <c r="CN7" s="47">
        <f t="shared" si="1"/>
      </c>
      <c r="CO7" s="47">
        <f t="shared" si="1"/>
      </c>
      <c r="CP7" s="47">
        <f t="shared" si="1"/>
      </c>
      <c r="CQ7" s="47">
        <f t="shared" si="1"/>
        <v>0.43859649122807015</v>
      </c>
      <c r="CR7" s="47">
        <f t="shared" si="1"/>
      </c>
      <c r="CS7" s="47">
        <f t="shared" si="1"/>
      </c>
      <c r="CT7" s="47">
        <f t="shared" si="1"/>
      </c>
      <c r="CU7" s="47">
        <f t="shared" si="1"/>
      </c>
      <c r="CV7" s="47">
        <f t="shared" si="1"/>
      </c>
      <c r="CW7" s="47">
        <f t="shared" si="1"/>
        <v>16.666666666666664</v>
      </c>
      <c r="CX7" s="47">
        <f t="shared" si="1"/>
      </c>
      <c r="CY7" s="47">
        <f t="shared" si="1"/>
      </c>
      <c r="CZ7" s="47">
        <f t="shared" si="1"/>
      </c>
      <c r="DA7" s="47">
        <f t="shared" si="1"/>
      </c>
      <c r="DB7" s="47">
        <f t="shared" si="1"/>
      </c>
      <c r="DC7" s="47">
        <f t="shared" si="1"/>
      </c>
      <c r="DD7" s="47">
        <f t="shared" si="1"/>
      </c>
      <c r="DE7" s="47">
        <f t="shared" si="1"/>
      </c>
      <c r="DF7" s="47">
        <f t="shared" si="1"/>
        <v>1.3157894736842104</v>
      </c>
      <c r="DG7" s="47">
        <f t="shared" si="1"/>
      </c>
      <c r="DH7" s="47">
        <f t="shared" si="1"/>
      </c>
      <c r="DI7" s="47">
        <f t="shared" si="1"/>
      </c>
      <c r="DJ7" s="47">
        <f t="shared" si="1"/>
        <v>0.43859649122807015</v>
      </c>
      <c r="DK7" s="47">
        <f t="shared" si="1"/>
      </c>
      <c r="DL7" s="47">
        <f t="shared" si="1"/>
      </c>
      <c r="DM7" s="47">
        <f t="shared" si="1"/>
      </c>
      <c r="DN7" s="47">
        <f t="shared" si="1"/>
      </c>
      <c r="DO7" s="47">
        <f t="shared" si="1"/>
      </c>
      <c r="DP7" s="47">
        <f t="shared" si="1"/>
      </c>
      <c r="DQ7" s="47">
        <f t="shared" si="1"/>
      </c>
      <c r="DR7" s="47">
        <f t="shared" si="1"/>
      </c>
      <c r="DS7" s="47">
        <f t="shared" si="1"/>
      </c>
      <c r="DT7" s="47">
        <f t="shared" si="1"/>
      </c>
      <c r="DU7" s="47">
        <f t="shared" si="1"/>
      </c>
      <c r="DV7" s="47">
        <f t="shared" si="1"/>
      </c>
      <c r="DW7" s="47">
        <f t="shared" si="1"/>
      </c>
      <c r="DX7" s="47">
        <f t="shared" si="1"/>
      </c>
      <c r="DY7" s="47">
        <f t="shared" si="1"/>
      </c>
      <c r="DZ7" s="47">
        <f t="shared" si="1"/>
      </c>
      <c r="EA7" s="47">
        <f t="shared" si="1"/>
      </c>
      <c r="EB7" s="47">
        <f t="shared" si="1"/>
      </c>
      <c r="EC7" s="47">
        <f t="shared" si="1"/>
        <v>3.070175438596491</v>
      </c>
      <c r="ED7" s="47">
        <f aca="true" t="shared" si="2" ref="ED7:EY7">IF(ED11="","",(ED11/$C$18)*100)</f>
      </c>
      <c r="EE7" s="47">
        <f t="shared" si="2"/>
        <v>3.9473684210526314</v>
      </c>
      <c r="EF7" s="47">
        <f t="shared" si="2"/>
      </c>
      <c r="EG7" s="47">
        <f t="shared" si="2"/>
      </c>
      <c r="EH7" s="47">
        <f t="shared" si="2"/>
      </c>
      <c r="EI7" s="47">
        <f t="shared" si="2"/>
      </c>
      <c r="EJ7" s="47">
        <f t="shared" si="2"/>
      </c>
      <c r="EK7" s="47">
        <f t="shared" si="2"/>
      </c>
      <c r="EL7" s="47">
        <f t="shared" si="2"/>
        <v>0.43859649122807015</v>
      </c>
      <c r="EM7" s="47">
        <f t="shared" si="2"/>
      </c>
      <c r="EN7" s="47">
        <f t="shared" si="2"/>
      </c>
      <c r="EO7" s="47">
        <f t="shared" si="2"/>
      </c>
      <c r="EP7" s="47">
        <f t="shared" si="2"/>
      </c>
      <c r="EQ7" s="47">
        <f t="shared" si="2"/>
      </c>
      <c r="ER7" s="47">
        <f t="shared" si="2"/>
      </c>
      <c r="ES7" s="47">
        <f t="shared" si="2"/>
      </c>
      <c r="ET7" s="47">
        <f t="shared" si="2"/>
      </c>
      <c r="EU7" s="47">
        <f t="shared" si="2"/>
      </c>
      <c r="EV7" s="47">
        <f t="shared" si="2"/>
      </c>
      <c r="EW7" s="47">
        <f t="shared" si="2"/>
      </c>
      <c r="EX7" s="47">
        <f t="shared" si="2"/>
      </c>
      <c r="EY7" s="47">
        <f t="shared" si="2"/>
      </c>
    </row>
    <row r="8" spans="1:155" s="71" customFormat="1" ht="11.25" customHeight="1">
      <c r="A8" s="45"/>
      <c r="B8" s="45" t="s">
        <v>20</v>
      </c>
      <c r="C8" s="44"/>
      <c r="D8" s="46">
        <f>IF(D11="","",(D11/$C$19)*100)</f>
      </c>
      <c r="E8" s="47">
        <f>IF(E11="","",(E11/$C$19)*100)</f>
      </c>
      <c r="F8" s="47">
        <f aca="true" t="shared" si="3" ref="F8:BQ8">IF(F11="","",(F11/$C$19)*100)</f>
      </c>
      <c r="G8" s="47">
        <f t="shared" si="3"/>
      </c>
      <c r="H8" s="47">
        <f t="shared" si="3"/>
        <v>0.22522522522522523</v>
      </c>
      <c r="I8" s="47">
        <f t="shared" si="3"/>
      </c>
      <c r="J8" s="47">
        <f t="shared" si="3"/>
        <v>2.7027027027027026</v>
      </c>
      <c r="K8" s="47">
        <f t="shared" si="3"/>
      </c>
      <c r="L8" s="47">
        <f t="shared" si="3"/>
      </c>
      <c r="M8" s="47">
        <f t="shared" si="3"/>
      </c>
      <c r="N8" s="47">
        <f t="shared" si="3"/>
      </c>
      <c r="O8" s="47">
        <f t="shared" si="3"/>
      </c>
      <c r="P8" s="47">
        <f t="shared" si="3"/>
      </c>
      <c r="Q8" s="47">
        <f t="shared" si="3"/>
      </c>
      <c r="R8" s="47">
        <f t="shared" si="3"/>
      </c>
      <c r="S8" s="47">
        <f t="shared" si="3"/>
        <v>7.882882882882883</v>
      </c>
      <c r="T8" s="47">
        <f t="shared" si="3"/>
      </c>
      <c r="U8" s="47">
        <f t="shared" si="3"/>
      </c>
      <c r="V8" s="47">
        <f t="shared" si="3"/>
      </c>
      <c r="W8" s="47">
        <f t="shared" si="3"/>
      </c>
      <c r="X8" s="47">
        <f t="shared" si="3"/>
      </c>
      <c r="Y8" s="47">
        <f t="shared" si="3"/>
        <v>1.1261261261261262</v>
      </c>
      <c r="Z8" s="47">
        <f t="shared" si="3"/>
      </c>
      <c r="AA8" s="47">
        <f t="shared" si="3"/>
        <v>0.22522522522522523</v>
      </c>
      <c r="AB8" s="47">
        <f t="shared" si="3"/>
      </c>
      <c r="AC8" s="47">
        <f t="shared" si="3"/>
      </c>
      <c r="AD8" s="47">
        <f t="shared" si="3"/>
      </c>
      <c r="AE8" s="47">
        <f t="shared" si="3"/>
      </c>
      <c r="AF8" s="47">
        <f t="shared" si="3"/>
        <v>1.8018018018018018</v>
      </c>
      <c r="AG8" s="47">
        <f t="shared" si="3"/>
      </c>
      <c r="AH8" s="47">
        <f t="shared" si="3"/>
      </c>
      <c r="AI8" s="47">
        <f t="shared" si="3"/>
      </c>
      <c r="AJ8" s="47">
        <f t="shared" si="3"/>
      </c>
      <c r="AK8" s="47">
        <f t="shared" si="3"/>
      </c>
      <c r="AL8" s="47">
        <f t="shared" si="3"/>
      </c>
      <c r="AM8" s="47">
        <f t="shared" si="3"/>
      </c>
      <c r="AN8" s="47">
        <f t="shared" si="3"/>
      </c>
      <c r="AO8" s="47">
        <f t="shared" si="3"/>
        <v>1.3513513513513513</v>
      </c>
      <c r="AP8" s="47">
        <f t="shared" si="3"/>
      </c>
      <c r="AQ8" s="47">
        <f t="shared" si="3"/>
      </c>
      <c r="AR8" s="47">
        <f t="shared" si="3"/>
      </c>
      <c r="AS8" s="47">
        <f t="shared" si="3"/>
      </c>
      <c r="AT8" s="47">
        <f t="shared" si="3"/>
      </c>
      <c r="AU8" s="47">
        <f t="shared" si="3"/>
      </c>
      <c r="AV8" s="47">
        <f t="shared" si="3"/>
      </c>
      <c r="AW8" s="47">
        <f t="shared" si="3"/>
      </c>
      <c r="AX8" s="47">
        <f t="shared" si="3"/>
      </c>
      <c r="AY8" s="47">
        <f t="shared" si="3"/>
      </c>
      <c r="AZ8" s="47">
        <f t="shared" si="3"/>
      </c>
      <c r="BA8" s="47">
        <f t="shared" si="3"/>
        <v>0.22522522522522523</v>
      </c>
      <c r="BB8" s="47">
        <f t="shared" si="3"/>
        <v>2.9279279279279278</v>
      </c>
      <c r="BC8" s="47">
        <f t="shared" si="3"/>
      </c>
      <c r="BD8" s="47">
        <f t="shared" si="3"/>
        <v>17.117117117117118</v>
      </c>
      <c r="BE8" s="47">
        <f t="shared" si="3"/>
      </c>
      <c r="BF8" s="47">
        <f t="shared" si="3"/>
        <v>5.18018018018018</v>
      </c>
      <c r="BG8" s="47">
        <f t="shared" si="3"/>
      </c>
      <c r="BH8" s="47">
        <f t="shared" si="3"/>
      </c>
      <c r="BI8" s="47">
        <f t="shared" si="3"/>
      </c>
      <c r="BJ8" s="47">
        <f t="shared" si="3"/>
      </c>
      <c r="BK8" s="47">
        <f t="shared" si="3"/>
      </c>
      <c r="BL8" s="47">
        <f t="shared" si="3"/>
      </c>
      <c r="BM8" s="47">
        <f t="shared" si="3"/>
        <v>0.6756756756756757</v>
      </c>
      <c r="BN8" s="47">
        <f t="shared" si="3"/>
        <v>6.531531531531531</v>
      </c>
      <c r="BO8" s="47">
        <f t="shared" si="3"/>
      </c>
      <c r="BP8" s="47">
        <f t="shared" si="3"/>
      </c>
      <c r="BQ8" s="47">
        <f t="shared" si="3"/>
      </c>
      <c r="BR8" s="47">
        <f aca="true" t="shared" si="4" ref="BR8:EC8">IF(BR11="","",(BR11/$C$19)*100)</f>
      </c>
      <c r="BS8" s="47">
        <f t="shared" si="4"/>
        <v>0.22522522522522523</v>
      </c>
      <c r="BT8" s="47">
        <f t="shared" si="4"/>
      </c>
      <c r="BU8" s="47">
        <f t="shared" si="4"/>
        <v>9.684684684684685</v>
      </c>
      <c r="BV8" s="47">
        <f t="shared" si="4"/>
      </c>
      <c r="BW8" s="47">
        <f t="shared" si="4"/>
      </c>
      <c r="BX8" s="47">
        <f t="shared" si="4"/>
      </c>
      <c r="BY8" s="47">
        <f t="shared" si="4"/>
      </c>
      <c r="BZ8" s="47">
        <f t="shared" si="4"/>
      </c>
      <c r="CA8" s="47">
        <f t="shared" si="4"/>
      </c>
      <c r="CB8" s="47">
        <f t="shared" si="4"/>
        <v>5.405405405405405</v>
      </c>
      <c r="CC8" s="47">
        <f t="shared" si="4"/>
      </c>
      <c r="CD8" s="47">
        <f t="shared" si="4"/>
        <v>0.45045045045045046</v>
      </c>
      <c r="CE8" s="47">
        <f t="shared" si="4"/>
        <v>1.1261261261261262</v>
      </c>
      <c r="CF8" s="47">
        <f t="shared" si="4"/>
      </c>
      <c r="CG8" s="47">
        <f t="shared" si="4"/>
      </c>
      <c r="CH8" s="47">
        <f t="shared" si="4"/>
      </c>
      <c r="CI8" s="47">
        <f t="shared" si="4"/>
        <v>4.504504504504505</v>
      </c>
      <c r="CJ8" s="47">
        <f t="shared" si="4"/>
      </c>
      <c r="CK8" s="47">
        <f t="shared" si="4"/>
        <v>0.22522522522522523</v>
      </c>
      <c r="CL8" s="47">
        <f t="shared" si="4"/>
      </c>
      <c r="CM8" s="47">
        <f t="shared" si="4"/>
        <v>15.090090090090092</v>
      </c>
      <c r="CN8" s="47">
        <f t="shared" si="4"/>
      </c>
      <c r="CO8" s="47">
        <f t="shared" si="4"/>
      </c>
      <c r="CP8" s="47">
        <f t="shared" si="4"/>
      </c>
      <c r="CQ8" s="47">
        <f t="shared" si="4"/>
        <v>0.22522522522522523</v>
      </c>
      <c r="CR8" s="47">
        <f t="shared" si="4"/>
      </c>
      <c r="CS8" s="47">
        <f t="shared" si="4"/>
      </c>
      <c r="CT8" s="47">
        <f t="shared" si="4"/>
      </c>
      <c r="CU8" s="47">
        <f t="shared" si="4"/>
      </c>
      <c r="CV8" s="47">
        <f t="shared" si="4"/>
      </c>
      <c r="CW8" s="47">
        <f t="shared" si="4"/>
        <v>8.558558558558559</v>
      </c>
      <c r="CX8" s="47">
        <f t="shared" si="4"/>
      </c>
      <c r="CY8" s="47">
        <f t="shared" si="4"/>
      </c>
      <c r="CZ8" s="47">
        <f t="shared" si="4"/>
      </c>
      <c r="DA8" s="47">
        <f t="shared" si="4"/>
      </c>
      <c r="DB8" s="47">
        <f t="shared" si="4"/>
      </c>
      <c r="DC8" s="47">
        <f t="shared" si="4"/>
      </c>
      <c r="DD8" s="47">
        <f t="shared" si="4"/>
      </c>
      <c r="DE8" s="47">
        <f t="shared" si="4"/>
      </c>
      <c r="DF8" s="47">
        <f t="shared" si="4"/>
        <v>0.6756756756756757</v>
      </c>
      <c r="DG8" s="47">
        <f t="shared" si="4"/>
      </c>
      <c r="DH8" s="47">
        <f t="shared" si="4"/>
      </c>
      <c r="DI8" s="47">
        <f t="shared" si="4"/>
      </c>
      <c r="DJ8" s="47">
        <f t="shared" si="4"/>
        <v>0.22522522522522523</v>
      </c>
      <c r="DK8" s="47">
        <f t="shared" si="4"/>
      </c>
      <c r="DL8" s="47">
        <f t="shared" si="4"/>
      </c>
      <c r="DM8" s="47">
        <f t="shared" si="4"/>
      </c>
      <c r="DN8" s="47">
        <f t="shared" si="4"/>
      </c>
      <c r="DO8" s="47">
        <f t="shared" si="4"/>
      </c>
      <c r="DP8" s="47">
        <f t="shared" si="4"/>
      </c>
      <c r="DQ8" s="47">
        <f t="shared" si="4"/>
      </c>
      <c r="DR8" s="47">
        <f t="shared" si="4"/>
      </c>
      <c r="DS8" s="47">
        <f t="shared" si="4"/>
      </c>
      <c r="DT8" s="47">
        <f t="shared" si="4"/>
      </c>
      <c r="DU8" s="47">
        <f t="shared" si="4"/>
      </c>
      <c r="DV8" s="47">
        <f t="shared" si="4"/>
      </c>
      <c r="DW8" s="47">
        <f t="shared" si="4"/>
      </c>
      <c r="DX8" s="47">
        <f t="shared" si="4"/>
      </c>
      <c r="DY8" s="47">
        <f t="shared" si="4"/>
      </c>
      <c r="DZ8" s="47">
        <f t="shared" si="4"/>
      </c>
      <c r="EA8" s="47">
        <f t="shared" si="4"/>
      </c>
      <c r="EB8" s="47">
        <f t="shared" si="4"/>
      </c>
      <c r="EC8" s="47">
        <f t="shared" si="4"/>
        <v>1.5765765765765765</v>
      </c>
      <c r="ED8" s="47">
        <f aca="true" t="shared" si="5" ref="ED8:EY8">IF(ED11="","",(ED11/$C$19)*100)</f>
      </c>
      <c r="EE8" s="47">
        <f t="shared" si="5"/>
        <v>2.027027027027027</v>
      </c>
      <c r="EF8" s="47">
        <f t="shared" si="5"/>
      </c>
      <c r="EG8" s="47">
        <f t="shared" si="5"/>
      </c>
      <c r="EH8" s="47">
        <f t="shared" si="5"/>
      </c>
      <c r="EI8" s="47">
        <f t="shared" si="5"/>
      </c>
      <c r="EJ8" s="47">
        <f t="shared" si="5"/>
      </c>
      <c r="EK8" s="47">
        <f t="shared" si="5"/>
      </c>
      <c r="EL8" s="47">
        <f t="shared" si="5"/>
        <v>0.22522522522522523</v>
      </c>
      <c r="EM8" s="47">
        <f t="shared" si="5"/>
      </c>
      <c r="EN8" s="47">
        <f t="shared" si="5"/>
      </c>
      <c r="EO8" s="47">
        <f t="shared" si="5"/>
      </c>
      <c r="EP8" s="47">
        <f t="shared" si="5"/>
      </c>
      <c r="EQ8" s="47">
        <f t="shared" si="5"/>
      </c>
      <c r="ER8" s="47">
        <f t="shared" si="5"/>
      </c>
      <c r="ES8" s="47">
        <f t="shared" si="5"/>
      </c>
      <c r="ET8" s="47">
        <f t="shared" si="5"/>
      </c>
      <c r="EU8" s="47">
        <f t="shared" si="5"/>
      </c>
      <c r="EV8" s="47">
        <f t="shared" si="5"/>
      </c>
      <c r="EW8" s="47">
        <f t="shared" si="5"/>
      </c>
      <c r="EX8" s="47">
        <f t="shared" si="5"/>
      </c>
      <c r="EY8" s="47">
        <f t="shared" si="5"/>
      </c>
    </row>
    <row r="9" spans="1:155" s="72" customFormat="1" ht="12.75" customHeight="1">
      <c r="A9" s="10"/>
      <c r="B9" s="9" t="s">
        <v>1</v>
      </c>
      <c r="C9" s="42"/>
      <c r="D9" s="36">
        <f aca="true" t="shared" si="6" ref="D9:AI9">IF(D8="","",(D8/(SUM($D$8:$EK$8,$EQ$8:$EY$8)/100)))</f>
      </c>
      <c r="E9" s="36">
        <f t="shared" si="6"/>
      </c>
      <c r="F9" s="36">
        <f t="shared" si="6"/>
      </c>
      <c r="G9" s="36">
        <f t="shared" si="6"/>
      </c>
      <c r="H9" s="36">
        <f t="shared" si="6"/>
        <v>0.22988505747126434</v>
      </c>
      <c r="I9" s="36">
        <f t="shared" si="6"/>
      </c>
      <c r="J9" s="36">
        <f t="shared" si="6"/>
        <v>2.758620689655172</v>
      </c>
      <c r="K9" s="36">
        <f t="shared" si="6"/>
      </c>
      <c r="L9" s="36">
        <f t="shared" si="6"/>
      </c>
      <c r="M9" s="36">
        <f t="shared" si="6"/>
      </c>
      <c r="N9" s="36">
        <f t="shared" si="6"/>
      </c>
      <c r="O9" s="36">
        <f t="shared" si="6"/>
      </c>
      <c r="P9" s="36">
        <f t="shared" si="6"/>
      </c>
      <c r="Q9" s="36">
        <f t="shared" si="6"/>
      </c>
      <c r="R9" s="36">
        <f t="shared" si="6"/>
      </c>
      <c r="S9" s="36">
        <f t="shared" si="6"/>
        <v>8.045977011494251</v>
      </c>
      <c r="T9" s="36">
        <f t="shared" si="6"/>
      </c>
      <c r="U9" s="36">
        <f t="shared" si="6"/>
      </c>
      <c r="V9" s="36">
        <f t="shared" si="6"/>
      </c>
      <c r="W9" s="36">
        <f t="shared" si="6"/>
      </c>
      <c r="X9" s="36">
        <f t="shared" si="6"/>
      </c>
      <c r="Y9" s="36">
        <f t="shared" si="6"/>
        <v>1.1494252873563218</v>
      </c>
      <c r="Z9" s="36">
        <f t="shared" si="6"/>
      </c>
      <c r="AA9" s="36">
        <f t="shared" si="6"/>
        <v>0.22988505747126434</v>
      </c>
      <c r="AB9" s="36">
        <f t="shared" si="6"/>
      </c>
      <c r="AC9" s="36">
        <f t="shared" si="6"/>
      </c>
      <c r="AD9" s="36">
        <f t="shared" si="6"/>
      </c>
      <c r="AE9" s="36">
        <f t="shared" si="6"/>
      </c>
      <c r="AF9" s="36">
        <f t="shared" si="6"/>
        <v>1.8390804597701147</v>
      </c>
      <c r="AG9" s="36">
        <f t="shared" si="6"/>
      </c>
      <c r="AH9" s="36">
        <f t="shared" si="6"/>
      </c>
      <c r="AI9" s="36">
        <f t="shared" si="6"/>
      </c>
      <c r="AJ9" s="36">
        <f aca="true" t="shared" si="7" ref="AJ9:BO9">IF(AJ8="","",(AJ8/(SUM($D$8:$EK$8,$EQ$8:$EY$8)/100)))</f>
      </c>
      <c r="AK9" s="36">
        <f t="shared" si="7"/>
      </c>
      <c r="AL9" s="36">
        <f t="shared" si="7"/>
      </c>
      <c r="AM9" s="36">
        <f t="shared" si="7"/>
      </c>
      <c r="AN9" s="36">
        <f t="shared" si="7"/>
      </c>
      <c r="AO9" s="36">
        <f t="shared" si="7"/>
        <v>1.379310344827586</v>
      </c>
      <c r="AP9" s="36">
        <f t="shared" si="7"/>
      </c>
      <c r="AQ9" s="36">
        <f t="shared" si="7"/>
      </c>
      <c r="AR9" s="36">
        <f t="shared" si="7"/>
      </c>
      <c r="AS9" s="36">
        <f t="shared" si="7"/>
      </c>
      <c r="AT9" s="36">
        <f t="shared" si="7"/>
      </c>
      <c r="AU9" s="36">
        <f t="shared" si="7"/>
      </c>
      <c r="AV9" s="36">
        <f t="shared" si="7"/>
      </c>
      <c r="AW9" s="36">
        <f t="shared" si="7"/>
      </c>
      <c r="AX9" s="36">
        <f t="shared" si="7"/>
      </c>
      <c r="AY9" s="36">
        <f t="shared" si="7"/>
      </c>
      <c r="AZ9" s="36">
        <f t="shared" si="7"/>
      </c>
      <c r="BA9" s="36">
        <f t="shared" si="7"/>
        <v>0.22988505747126434</v>
      </c>
      <c r="BB9" s="36">
        <f t="shared" si="7"/>
        <v>2.9885057471264362</v>
      </c>
      <c r="BC9" s="36">
        <f t="shared" si="7"/>
      </c>
      <c r="BD9" s="36">
        <f t="shared" si="7"/>
        <v>17.47126436781609</v>
      </c>
      <c r="BE9" s="36">
        <f t="shared" si="7"/>
      </c>
      <c r="BF9" s="36">
        <f t="shared" si="7"/>
        <v>5.28735632183908</v>
      </c>
      <c r="BG9" s="36">
        <f t="shared" si="7"/>
      </c>
      <c r="BH9" s="36">
        <f t="shared" si="7"/>
      </c>
      <c r="BI9" s="36">
        <f t="shared" si="7"/>
      </c>
      <c r="BJ9" s="36">
        <f t="shared" si="7"/>
      </c>
      <c r="BK9" s="36">
        <f t="shared" si="7"/>
      </c>
      <c r="BL9" s="36">
        <f t="shared" si="7"/>
      </c>
      <c r="BM9" s="36">
        <f t="shared" si="7"/>
        <v>0.689655172413793</v>
      </c>
      <c r="BN9" s="36">
        <f t="shared" si="7"/>
        <v>6.666666666666665</v>
      </c>
      <c r="BO9" s="36">
        <f t="shared" si="7"/>
      </c>
      <c r="BP9" s="36">
        <f aca="true" t="shared" si="8" ref="BP9:CU9">IF(BP8="","",(BP8/(SUM($D$8:$EK$8,$EQ$8:$EY$8)/100)))</f>
      </c>
      <c r="BQ9" s="36">
        <f t="shared" si="8"/>
      </c>
      <c r="BR9" s="36">
        <f t="shared" si="8"/>
      </c>
      <c r="BS9" s="36">
        <f t="shared" si="8"/>
        <v>0.22988505747126434</v>
      </c>
      <c r="BT9" s="36">
        <f t="shared" si="8"/>
      </c>
      <c r="BU9" s="36">
        <f t="shared" si="8"/>
        <v>9.885057471264368</v>
      </c>
      <c r="BV9" s="36">
        <f t="shared" si="8"/>
      </c>
      <c r="BW9" s="36">
        <f t="shared" si="8"/>
      </c>
      <c r="BX9" s="36">
        <f t="shared" si="8"/>
      </c>
      <c r="BY9" s="36">
        <f t="shared" si="8"/>
      </c>
      <c r="BZ9" s="36">
        <f t="shared" si="8"/>
      </c>
      <c r="CA9" s="36">
        <f t="shared" si="8"/>
      </c>
      <c r="CB9" s="36">
        <f t="shared" si="8"/>
        <v>5.517241379310344</v>
      </c>
      <c r="CC9" s="36">
        <f t="shared" si="8"/>
      </c>
      <c r="CD9" s="36">
        <f t="shared" si="8"/>
        <v>0.4597701149425287</v>
      </c>
      <c r="CE9" s="36">
        <f t="shared" si="8"/>
        <v>1.1494252873563218</v>
      </c>
      <c r="CF9" s="36">
        <f t="shared" si="8"/>
      </c>
      <c r="CG9" s="36">
        <f t="shared" si="8"/>
      </c>
      <c r="CH9" s="36">
        <f t="shared" si="8"/>
      </c>
      <c r="CI9" s="36">
        <f t="shared" si="8"/>
        <v>4.597701149425287</v>
      </c>
      <c r="CJ9" s="36">
        <f t="shared" si="8"/>
      </c>
      <c r="CK9" s="36">
        <f t="shared" si="8"/>
        <v>0.22988505747126434</v>
      </c>
      <c r="CL9" s="36">
        <f t="shared" si="8"/>
      </c>
      <c r="CM9" s="36">
        <f t="shared" si="8"/>
        <v>15.402298850574713</v>
      </c>
      <c r="CN9" s="36">
        <f t="shared" si="8"/>
      </c>
      <c r="CO9" s="36">
        <f t="shared" si="8"/>
      </c>
      <c r="CP9" s="36">
        <f t="shared" si="8"/>
      </c>
      <c r="CQ9" s="36">
        <f t="shared" si="8"/>
        <v>0.22988505747126434</v>
      </c>
      <c r="CR9" s="36">
        <f t="shared" si="8"/>
      </c>
      <c r="CS9" s="36">
        <f t="shared" si="8"/>
      </c>
      <c r="CT9" s="36">
        <f t="shared" si="8"/>
      </c>
      <c r="CU9" s="36">
        <f t="shared" si="8"/>
      </c>
      <c r="CV9" s="36">
        <f aca="true" t="shared" si="9" ref="CV9:EA9">IF(CV8="","",(CV8/(SUM($D$8:$EK$8,$EQ$8:$EY$8)/100)))</f>
      </c>
      <c r="CW9" s="36">
        <f t="shared" si="9"/>
        <v>8.735632183908045</v>
      </c>
      <c r="CX9" s="36">
        <f t="shared" si="9"/>
      </c>
      <c r="CY9" s="36">
        <f t="shared" si="9"/>
      </c>
      <c r="CZ9" s="36">
        <f t="shared" si="9"/>
      </c>
      <c r="DA9" s="36">
        <f t="shared" si="9"/>
      </c>
      <c r="DB9" s="36">
        <f t="shared" si="9"/>
      </c>
      <c r="DC9" s="36">
        <f t="shared" si="9"/>
      </c>
      <c r="DD9" s="36">
        <f t="shared" si="9"/>
      </c>
      <c r="DE9" s="36">
        <f t="shared" si="9"/>
      </c>
      <c r="DF9" s="36">
        <f t="shared" si="9"/>
        <v>0.689655172413793</v>
      </c>
      <c r="DG9" s="36">
        <f t="shared" si="9"/>
      </c>
      <c r="DH9" s="36">
        <f t="shared" si="9"/>
      </c>
      <c r="DI9" s="36">
        <f t="shared" si="9"/>
      </c>
      <c r="DJ9" s="36">
        <f t="shared" si="9"/>
        <v>0.22988505747126434</v>
      </c>
      <c r="DK9" s="36">
        <f t="shared" si="9"/>
      </c>
      <c r="DL9" s="36">
        <f t="shared" si="9"/>
      </c>
      <c r="DM9" s="36">
        <f t="shared" si="9"/>
      </c>
      <c r="DN9" s="36">
        <f t="shared" si="9"/>
      </c>
      <c r="DO9" s="36">
        <f t="shared" si="9"/>
      </c>
      <c r="DP9" s="36">
        <f t="shared" si="9"/>
      </c>
      <c r="DQ9" s="36">
        <f t="shared" si="9"/>
      </c>
      <c r="DR9" s="36">
        <f t="shared" si="9"/>
      </c>
      <c r="DS9" s="36">
        <f t="shared" si="9"/>
      </c>
      <c r="DT9" s="36">
        <f t="shared" si="9"/>
      </c>
      <c r="DU9" s="36">
        <f t="shared" si="9"/>
      </c>
      <c r="DV9" s="36">
        <f t="shared" si="9"/>
      </c>
      <c r="DW9" s="36">
        <f t="shared" si="9"/>
      </c>
      <c r="DX9" s="36">
        <f t="shared" si="9"/>
      </c>
      <c r="DY9" s="36">
        <f t="shared" si="9"/>
      </c>
      <c r="DZ9" s="36">
        <f t="shared" si="9"/>
      </c>
      <c r="EA9" s="36">
        <f t="shared" si="9"/>
      </c>
      <c r="EB9" s="36">
        <f aca="true" t="shared" si="10" ref="EB9:EK9">IF(EB8="","",(EB8/(SUM($D$8:$EK$8,$EQ$8:$EY$8)/100)))</f>
      </c>
      <c r="EC9" s="36">
        <f t="shared" si="10"/>
        <v>1.6091954022988504</v>
      </c>
      <c r="ED9" s="36">
        <f t="shared" si="10"/>
      </c>
      <c r="EE9" s="36">
        <f t="shared" si="10"/>
        <v>2.0689655172413794</v>
      </c>
      <c r="EF9" s="36">
        <f t="shared" si="10"/>
      </c>
      <c r="EG9" s="36">
        <f t="shared" si="10"/>
      </c>
      <c r="EH9" s="36">
        <f t="shared" si="10"/>
      </c>
      <c r="EI9" s="36">
        <f t="shared" si="10"/>
      </c>
      <c r="EJ9" s="36">
        <f t="shared" si="10"/>
      </c>
      <c r="EK9" s="36">
        <f t="shared" si="10"/>
      </c>
      <c r="EL9" s="36"/>
      <c r="EM9" s="36"/>
      <c r="EN9" s="36"/>
      <c r="EO9" s="36"/>
      <c r="EP9" s="36"/>
      <c r="EQ9" s="36">
        <f aca="true" t="shared" si="11" ref="EQ9:EY9">IF(EQ8="","",(EQ8/(SUM($D$8:$EK$8,$EQ$8:$EY$8)/100)))</f>
      </c>
      <c r="ER9" s="36">
        <f t="shared" si="11"/>
      </c>
      <c r="ES9" s="36">
        <f t="shared" si="11"/>
      </c>
      <c r="ET9" s="36">
        <f t="shared" si="11"/>
      </c>
      <c r="EU9" s="36">
        <f t="shared" si="11"/>
      </c>
      <c r="EV9" s="36">
        <f t="shared" si="11"/>
      </c>
      <c r="EW9" s="36">
        <f t="shared" si="11"/>
      </c>
      <c r="EX9" s="36">
        <f t="shared" si="11"/>
      </c>
      <c r="EY9" s="36">
        <f t="shared" si="11"/>
      </c>
    </row>
    <row r="10" spans="1:155" s="73" customFormat="1" ht="12.75">
      <c r="A10" s="18"/>
      <c r="B10" s="18" t="s">
        <v>2</v>
      </c>
      <c r="C10" s="14">
        <f>IF(SUM(D10:EY10)&gt;0,SUM(D10:EY10),"")</f>
        <v>0.09380895759017041</v>
      </c>
      <c r="D10" s="19">
        <f aca="true" t="shared" si="12" ref="D10:AI10">IF(D9="","",(D9*D9)/10000)</f>
      </c>
      <c r="E10" s="19">
        <f t="shared" si="12"/>
      </c>
      <c r="F10" s="19">
        <f t="shared" si="12"/>
      </c>
      <c r="G10" s="19">
        <f t="shared" si="12"/>
      </c>
      <c r="H10" s="19">
        <f t="shared" si="12"/>
        <v>5.284713964856651E-06</v>
      </c>
      <c r="I10" s="19">
        <f t="shared" si="12"/>
      </c>
      <c r="J10" s="19">
        <f t="shared" si="12"/>
        <v>0.0007609988109393577</v>
      </c>
      <c r="K10" s="19">
        <f t="shared" si="12"/>
      </c>
      <c r="L10" s="19">
        <f t="shared" si="12"/>
      </c>
      <c r="M10" s="19">
        <f t="shared" si="12"/>
      </c>
      <c r="N10" s="19">
        <f t="shared" si="12"/>
      </c>
      <c r="O10" s="19">
        <f t="shared" si="12"/>
      </c>
      <c r="P10" s="19">
        <f t="shared" si="12"/>
      </c>
      <c r="Q10" s="19">
        <f t="shared" si="12"/>
      </c>
      <c r="R10" s="19">
        <f t="shared" si="12"/>
      </c>
      <c r="S10" s="19">
        <f t="shared" si="12"/>
        <v>0.006473774606949397</v>
      </c>
      <c r="T10" s="19">
        <f t="shared" si="12"/>
      </c>
      <c r="U10" s="19">
        <f t="shared" si="12"/>
      </c>
      <c r="V10" s="19">
        <f t="shared" si="12"/>
      </c>
      <c r="W10" s="19">
        <f t="shared" si="12"/>
      </c>
      <c r="X10" s="19">
        <f t="shared" si="12"/>
      </c>
      <c r="Y10" s="19">
        <f t="shared" si="12"/>
        <v>0.00013211784912141628</v>
      </c>
      <c r="Z10" s="19">
        <f t="shared" si="12"/>
      </c>
      <c r="AA10" s="19">
        <f t="shared" si="12"/>
        <v>5.284713964856651E-06</v>
      </c>
      <c r="AB10" s="19">
        <f t="shared" si="12"/>
      </c>
      <c r="AC10" s="19">
        <f t="shared" si="12"/>
      </c>
      <c r="AD10" s="19">
        <f t="shared" si="12"/>
      </c>
      <c r="AE10" s="19">
        <f t="shared" si="12"/>
      </c>
      <c r="AF10" s="19">
        <f t="shared" si="12"/>
        <v>0.00033822169375082565</v>
      </c>
      <c r="AG10" s="19">
        <f t="shared" si="12"/>
      </c>
      <c r="AH10" s="19">
        <f t="shared" si="12"/>
      </c>
      <c r="AI10" s="19">
        <f t="shared" si="12"/>
      </c>
      <c r="AJ10" s="19">
        <f aca="true" t="shared" si="13" ref="AJ10:BO10">IF(AJ9="","",(AJ9*AJ9)/10000)</f>
      </c>
      <c r="AK10" s="19">
        <f t="shared" si="13"/>
      </c>
      <c r="AL10" s="19">
        <f t="shared" si="13"/>
      </c>
      <c r="AM10" s="19">
        <f t="shared" si="13"/>
      </c>
      <c r="AN10" s="19">
        <f t="shared" si="13"/>
      </c>
      <c r="AO10" s="19">
        <f t="shared" si="13"/>
        <v>0.00019024970273483942</v>
      </c>
      <c r="AP10" s="19">
        <f t="shared" si="13"/>
      </c>
      <c r="AQ10" s="19">
        <f t="shared" si="13"/>
      </c>
      <c r="AR10" s="19">
        <f t="shared" si="13"/>
      </c>
      <c r="AS10" s="19">
        <f t="shared" si="13"/>
      </c>
      <c r="AT10" s="19">
        <f t="shared" si="13"/>
      </c>
      <c r="AU10" s="19">
        <f t="shared" si="13"/>
      </c>
      <c r="AV10" s="19">
        <f t="shared" si="13"/>
      </c>
      <c r="AW10" s="19">
        <f t="shared" si="13"/>
      </c>
      <c r="AX10" s="19">
        <f t="shared" si="13"/>
      </c>
      <c r="AY10" s="19">
        <f t="shared" si="13"/>
      </c>
      <c r="AZ10" s="19">
        <f t="shared" si="13"/>
      </c>
      <c r="BA10" s="19">
        <f t="shared" si="13"/>
        <v>5.284713964856651E-06</v>
      </c>
      <c r="BB10" s="19">
        <f t="shared" si="13"/>
        <v>0.0008931166600607738</v>
      </c>
      <c r="BC10" s="19">
        <f t="shared" si="13"/>
      </c>
      <c r="BD10" s="19">
        <f t="shared" si="13"/>
        <v>0.030524507861012018</v>
      </c>
      <c r="BE10" s="19">
        <f t="shared" si="13"/>
      </c>
      <c r="BF10" s="19">
        <f t="shared" si="13"/>
        <v>0.0027956136874091684</v>
      </c>
      <c r="BG10" s="19">
        <f t="shared" si="13"/>
      </c>
      <c r="BH10" s="19">
        <f t="shared" si="13"/>
      </c>
      <c r="BI10" s="19">
        <f t="shared" si="13"/>
      </c>
      <c r="BJ10" s="19">
        <f t="shared" si="13"/>
      </c>
      <c r="BK10" s="19">
        <f t="shared" si="13"/>
      </c>
      <c r="BL10" s="19">
        <f t="shared" si="13"/>
      </c>
      <c r="BM10" s="19">
        <f t="shared" si="13"/>
        <v>4.7562425683709856E-05</v>
      </c>
      <c r="BN10" s="19">
        <f t="shared" si="13"/>
        <v>0.004444444444444442</v>
      </c>
      <c r="BO10" s="19">
        <f t="shared" si="13"/>
      </c>
      <c r="BP10" s="19">
        <f aca="true" t="shared" si="14" ref="BP10:CU10">IF(BP9="","",(BP9*BP9)/10000)</f>
      </c>
      <c r="BQ10" s="19">
        <f t="shared" si="14"/>
      </c>
      <c r="BR10" s="19">
        <f t="shared" si="14"/>
      </c>
      <c r="BS10" s="19">
        <f t="shared" si="14"/>
        <v>5.284713964856651E-06</v>
      </c>
      <c r="BT10" s="19">
        <f t="shared" si="14"/>
      </c>
      <c r="BU10" s="19">
        <f t="shared" si="14"/>
        <v>0.00977143612101995</v>
      </c>
      <c r="BV10" s="19">
        <f t="shared" si="14"/>
      </c>
      <c r="BW10" s="19">
        <f t="shared" si="14"/>
      </c>
      <c r="BX10" s="19">
        <f t="shared" si="14"/>
      </c>
      <c r="BY10" s="19">
        <f t="shared" si="14"/>
      </c>
      <c r="BZ10" s="19">
        <f t="shared" si="14"/>
      </c>
      <c r="CA10" s="19">
        <f t="shared" si="14"/>
      </c>
      <c r="CB10" s="19">
        <f t="shared" si="14"/>
        <v>0.0030439952437574308</v>
      </c>
      <c r="CC10" s="19">
        <f t="shared" si="14"/>
      </c>
      <c r="CD10" s="19">
        <f t="shared" si="14"/>
        <v>2.1138855859426603E-05</v>
      </c>
      <c r="CE10" s="19">
        <f t="shared" si="14"/>
        <v>0.00013211784912141628</v>
      </c>
      <c r="CF10" s="19">
        <f t="shared" si="14"/>
      </c>
      <c r="CG10" s="19">
        <f t="shared" si="14"/>
      </c>
      <c r="CH10" s="19">
        <f t="shared" si="14"/>
      </c>
      <c r="CI10" s="19">
        <f t="shared" si="14"/>
        <v>0.0021138855859426605</v>
      </c>
      <c r="CJ10" s="19">
        <f t="shared" si="14"/>
      </c>
      <c r="CK10" s="19">
        <f t="shared" si="14"/>
        <v>5.284713964856651E-06</v>
      </c>
      <c r="CL10" s="19">
        <f t="shared" si="14"/>
      </c>
      <c r="CM10" s="19">
        <f t="shared" si="14"/>
        <v>0.02372308098824151</v>
      </c>
      <c r="CN10" s="19">
        <f t="shared" si="14"/>
      </c>
      <c r="CO10" s="19">
        <f t="shared" si="14"/>
      </c>
      <c r="CP10" s="19">
        <f t="shared" si="14"/>
      </c>
      <c r="CQ10" s="19">
        <f t="shared" si="14"/>
        <v>5.284713964856651E-06</v>
      </c>
      <c r="CR10" s="19">
        <f t="shared" si="14"/>
      </c>
      <c r="CS10" s="19">
        <f t="shared" si="14"/>
      </c>
      <c r="CT10" s="19">
        <f t="shared" si="14"/>
      </c>
      <c r="CU10" s="19">
        <f t="shared" si="14"/>
      </c>
      <c r="CV10" s="19">
        <f aca="true" t="shared" si="15" ref="CV10:EA10">IF(CV9="","",(CV9*CV9)/10000)</f>
      </c>
      <c r="CW10" s="19">
        <f t="shared" si="15"/>
        <v>0.0076311269652530045</v>
      </c>
      <c r="CX10" s="19">
        <f t="shared" si="15"/>
      </c>
      <c r="CY10" s="19">
        <f t="shared" si="15"/>
      </c>
      <c r="CZ10" s="19">
        <f t="shared" si="15"/>
      </c>
      <c r="DA10" s="19">
        <f t="shared" si="15"/>
      </c>
      <c r="DB10" s="19">
        <f t="shared" si="15"/>
      </c>
      <c r="DC10" s="19">
        <f t="shared" si="15"/>
      </c>
      <c r="DD10" s="19">
        <f t="shared" si="15"/>
      </c>
      <c r="DE10" s="19">
        <f t="shared" si="15"/>
      </c>
      <c r="DF10" s="19">
        <f t="shared" si="15"/>
        <v>4.7562425683709856E-05</v>
      </c>
      <c r="DG10" s="19">
        <f t="shared" si="15"/>
      </c>
      <c r="DH10" s="19">
        <f t="shared" si="15"/>
      </c>
      <c r="DI10" s="19">
        <f t="shared" si="15"/>
      </c>
      <c r="DJ10" s="19">
        <f t="shared" si="15"/>
        <v>5.284713964856651E-06</v>
      </c>
      <c r="DK10" s="19">
        <f t="shared" si="15"/>
      </c>
      <c r="DL10" s="19">
        <f t="shared" si="15"/>
      </c>
      <c r="DM10" s="19">
        <f t="shared" si="15"/>
      </c>
      <c r="DN10" s="19">
        <f t="shared" si="15"/>
      </c>
      <c r="DO10" s="19">
        <f t="shared" si="15"/>
      </c>
      <c r="DP10" s="19">
        <f t="shared" si="15"/>
      </c>
      <c r="DQ10" s="19">
        <f t="shared" si="15"/>
      </c>
      <c r="DR10" s="19">
        <f t="shared" si="15"/>
      </c>
      <c r="DS10" s="19">
        <f t="shared" si="15"/>
      </c>
      <c r="DT10" s="19">
        <f t="shared" si="15"/>
      </c>
      <c r="DU10" s="19">
        <f t="shared" si="15"/>
      </c>
      <c r="DV10" s="19">
        <f t="shared" si="15"/>
      </c>
      <c r="DW10" s="19">
        <f t="shared" si="15"/>
      </c>
      <c r="DX10" s="19">
        <f t="shared" si="15"/>
      </c>
      <c r="DY10" s="19">
        <f t="shared" si="15"/>
      </c>
      <c r="DZ10" s="19">
        <f t="shared" si="15"/>
      </c>
      <c r="EA10" s="19">
        <f t="shared" si="15"/>
      </c>
      <c r="EB10" s="19">
        <f aca="true" t="shared" si="16" ref="EB10:EK10">IF(EB9="","",(EB9*EB9)/10000)</f>
      </c>
      <c r="EC10" s="19">
        <f t="shared" si="16"/>
        <v>0.0002589509842779759</v>
      </c>
      <c r="ED10" s="19">
        <f t="shared" si="16"/>
      </c>
      <c r="EE10" s="19">
        <f t="shared" si="16"/>
        <v>0.0004280618311533889</v>
      </c>
      <c r="EF10" s="19">
        <f t="shared" si="16"/>
      </c>
      <c r="EG10" s="19">
        <f t="shared" si="16"/>
      </c>
      <c r="EH10" s="19">
        <f t="shared" si="16"/>
      </c>
      <c r="EI10" s="19">
        <f t="shared" si="16"/>
      </c>
      <c r="EJ10" s="19">
        <f t="shared" si="16"/>
      </c>
      <c r="EK10" s="19">
        <f t="shared" si="16"/>
      </c>
      <c r="EL10" s="19"/>
      <c r="EM10" s="19"/>
      <c r="EN10" s="19"/>
      <c r="EO10" s="19"/>
      <c r="EP10" s="19"/>
      <c r="EQ10" s="19">
        <f aca="true" t="shared" si="17" ref="EQ10:EY10">IF(EQ9="","",(EQ9*EQ9)/10000)</f>
      </c>
      <c r="ER10" s="19">
        <f t="shared" si="17"/>
      </c>
      <c r="ES10" s="19">
        <f t="shared" si="17"/>
      </c>
      <c r="ET10" s="19">
        <f t="shared" si="17"/>
      </c>
      <c r="EU10" s="19">
        <f t="shared" si="17"/>
      </c>
      <c r="EV10" s="19">
        <f t="shared" si="17"/>
      </c>
      <c r="EW10" s="19">
        <f t="shared" si="17"/>
      </c>
      <c r="EX10" s="19">
        <f t="shared" si="17"/>
      </c>
      <c r="EY10" s="19">
        <f t="shared" si="17"/>
      </c>
    </row>
    <row r="11" spans="2:155" ht="12.75">
      <c r="B11" s="1" t="s">
        <v>56</v>
      </c>
      <c r="C11" s="53"/>
      <c r="D11" s="35">
        <f>IF(SUM('ENTRY '!R2:R455)=0,"",COUNT('ENTRY '!R2:R455))</f>
      </c>
      <c r="E11" s="35">
        <f>IF(SUM('ENTRY '!S2:S455)=0,"",COUNT('ENTRY '!S2:S455))</f>
      </c>
      <c r="F11" s="35">
        <f>IF(SUM('ENTRY '!T2:T455)=0,"",COUNT('ENTRY '!T2:T455))</f>
      </c>
      <c r="G11" s="35">
        <f>IF(SUM('ENTRY '!U2:U455)=0,"",COUNT('ENTRY '!U2:U455))</f>
      </c>
      <c r="H11" s="35">
        <f>IF(SUM('ENTRY '!V2:V455)=0,"",COUNT('ENTRY '!V2:V455))</f>
        <v>1</v>
      </c>
      <c r="I11" s="35">
        <f>IF(SUM('ENTRY '!W2:W455)=0,"",COUNT('ENTRY '!W2:W455))</f>
      </c>
      <c r="J11" s="35">
        <f>IF(SUM('ENTRY '!X2:X455)=0,"",COUNT('ENTRY '!X2:X455))</f>
        <v>12</v>
      </c>
      <c r="K11" s="35">
        <f>IF(SUM('ENTRY '!Y2:Y455)=0,"",COUNT('ENTRY '!Y2:Y455))</f>
      </c>
      <c r="L11" s="35">
        <f>IF(SUM('ENTRY '!Z2:Z455)=0,"",COUNT('ENTRY '!Z2:Z455))</f>
      </c>
      <c r="M11" s="35">
        <f>IF(SUM('ENTRY '!AA2:AA455)=0,"",COUNT('ENTRY '!AA2:AA455))</f>
      </c>
      <c r="N11" s="35">
        <f>IF(SUM('ENTRY '!AB2:AB455)=0,"",COUNT('ENTRY '!AB2:AB455))</f>
      </c>
      <c r="O11" s="35">
        <f>IF(SUM('ENTRY '!AC2:AC455)=0,"",COUNT('ENTRY '!AC2:AC455))</f>
      </c>
      <c r="P11" s="35">
        <f>IF(SUM('ENTRY '!AD2:AD455)=0,"",COUNT('ENTRY '!AD2:AD455))</f>
      </c>
      <c r="Q11" s="35">
        <f>IF(SUM('ENTRY '!AE2:AE455)=0,"",COUNT('ENTRY '!AE2:AE455))</f>
      </c>
      <c r="R11" s="35">
        <f>IF(SUM('ENTRY '!AF2:AF455)=0,"",COUNT('ENTRY '!AF2:AF455))</f>
      </c>
      <c r="S11" s="35">
        <f>IF(SUM('ENTRY '!AG2:AG455)=0,"",COUNT('ENTRY '!AG2:AG455))</f>
        <v>35</v>
      </c>
      <c r="T11" s="35">
        <f>IF(SUM('ENTRY '!AH2:AH455)=0,"",COUNT('ENTRY '!AH2:AH455))</f>
      </c>
      <c r="U11" s="35">
        <f>IF(SUM('ENTRY '!AI2:AI455)=0,"",COUNT('ENTRY '!AI2:AI455))</f>
      </c>
      <c r="V11" s="35">
        <f>IF(SUM('ENTRY '!AJ2:AJ455)=0,"",COUNT('ENTRY '!AJ2:AJ455))</f>
      </c>
      <c r="W11" s="35">
        <f>IF(SUM('ENTRY '!AK2:AK455)=0,"",COUNT('ENTRY '!AK2:AK455))</f>
      </c>
      <c r="X11" s="35">
        <f>IF(SUM('ENTRY '!AL2:AL455)=0,"",COUNT('ENTRY '!AL2:AL455))</f>
      </c>
      <c r="Y11" s="35">
        <f>IF(SUM('ENTRY '!AM2:AM455)=0,"",COUNT('ENTRY '!AM2:AM455))</f>
        <v>5</v>
      </c>
      <c r="Z11" s="35">
        <f>IF(SUM('ENTRY '!AN2:AN455)=0,"",COUNT('ENTRY '!AN2:AN455))</f>
      </c>
      <c r="AA11" s="35">
        <f>IF(SUM('ENTRY '!AO2:AO455)=0,"",COUNT('ENTRY '!AO2:AO455))</f>
        <v>1</v>
      </c>
      <c r="AB11" s="35">
        <f>IF(SUM('ENTRY '!AP2:AP455)=0,"",COUNT('ENTRY '!AP2:AP455))</f>
      </c>
      <c r="AC11" s="35">
        <f>IF(SUM('ENTRY '!AQ2:AQ455)=0,"",COUNT('ENTRY '!AQ2:AQ455))</f>
      </c>
      <c r="AD11" s="35">
        <f>IF(SUM('ENTRY '!AR2:AR455)=0,"",COUNT('ENTRY '!AR2:AR455))</f>
      </c>
      <c r="AE11" s="35">
        <f>IF(SUM('ENTRY '!AS2:AS455)=0,"",COUNT('ENTRY '!AS2:AS455))</f>
      </c>
      <c r="AF11" s="35">
        <f>IF(SUM('ENTRY '!AT2:AT455)=0,"",COUNT('ENTRY '!AT2:AT455))</f>
        <v>8</v>
      </c>
      <c r="AG11" s="35">
        <f>IF(SUM('ENTRY '!AU2:AU455)=0,"",COUNT('ENTRY '!AU2:AU455))</f>
      </c>
      <c r="AH11" s="35">
        <f>IF(SUM('ENTRY '!AV2:AV455)=0,"",COUNT('ENTRY '!AV2:AV455))</f>
      </c>
      <c r="AI11" s="35">
        <f>IF(SUM('ENTRY '!AW2:AW455)=0,"",COUNT('ENTRY '!AW2:AW455))</f>
      </c>
      <c r="AJ11" s="35">
        <f>IF(SUM('ENTRY '!AX2:AX455)=0,"",COUNT('ENTRY '!AX2:AX455))</f>
      </c>
      <c r="AK11" s="35">
        <f>IF(SUM('ENTRY '!AY2:AY455)=0,"",COUNT('ENTRY '!AY2:AY455))</f>
      </c>
      <c r="AL11" s="35">
        <f>IF(SUM('ENTRY '!AZ2:AZ455)=0,"",COUNT('ENTRY '!AZ2:AZ455))</f>
      </c>
      <c r="AM11" s="35">
        <f>IF(SUM('ENTRY '!BA2:BA455)=0,"",COUNT('ENTRY '!BA2:BA455))</f>
      </c>
      <c r="AN11" s="35">
        <f>IF(SUM('ENTRY '!BB2:BB455)=0,"",COUNT('ENTRY '!BB2:BB455))</f>
      </c>
      <c r="AO11" s="35">
        <f>IF(SUM('ENTRY '!BC2:BC455)=0,"",COUNT('ENTRY '!BC2:BC455))</f>
        <v>6</v>
      </c>
      <c r="AP11" s="35">
        <f>IF(SUM('ENTRY '!BD2:BD455)=0,"",COUNT('ENTRY '!BD2:BD455))</f>
      </c>
      <c r="AQ11" s="35">
        <f>IF(SUM('ENTRY '!BE2:BE455)=0,"",COUNT('ENTRY '!BE2:BE455))</f>
      </c>
      <c r="AR11" s="35">
        <f>IF(SUM('ENTRY '!BF2:BF455)=0,"",COUNT('ENTRY '!BF2:BF455))</f>
      </c>
      <c r="AS11" s="35">
        <f>IF(SUM('ENTRY '!BG2:BG455)=0,"",COUNT('ENTRY '!BG2:BG455))</f>
      </c>
      <c r="AT11" s="35">
        <f>IF(SUM('ENTRY '!BH2:BH455)=0,"",COUNT('ENTRY '!BH2:BH455))</f>
      </c>
      <c r="AU11" s="35">
        <f>IF(SUM('ENTRY '!BI2:BI455)=0,"",COUNT('ENTRY '!BI2:BI455))</f>
      </c>
      <c r="AV11" s="35">
        <f>IF(SUM('ENTRY '!BJ2:BJ455)=0,"",COUNT('ENTRY '!BJ2:BJ455))</f>
      </c>
      <c r="AW11" s="35">
        <f>IF(SUM('ENTRY '!BK2:BK455)=0,"",COUNT('ENTRY '!BK2:BK455))</f>
      </c>
      <c r="AX11" s="35">
        <f>IF(SUM('ENTRY '!BL2:BL455)=0,"",COUNT('ENTRY '!BL2:BL455))</f>
      </c>
      <c r="AY11" s="35">
        <f>IF(SUM('ENTRY '!BM2:BM455)=0,"",COUNT('ENTRY '!BM2:BM455))</f>
      </c>
      <c r="AZ11" s="35">
        <f>IF(SUM('ENTRY '!BN2:BN455)=0,"",COUNT('ENTRY '!BN2:BN455))</f>
      </c>
      <c r="BA11" s="35">
        <f>IF(SUM('ENTRY '!BO2:BO455)=0,"",COUNT('ENTRY '!BO2:BO455))</f>
        <v>1</v>
      </c>
      <c r="BB11" s="35">
        <f>IF(SUM('ENTRY '!BP2:BP455)=0,"",COUNT('ENTRY '!BP2:BP455))</f>
        <v>13</v>
      </c>
      <c r="BC11" s="35">
        <f>IF(SUM('ENTRY '!BQ2:BQ455)=0,"",COUNT('ENTRY '!BQ2:BQ455))</f>
      </c>
      <c r="BD11" s="35">
        <f>IF(SUM('ENTRY '!BR2:BR455)=0,"",COUNT('ENTRY '!BR2:BR455))</f>
        <v>76</v>
      </c>
      <c r="BE11" s="35">
        <f>IF(SUM('ENTRY '!BS2:BS455)=0,"",COUNT('ENTRY '!BS2:BS455))</f>
      </c>
      <c r="BF11" s="35">
        <f>IF(SUM('ENTRY '!BT2:BT455)=0,"",COUNT('ENTRY '!BT2:BT455))</f>
        <v>23</v>
      </c>
      <c r="BG11" s="35">
        <f>IF(SUM('ENTRY '!BU2:BU455)=0,"",COUNT('ENTRY '!BU2:BU455))</f>
      </c>
      <c r="BH11" s="35">
        <f>IF(SUM('ENTRY '!BV2:BV455)=0,"",COUNT('ENTRY '!BV2:BV455))</f>
      </c>
      <c r="BI11" s="35">
        <f>IF(SUM('ENTRY '!BW2:BW455)=0,"",COUNT('ENTRY '!BW2:BW455))</f>
      </c>
      <c r="BJ11" s="35">
        <f>IF(SUM('ENTRY '!BX2:BX455)=0,"",COUNT('ENTRY '!BX2:BX455))</f>
      </c>
      <c r="BK11" s="35">
        <f>IF(SUM('ENTRY '!BY2:BY455)=0,"",COUNT('ENTRY '!BY2:BY455))</f>
      </c>
      <c r="BL11" s="35">
        <f>IF(SUM('ENTRY '!BZ2:BZ455)=0,"",COUNT('ENTRY '!BZ2:BZ455))</f>
      </c>
      <c r="BM11" s="35">
        <f>IF(SUM('ENTRY '!CA2:CA455)=0,"",COUNT('ENTRY '!CA2:CA455))</f>
        <v>3</v>
      </c>
      <c r="BN11" s="35">
        <f>IF(SUM('ENTRY '!CB2:CB455)=0,"",COUNT('ENTRY '!CB2:CB455))</f>
        <v>29</v>
      </c>
      <c r="BO11" s="35">
        <f>IF(SUM('ENTRY '!CC2:CC455)=0,"",COUNT('ENTRY '!CC2:CC455))</f>
      </c>
      <c r="BP11" s="35">
        <f>IF(SUM('ENTRY '!CD2:CD455)=0,"",COUNT('ENTRY '!CD2:CD455))</f>
      </c>
      <c r="BQ11" s="35">
        <f>IF(SUM('ENTRY '!CE2:CE455)=0,"",COUNT('ENTRY '!CE2:CE455))</f>
      </c>
      <c r="BR11" s="35">
        <f>IF(SUM('ENTRY '!CF2:CF455)=0,"",COUNT('ENTRY '!CF2:CF455))</f>
      </c>
      <c r="BS11" s="35">
        <f>IF(SUM('ENTRY '!CG2:CG455)=0,"",COUNT('ENTRY '!CG2:CG455))</f>
        <v>1</v>
      </c>
      <c r="BT11" s="35">
        <f>IF(SUM('ENTRY '!CH2:CH455)=0,"",COUNT('ENTRY '!CH2:CH455))</f>
      </c>
      <c r="BU11" s="35">
        <f>IF(SUM('ENTRY '!CI2:CI455)=0,"",COUNT('ENTRY '!CI2:CI455))</f>
        <v>43</v>
      </c>
      <c r="BV11" s="35">
        <f>IF(SUM('ENTRY '!CJ2:CJ455)=0,"",COUNT('ENTRY '!CJ2:CJ455))</f>
      </c>
      <c r="BW11" s="35">
        <f>IF(SUM('ENTRY '!CK2:CK455)=0,"",COUNT('ENTRY '!CK2:CK455))</f>
      </c>
      <c r="BX11" s="35">
        <f>IF(SUM('ENTRY '!CL2:CL455)=0,"",COUNT('ENTRY '!CL2:CL455))</f>
      </c>
      <c r="BY11" s="35">
        <f>IF(SUM('ENTRY '!CM2:CM455)=0,"",COUNT('ENTRY '!CM2:CM455))</f>
      </c>
      <c r="BZ11" s="35">
        <f>IF(SUM('ENTRY '!CN2:CN455)=0,"",COUNT('ENTRY '!CN2:CN455))</f>
      </c>
      <c r="CA11" s="35">
        <f>IF(SUM('ENTRY '!CO2:CO455)=0,"",COUNT('ENTRY '!CO2:CO455))</f>
      </c>
      <c r="CB11" s="35">
        <f>IF(SUM('ENTRY '!CP2:CP455)=0,"",COUNT('ENTRY '!CP2:CP455))</f>
        <v>24</v>
      </c>
      <c r="CC11" s="35">
        <f>IF(SUM('ENTRY '!CQ2:CQ455)=0,"",COUNT('ENTRY '!CQ2:CQ455))</f>
      </c>
      <c r="CD11" s="35">
        <f>IF(SUM('ENTRY '!CR2:CR455)=0,"",COUNT('ENTRY '!CR2:CR455))</f>
        <v>2</v>
      </c>
      <c r="CE11" s="35">
        <f>IF(SUM('ENTRY '!CS2:CS455)=0,"",COUNT('ENTRY '!CS2:CS455))</f>
        <v>5</v>
      </c>
      <c r="CF11" s="35">
        <f>IF(SUM('ENTRY '!CT2:CT455)=0,"",COUNT('ENTRY '!CT2:CT455))</f>
      </c>
      <c r="CG11" s="35">
        <f>IF(SUM('ENTRY '!CU2:CU455)=0,"",COUNT('ENTRY '!CU2:CU455))</f>
      </c>
      <c r="CH11" s="35">
        <f>IF(SUM('ENTRY '!CV2:CV455)=0,"",COUNT('ENTRY '!CV2:CV455))</f>
      </c>
      <c r="CI11" s="35">
        <f>IF(SUM('ENTRY '!CW2:CW455)=0,"",COUNT('ENTRY '!CW2:CW455))</f>
        <v>20</v>
      </c>
      <c r="CJ11" s="35">
        <f>IF(SUM('ENTRY '!CX2:CX455)=0,"",COUNT('ENTRY '!CX2:CX455))</f>
      </c>
      <c r="CK11" s="35">
        <f>IF(SUM('ENTRY '!CY2:CY455)=0,"",COUNT('ENTRY '!CY2:CY455))</f>
        <v>1</v>
      </c>
      <c r="CL11" s="35">
        <f>IF(SUM('ENTRY '!CZ2:CZ455)=0,"",COUNT('ENTRY '!CZ2:CZ455))</f>
      </c>
      <c r="CM11" s="35">
        <f>IF(SUM('ENTRY '!DA2:DA455)=0,"",COUNT('ENTRY '!DA2:DA455))</f>
        <v>67</v>
      </c>
      <c r="CN11" s="35">
        <f>IF(SUM('ENTRY '!DB2:DB455)=0,"",COUNT('ENTRY '!DB2:DB455))</f>
      </c>
      <c r="CO11" s="35">
        <f>IF(SUM('ENTRY '!DC2:DC455)=0,"",COUNT('ENTRY '!DC2:DC455))</f>
      </c>
      <c r="CP11" s="35">
        <f>IF(SUM('ENTRY '!DD2:DD455)=0,"",COUNT('ENTRY '!DD2:DD455))</f>
      </c>
      <c r="CQ11" s="35">
        <f>IF(SUM('ENTRY '!DE2:DE455)=0,"",COUNT('ENTRY '!DE2:DE455))</f>
        <v>1</v>
      </c>
      <c r="CR11" s="35">
        <f>IF(SUM('ENTRY '!DF2:DF455)=0,"",COUNT('ENTRY '!DF2:DF455))</f>
      </c>
      <c r="CS11" s="35">
        <f>IF(SUM('ENTRY '!DG2:DG455)=0,"",COUNT('ENTRY '!DG2:DG455))</f>
      </c>
      <c r="CT11" s="35">
        <f>IF(SUM('ENTRY '!DH2:DH455)=0,"",COUNT('ENTRY '!DH2:DH455))</f>
      </c>
      <c r="CU11" s="35">
        <f>IF(SUM('ENTRY '!DI2:DI455)=0,"",COUNT('ENTRY '!DI2:DI455))</f>
      </c>
      <c r="CV11" s="35">
        <f>IF(SUM('ENTRY '!DJ2:DJ455)=0,"",COUNT('ENTRY '!DJ2:DJ455))</f>
      </c>
      <c r="CW11" s="35">
        <f>IF(SUM('ENTRY '!DK2:DK455)=0,"",COUNT('ENTRY '!DK2:DK455))</f>
        <v>38</v>
      </c>
      <c r="CX11" s="35">
        <f>IF(SUM('ENTRY '!DL2:DL455)=0,"",COUNT('ENTRY '!DL2:DL455))</f>
      </c>
      <c r="CY11" s="35">
        <f>IF(SUM('ENTRY '!DM2:DM455)=0,"",COUNT('ENTRY '!DM2:DM455))</f>
      </c>
      <c r="CZ11" s="35">
        <f>IF(SUM('ENTRY '!DN2:DN455)=0,"",COUNT('ENTRY '!DN2:DN455))</f>
      </c>
      <c r="DA11" s="35">
        <f>IF(SUM('ENTRY '!DO2:DO455)=0,"",COUNT('ENTRY '!DO2:DO455))</f>
      </c>
      <c r="DB11" s="35">
        <f>IF(SUM('ENTRY '!DP2:DP455)=0,"",COUNT('ENTRY '!DP2:DP455))</f>
      </c>
      <c r="DC11" s="35">
        <f>IF(SUM('ENTRY '!DQ2:DQ455)=0,"",COUNT('ENTRY '!DQ2:DQ455))</f>
      </c>
      <c r="DD11" s="35">
        <f>IF(SUM('ENTRY '!DR2:DR455)=0,"",COUNT('ENTRY '!DR2:DR455))</f>
      </c>
      <c r="DE11" s="35">
        <f>IF(SUM('ENTRY '!DS2:DS455)=0,"",COUNT('ENTRY '!DS2:DS455))</f>
      </c>
      <c r="DF11" s="35">
        <f>IF(SUM('ENTRY '!DT2:DT455)=0,"",COUNT('ENTRY '!DT2:DT455))</f>
        <v>3</v>
      </c>
      <c r="DG11" s="35">
        <f>IF(SUM('ENTRY '!DU2:DU455)=0,"",COUNT('ENTRY '!DU2:DU455))</f>
      </c>
      <c r="DH11" s="35">
        <f>IF(SUM('ENTRY '!DV2:DV455)=0,"",COUNT('ENTRY '!DV2:DV455))</f>
      </c>
      <c r="DI11" s="35">
        <f>IF(SUM('ENTRY '!DW2:DW455)=0,"",COUNT('ENTRY '!DW2:DW455))</f>
      </c>
      <c r="DJ11" s="35">
        <f>IF(SUM('ENTRY '!DX2:DX455)=0,"",COUNT('ENTRY '!DX2:DX455))</f>
        <v>1</v>
      </c>
      <c r="DK11" s="35">
        <f>IF(SUM('ENTRY '!DY2:DY455)=0,"",COUNT('ENTRY '!DY2:DY455))</f>
      </c>
      <c r="DL11" s="35">
        <f>IF(SUM('ENTRY '!DZ2:DZ455)=0,"",COUNT('ENTRY '!DZ2:DZ455))</f>
      </c>
      <c r="DM11" s="35">
        <f>IF(SUM('ENTRY '!EA2:EA455)=0,"",COUNT('ENTRY '!EA2:EA455))</f>
      </c>
      <c r="DN11" s="35">
        <f>IF(SUM('ENTRY '!EB2:EB455)=0,"",COUNT('ENTRY '!EB2:EB455))</f>
      </c>
      <c r="DO11" s="35">
        <f>IF(SUM('ENTRY '!EC2:EC455)=0,"",COUNT('ENTRY '!EC2:EC455))</f>
      </c>
      <c r="DP11" s="35">
        <f>IF(SUM('ENTRY '!ED2:ED455)=0,"",COUNT('ENTRY '!ED2:ED455))</f>
      </c>
      <c r="DQ11" s="35">
        <f>IF(SUM('ENTRY '!EE2:EE455)=0,"",COUNT('ENTRY '!EE2:EE455))</f>
      </c>
      <c r="DR11" s="35">
        <f>IF(SUM('ENTRY '!EF2:EF455)=0,"",COUNT('ENTRY '!EF2:EF455))</f>
      </c>
      <c r="DS11" s="35">
        <f>IF(SUM('ENTRY '!EG2:EG455)=0,"",COUNT('ENTRY '!EG2:EG455))</f>
      </c>
      <c r="DT11" s="35">
        <f>IF(SUM('ENTRY '!EH2:EH455)=0,"",COUNT('ENTRY '!EH2:EH455))</f>
      </c>
      <c r="DU11" s="35">
        <f>IF(SUM('ENTRY '!EI2:EI455)=0,"",COUNT('ENTRY '!EI2:EI455))</f>
      </c>
      <c r="DV11" s="35">
        <f>IF(SUM('ENTRY '!EJ2:EJ455)=0,"",COUNT('ENTRY '!EJ2:EJ455))</f>
      </c>
      <c r="DW11" s="35">
        <f>IF(SUM('ENTRY '!EK2:EK455)=0,"",COUNT('ENTRY '!EK2:EK455))</f>
      </c>
      <c r="DX11" s="35">
        <f>IF(SUM('ENTRY '!EL2:EL455)=0,"",COUNT('ENTRY '!EL2:EL455))</f>
      </c>
      <c r="DY11" s="35">
        <f>IF(SUM('ENTRY '!EM2:EM455)=0,"",COUNT('ENTRY '!EM2:EM455))</f>
      </c>
      <c r="DZ11" s="35">
        <f>IF(SUM('ENTRY '!EN2:EN455)=0,"",COUNT('ENTRY '!EN2:EN455))</f>
      </c>
      <c r="EA11" s="35">
        <f>IF(SUM('ENTRY '!EO2:EO455)=0,"",COUNT('ENTRY '!EO2:EO455))</f>
      </c>
      <c r="EB11" s="35">
        <f>IF(SUM('ENTRY '!EP2:EP455)=0,"",COUNT('ENTRY '!EP2:EP455))</f>
      </c>
      <c r="EC11" s="35">
        <f>IF(SUM('ENTRY '!EQ2:EQ455)=0,"",COUNT('ENTRY '!EQ2:EQ455))</f>
        <v>7</v>
      </c>
      <c r="ED11" s="35">
        <f>IF(SUM('ENTRY '!ER2:ER455)=0,"",COUNT('ENTRY '!ER2:ER455))</f>
      </c>
      <c r="EE11" s="35">
        <f>IF(SUM('ENTRY '!ES2:ES455)=0,"",COUNT('ENTRY '!ES2:ES455))</f>
        <v>9</v>
      </c>
      <c r="EF11" s="35">
        <f>IF(SUM('ENTRY '!ET2:ET455)=0,"",COUNT('ENTRY '!ET2:ET455))</f>
      </c>
      <c r="EG11" s="35">
        <f>IF(SUM('ENTRY '!EU2:EU455)=0,"",COUNT('ENTRY '!EU2:EU455))</f>
      </c>
      <c r="EH11" s="35">
        <f>IF(SUM('ENTRY '!EV2:EV455)=0,"",COUNT('ENTRY '!EV2:EV455))</f>
      </c>
      <c r="EI11" s="35">
        <f>IF(SUM('ENTRY '!EW2:EW455)=0,"",COUNT('ENTRY '!EW2:EW455))</f>
      </c>
      <c r="EJ11" s="35">
        <f>IF(SUM('ENTRY '!EX2:EX455)=0,"",COUNT('ENTRY '!EX2:EX455))</f>
      </c>
      <c r="EK11" s="35">
        <f>IF(SUM('ENTRY '!EY2:EY455)=0,"",COUNT('ENTRY '!EY2:EY455))</f>
      </c>
      <c r="EL11" s="35">
        <f>IF(SUM('ENTRY '!EZ2:EZ455)=0,"",COUNT('ENTRY '!EZ2:EZ455))</f>
        <v>1</v>
      </c>
      <c r="EM11" s="35">
        <f>IF(SUM('ENTRY '!FA2:FA455)=0,"",COUNT('ENTRY '!FA2:FA455))</f>
      </c>
      <c r="EN11" s="35">
        <f>IF(SUM('ENTRY '!FB2:FB455)=0,"",COUNT('ENTRY '!FB2:FB455))</f>
      </c>
      <c r="EO11" s="35">
        <f>IF(SUM('ENTRY '!FC2:FC455)=0,"",COUNT('ENTRY '!FC2:FC455))</f>
      </c>
      <c r="EP11" s="35">
        <f>IF(SUM('ENTRY '!FD2:FD455)=0,"",COUNT('ENTRY '!FD2:FD455))</f>
      </c>
      <c r="EQ11" s="35">
        <f>IF(SUM('ENTRY '!FE2:FE455)=0,"",COUNT('ENTRY '!FE2:FE455))</f>
      </c>
      <c r="ER11" s="35">
        <f>IF(SUM('ENTRY '!FF2:FF455)=0,"",COUNT('ENTRY '!FF2:FF455))</f>
      </c>
      <c r="ES11" s="35">
        <f>IF(SUM('ENTRY '!FG2:FG455)=0,"",COUNT('ENTRY '!FG2:FG455))</f>
      </c>
      <c r="ET11" s="35">
        <f>IF(SUM('ENTRY '!FH2:FH455)=0,"",COUNT('ENTRY '!FH2:FH455))</f>
      </c>
      <c r="EU11" s="35">
        <f>IF(SUM('ENTRY '!FI2:FI455)=0,"",COUNT('ENTRY '!FI2:FI455))</f>
      </c>
      <c r="EV11" s="35">
        <f>IF(SUM('ENTRY '!FJ2:FJ455)=0,"",COUNT('ENTRY '!FJ2:FJ455))</f>
      </c>
      <c r="EW11" s="35">
        <f>IF(SUM('ENTRY '!FK2:FK455)=0,"",COUNT('ENTRY '!FK2:FK455))</f>
      </c>
      <c r="EX11" s="35">
        <f>IF(SUM('ENTRY '!FL2:FL455)=0,"",COUNT('ENTRY '!FL2:FL455))</f>
      </c>
      <c r="EY11" s="35">
        <f>IF(SUM('ENTRY '!FM2:FM455)=0,"",COUNT('ENTRY '!FM2:FM455))</f>
      </c>
    </row>
    <row r="12" spans="1:155" s="70" customFormat="1" ht="12.75">
      <c r="A12" s="63"/>
      <c r="B12" s="45" t="s">
        <v>37</v>
      </c>
      <c r="C12" s="53">
        <f>IF(C17="","",AVERAGE('ENTRY '!Q2:Q455))</f>
        <v>1.4736842105263157</v>
      </c>
      <c r="D12" s="14">
        <f>IF(D11="","",AVERAGE('ENTRY '!R2:R455))</f>
      </c>
      <c r="E12" s="14">
        <f>IF(E11="","",AVERAGE('ENTRY '!S2:S455))</f>
      </c>
      <c r="F12" s="14">
        <f>IF(F11="","",AVERAGE('ENTRY '!T2:T455))</f>
      </c>
      <c r="G12" s="14">
        <f>IF(G11="","",AVERAGE('ENTRY '!U2:U455))</f>
      </c>
      <c r="H12" s="14">
        <f>IF(H11="","",AVERAGE('ENTRY '!V2:V455))</f>
        <v>1</v>
      </c>
      <c r="I12" s="14">
        <f>IF(I11="","",AVERAGE('ENTRY '!W2:W455))</f>
      </c>
      <c r="J12" s="14">
        <f>IF(J11="","",AVERAGE('ENTRY '!X2:X455))</f>
        <v>1.5833333333333333</v>
      </c>
      <c r="K12" s="14">
        <f>IF(K11="","",AVERAGE('ENTRY '!Y2:Y455))</f>
      </c>
      <c r="L12" s="14">
        <f>IF(L11="","",AVERAGE('ENTRY '!Z2:Z455))</f>
      </c>
      <c r="M12" s="14">
        <f>IF(M11="","",AVERAGE('ENTRY '!AA2:AA455))</f>
      </c>
      <c r="N12" s="14">
        <f>IF(N11="","",AVERAGE('ENTRY '!AB2:AB455))</f>
      </c>
      <c r="O12" s="14">
        <f>IF(O11="","",AVERAGE('ENTRY '!AC2:AC455))</f>
      </c>
      <c r="P12" s="14">
        <f>IF(P11="","",AVERAGE('ENTRY '!AD2:AD455))</f>
      </c>
      <c r="Q12" s="14">
        <f>IF(Q11="","",AVERAGE('ENTRY '!AE2:AE455))</f>
      </c>
      <c r="R12" s="14">
        <f>IF(R11="","",AVERAGE('ENTRY '!AF2:AF455))</f>
      </c>
      <c r="S12" s="14">
        <f>IF(S11="","",AVERAGE('ENTRY '!AG2:AG455))</f>
        <v>1.0857142857142856</v>
      </c>
      <c r="T12" s="14">
        <f>IF(T11="","",AVERAGE('ENTRY '!AH2:AH455))</f>
      </c>
      <c r="U12" s="14">
        <f>IF(U11="","",AVERAGE('ENTRY '!AI2:AI455))</f>
      </c>
      <c r="V12" s="14">
        <f>IF(V11="","",AVERAGE('ENTRY '!AJ2:AJ455))</f>
      </c>
      <c r="W12" s="14">
        <f>IF(W11="","",AVERAGE('ENTRY '!AK2:AK455))</f>
      </c>
      <c r="X12" s="14">
        <f>IF(X11="","",AVERAGE('ENTRY '!AL2:AL455))</f>
      </c>
      <c r="Y12" s="14">
        <f>IF(Y11="","",AVERAGE('ENTRY '!AM2:AM455))</f>
        <v>1.2</v>
      </c>
      <c r="Z12" s="14">
        <f>IF(Z11="","",AVERAGE('ENTRY '!AN2:AN455))</f>
      </c>
      <c r="AA12" s="14">
        <f>IF(AA11="","",AVERAGE('ENTRY '!AO2:AO455))</f>
        <v>1</v>
      </c>
      <c r="AB12" s="14">
        <f>IF(AB11="","",AVERAGE('ENTRY '!AP2:AP455))</f>
      </c>
      <c r="AC12" s="14">
        <f>IF(AC11="","",AVERAGE('ENTRY '!AQ2:AQ455))</f>
      </c>
      <c r="AD12" s="14">
        <f>IF(AD11="","",AVERAGE('ENTRY '!AR2:AR455))</f>
      </c>
      <c r="AE12" s="14">
        <f>IF(AE11="","",AVERAGE('ENTRY '!AS2:AS455))</f>
      </c>
      <c r="AF12" s="14">
        <f>IF(AF11="","",AVERAGE('ENTRY '!AT2:AT455))</f>
        <v>1.625</v>
      </c>
      <c r="AG12" s="14">
        <f>IF(AG11="","",AVERAGE('ENTRY '!AU2:AU455))</f>
      </c>
      <c r="AH12" s="14">
        <f>IF(AH11="","",AVERAGE('ENTRY '!AV2:AV455))</f>
      </c>
      <c r="AI12" s="14">
        <f>IF(AI11="","",AVERAGE('ENTRY '!AW2:AW455))</f>
      </c>
      <c r="AJ12" s="14">
        <f>IF(AJ11="","",AVERAGE('ENTRY '!AX2:AX455))</f>
      </c>
      <c r="AK12" s="14">
        <f>IF(AK11="","",AVERAGE('ENTRY '!AY2:AY455))</f>
      </c>
      <c r="AL12" s="14">
        <f>IF(AL11="","",AVERAGE('ENTRY '!AZ2:AZ455))</f>
      </c>
      <c r="AM12" s="14">
        <f>IF(AM11="","",AVERAGE('ENTRY '!BA2:BA455))</f>
      </c>
      <c r="AN12" s="14">
        <f>IF(AN11="","",AVERAGE('ENTRY '!BB2:BB455))</f>
      </c>
      <c r="AO12" s="14">
        <f>IF(AO11="","",AVERAGE('ENTRY '!BC2:BC455))</f>
        <v>1.6666666666666667</v>
      </c>
      <c r="AP12" s="14">
        <f>IF(AP11="","",AVERAGE('ENTRY '!BD2:BD455))</f>
      </c>
      <c r="AQ12" s="14">
        <f>IF(AQ11="","",AVERAGE('ENTRY '!BE2:BE455))</f>
      </c>
      <c r="AR12" s="14">
        <f>IF(AR11="","",AVERAGE('ENTRY '!BF2:BF455))</f>
      </c>
      <c r="AS12" s="14">
        <f>IF(AS11="","",AVERAGE('ENTRY '!BG2:BG455))</f>
      </c>
      <c r="AT12" s="14">
        <f>IF(AT11="","",AVERAGE('ENTRY '!BH2:BH455))</f>
      </c>
      <c r="AU12" s="14">
        <f>IF(AU11="","",AVERAGE('ENTRY '!BI2:BI455))</f>
      </c>
      <c r="AV12" s="14">
        <f>IF(AV11="","",AVERAGE('ENTRY '!BJ2:BJ455))</f>
      </c>
      <c r="AW12" s="14">
        <f>IF(AW11="","",AVERAGE('ENTRY '!BK2:BK455))</f>
      </c>
      <c r="AX12" s="14">
        <f>IF(AX11="","",AVERAGE('ENTRY '!BL2:BL455))</f>
      </c>
      <c r="AY12" s="14">
        <f>IF(AY11="","",AVERAGE('ENTRY '!BM2:BM455))</f>
      </c>
      <c r="AZ12" s="14">
        <f>IF(AZ11="","",AVERAGE('ENTRY '!BN2:BN455))</f>
      </c>
      <c r="BA12" s="14">
        <f>IF(BA11="","",AVERAGE('ENTRY '!BO2:BO455))</f>
        <v>1</v>
      </c>
      <c r="BB12" s="14">
        <f>IF(BB11="","",AVERAGE('ENTRY '!BP2:BP455))</f>
        <v>1.5384615384615385</v>
      </c>
      <c r="BC12" s="14">
        <f>IF(BC11="","",AVERAGE('ENTRY '!BQ2:BQ455))</f>
      </c>
      <c r="BD12" s="14">
        <f>IF(BD11="","",AVERAGE('ENTRY '!BR2:BR455))</f>
        <v>1.144736842105263</v>
      </c>
      <c r="BE12" s="14">
        <f>IF(BE11="","",AVERAGE('ENTRY '!BS2:BS455))</f>
      </c>
      <c r="BF12" s="14">
        <f>IF(BF11="","",AVERAGE('ENTRY '!BT2:BT455))</f>
        <v>1.2608695652173914</v>
      </c>
      <c r="BG12" s="14">
        <f>IF(BG11="","",AVERAGE('ENTRY '!BU2:BU455))</f>
      </c>
      <c r="BH12" s="14">
        <f>IF(BH11="","",AVERAGE('ENTRY '!BV2:BV455))</f>
      </c>
      <c r="BI12" s="14">
        <f>IF(BI11="","",AVERAGE('ENTRY '!BW2:BW455))</f>
      </c>
      <c r="BJ12" s="14">
        <f>IF(BJ11="","",AVERAGE('ENTRY '!BX2:BX455))</f>
      </c>
      <c r="BK12" s="14">
        <f>IF(BK11="","",AVERAGE('ENTRY '!BY2:BY455))</f>
      </c>
      <c r="BL12" s="14">
        <f>IF(BL11="","",AVERAGE('ENTRY '!BZ2:BZ455))</f>
      </c>
      <c r="BM12" s="14">
        <f>IF(BM11="","",AVERAGE('ENTRY '!CA2:CA455))</f>
        <v>1.3333333333333333</v>
      </c>
      <c r="BN12" s="14">
        <f>IF(BN11="","",AVERAGE('ENTRY '!CB2:CB455))</f>
        <v>1.206896551724138</v>
      </c>
      <c r="BO12" s="14">
        <f>IF(BO11="","",AVERAGE('ENTRY '!CC2:CC455))</f>
      </c>
      <c r="BP12" s="14">
        <f>IF(BP11="","",AVERAGE('ENTRY '!CD2:CD455))</f>
      </c>
      <c r="BQ12" s="14">
        <f>IF(BQ11="","",AVERAGE('ENTRY '!CE2:CE455))</f>
      </c>
      <c r="BR12" s="14">
        <f>IF(BR11="","",AVERAGE('ENTRY '!CF2:CF455))</f>
      </c>
      <c r="BS12" s="14">
        <f>IF(BS11="","",AVERAGE('ENTRY '!CG2:CG455))</f>
        <v>1</v>
      </c>
      <c r="BT12" s="14">
        <f>IF(BT11="","",AVERAGE('ENTRY '!CH2:CH455))</f>
      </c>
      <c r="BU12" s="14">
        <f>IF(BU11="","",AVERAGE('ENTRY '!CI2:CI455))</f>
        <v>1.302325581395349</v>
      </c>
      <c r="BV12" s="14">
        <f>IF(BV11="","",AVERAGE('ENTRY '!CJ2:CJ455))</f>
      </c>
      <c r="BW12" s="14">
        <f>IF(BW11="","",AVERAGE('ENTRY '!CK2:CK455))</f>
      </c>
      <c r="BX12" s="14">
        <f>IF(BX11="","",AVERAGE('ENTRY '!CL2:CL455))</f>
      </c>
      <c r="BY12" s="14">
        <f>IF(BY11="","",AVERAGE('ENTRY '!CM2:CM455))</f>
      </c>
      <c r="BZ12" s="14">
        <f>IF(BZ11="","",AVERAGE('ENTRY '!CN2:CN455))</f>
      </c>
      <c r="CA12" s="14">
        <f>IF(CA11="","",AVERAGE('ENTRY '!CO2:CO455))</f>
      </c>
      <c r="CB12" s="14">
        <f>IF(CB11="","",AVERAGE('ENTRY '!CP2:CP455))</f>
        <v>1.0416666666666667</v>
      </c>
      <c r="CC12" s="14">
        <f>IF(CC11="","",AVERAGE('ENTRY '!CQ2:CQ455))</f>
      </c>
      <c r="CD12" s="14">
        <f>IF(CD11="","",AVERAGE('ENTRY '!CR2:CR455))</f>
        <v>1.5</v>
      </c>
      <c r="CE12" s="14">
        <f>IF(CE11="","",AVERAGE('ENTRY '!CS2:CS455))</f>
        <v>1</v>
      </c>
      <c r="CF12" s="14">
        <f>IF(CF11="","",AVERAGE('ENTRY '!CT2:CT455))</f>
      </c>
      <c r="CG12" s="14">
        <f>IF(CG11="","",AVERAGE('ENTRY '!CU2:CU455))</f>
      </c>
      <c r="CH12" s="14">
        <f>IF(CH11="","",AVERAGE('ENTRY '!CV2:CV455))</f>
      </c>
      <c r="CI12" s="14">
        <f>IF(CI11="","",AVERAGE('ENTRY '!CW2:CW455))</f>
        <v>1.15</v>
      </c>
      <c r="CJ12" s="14">
        <f>IF(CJ11="","",AVERAGE('ENTRY '!CX2:CX455))</f>
      </c>
      <c r="CK12" s="14">
        <f>IF(CK11="","",AVERAGE('ENTRY '!CY2:CY455))</f>
        <v>1</v>
      </c>
      <c r="CL12" s="14">
        <f>IF(CL11="","",AVERAGE('ENTRY '!CZ2:CZ455))</f>
      </c>
      <c r="CM12" s="14">
        <f>IF(CM11="","",AVERAGE('ENTRY '!DA2:DA455))</f>
        <v>1.5820895522388059</v>
      </c>
      <c r="CN12" s="14">
        <f>IF(CN11="","",AVERAGE('ENTRY '!DB2:DB455))</f>
      </c>
      <c r="CO12" s="14">
        <f>IF(CO11="","",AVERAGE('ENTRY '!DC2:DC455))</f>
      </c>
      <c r="CP12" s="14">
        <f>IF(CP11="","",AVERAGE('ENTRY '!DD2:DD455))</f>
      </c>
      <c r="CQ12" s="14">
        <f>IF(CQ11="","",AVERAGE('ENTRY '!DE2:DE455))</f>
        <v>1</v>
      </c>
      <c r="CR12" s="14">
        <f>IF(CR11="","",AVERAGE('ENTRY '!DF2:DF455))</f>
      </c>
      <c r="CS12" s="14">
        <f>IF(CS11="","",AVERAGE('ENTRY '!DG2:DG455))</f>
      </c>
      <c r="CT12" s="14">
        <f>IF(CT11="","",AVERAGE('ENTRY '!DH2:DH455))</f>
      </c>
      <c r="CU12" s="14">
        <f>IF(CU11="","",AVERAGE('ENTRY '!DI2:DI455))</f>
      </c>
      <c r="CV12" s="14">
        <f>IF(CV11="","",AVERAGE('ENTRY '!DJ2:DJ455))</f>
      </c>
      <c r="CW12" s="14">
        <f>IF(CW11="","",AVERAGE('ENTRY '!DK2:DK455))</f>
        <v>1.131578947368421</v>
      </c>
      <c r="CX12" s="14">
        <f>IF(CX11="","",AVERAGE('ENTRY '!DL2:DL455))</f>
      </c>
      <c r="CY12" s="14">
        <f>IF(CY11="","",AVERAGE('ENTRY '!DM2:DM455))</f>
      </c>
      <c r="CZ12" s="14">
        <f>IF(CZ11="","",AVERAGE('ENTRY '!DN2:DN455))</f>
      </c>
      <c r="DA12" s="14">
        <f>IF(DA11="","",AVERAGE('ENTRY '!DO2:DO455))</f>
      </c>
      <c r="DB12" s="14">
        <f>IF(DB11="","",AVERAGE('ENTRY '!DP2:DP455))</f>
      </c>
      <c r="DC12" s="14">
        <f>IF(DC11="","",AVERAGE('ENTRY '!DQ2:DQ455))</f>
      </c>
      <c r="DD12" s="14">
        <f>IF(DD11="","",AVERAGE('ENTRY '!DR2:DR455))</f>
      </c>
      <c r="DE12" s="14">
        <f>IF(DE11="","",AVERAGE('ENTRY '!DS2:DS455))</f>
      </c>
      <c r="DF12" s="14">
        <f>IF(DF11="","",AVERAGE('ENTRY '!DT2:DT455))</f>
        <v>2.3333333333333335</v>
      </c>
      <c r="DG12" s="14">
        <f>IF(DG11="","",AVERAGE('ENTRY '!DU2:DU455))</f>
      </c>
      <c r="DH12" s="14">
        <f>IF(DH11="","",AVERAGE('ENTRY '!DV2:DV455))</f>
      </c>
      <c r="DI12" s="14">
        <f>IF(DI11="","",AVERAGE('ENTRY '!DW2:DW455))</f>
      </c>
      <c r="DJ12" s="14">
        <f>IF(DJ11="","",AVERAGE('ENTRY '!DX2:DX455))</f>
        <v>1</v>
      </c>
      <c r="DK12" s="14">
        <f>IF(DK11="","",AVERAGE('ENTRY '!DY2:DY455))</f>
      </c>
      <c r="DL12" s="14">
        <f>IF(DL11="","",AVERAGE('ENTRY '!DZ2:DZ455))</f>
      </c>
      <c r="DM12" s="14">
        <f>IF(DM11="","",AVERAGE('ENTRY '!EA2:EA455))</f>
      </c>
      <c r="DN12" s="14">
        <f>IF(DN11="","",AVERAGE('ENTRY '!EB2:EB455))</f>
      </c>
      <c r="DO12" s="14">
        <f>IF(DO11="","",AVERAGE('ENTRY '!EC2:EC455))</f>
      </c>
      <c r="DP12" s="14">
        <f>IF(DP11="","",AVERAGE('ENTRY '!ED2:ED455))</f>
      </c>
      <c r="DQ12" s="14">
        <f>IF(DQ11="","",AVERAGE('ENTRY '!EE2:EE455))</f>
      </c>
      <c r="DR12" s="14">
        <f>IF(DR11="","",AVERAGE('ENTRY '!EF2:EF455))</f>
      </c>
      <c r="DS12" s="14">
        <f>IF(DS11="","",AVERAGE('ENTRY '!EG2:EG455))</f>
      </c>
      <c r="DT12" s="14">
        <f>IF(DT11="","",AVERAGE('ENTRY '!EH2:EH455))</f>
      </c>
      <c r="DU12" s="14">
        <f>IF(DU11="","",AVERAGE('ENTRY '!EI2:EI455))</f>
      </c>
      <c r="DV12" s="14">
        <f>IF(DV11="","",AVERAGE('ENTRY '!EJ2:EJ455))</f>
      </c>
      <c r="DW12" s="14">
        <f>IF(DW11="","",AVERAGE('ENTRY '!EK2:EK455))</f>
      </c>
      <c r="DX12" s="14">
        <f>IF(DX11="","",AVERAGE('ENTRY '!EL2:EL455))</f>
      </c>
      <c r="DY12" s="14">
        <f>IF(DY11="","",AVERAGE('ENTRY '!EM2:EM455))</f>
      </c>
      <c r="DZ12" s="14">
        <f>IF(DZ11="","",AVERAGE('ENTRY '!EN2:EN455))</f>
      </c>
      <c r="EA12" s="14">
        <f>IF(EA11="","",AVERAGE('ENTRY '!EO2:EO455))</f>
      </c>
      <c r="EB12" s="14">
        <f>IF(EB11="","",AVERAGE('ENTRY '!EP2:EP455))</f>
      </c>
      <c r="EC12" s="14">
        <f>IF(EC11="","",AVERAGE('ENTRY '!EQ2:EQ455))</f>
        <v>2.142857142857143</v>
      </c>
      <c r="ED12" s="14">
        <f>IF(ED11="","",AVERAGE('ENTRY '!ER2:ER455))</f>
      </c>
      <c r="EE12" s="14">
        <f>IF(EE11="","",AVERAGE('ENTRY '!ES2:ES455))</f>
        <v>1.1111111111111112</v>
      </c>
      <c r="EF12" s="14">
        <f>IF(EF11="","",AVERAGE('ENTRY '!ET2:ET455))</f>
      </c>
      <c r="EG12" s="14">
        <f>IF(EG11="","",AVERAGE('ENTRY '!EU2:EU455))</f>
      </c>
      <c r="EH12" s="14">
        <f>IF(EH11="","",AVERAGE('ENTRY '!EV2:EV455))</f>
      </c>
      <c r="EI12" s="14">
        <f>IF(EI11="","",AVERAGE('ENTRY '!EW2:EW455))</f>
      </c>
      <c r="EJ12" s="14">
        <f>IF(EJ11="","",AVERAGE('ENTRY '!EX2:EX455))</f>
      </c>
      <c r="EK12" s="14">
        <f>IF(EK11="","",AVERAGE('ENTRY '!EY2:EY455))</f>
      </c>
      <c r="EL12" s="14">
        <f>IF(EL11="","",AVERAGE('ENTRY '!EZ2:EZ455))</f>
        <v>1</v>
      </c>
      <c r="EM12" s="14">
        <f>IF(EM11="","",AVERAGE('ENTRY '!FA2:FA455))</f>
      </c>
      <c r="EN12" s="14">
        <f>IF(EN11="","",AVERAGE('ENTRY '!FB2:FB455))</f>
      </c>
      <c r="EO12" s="14">
        <f>IF(EO11="","",AVERAGE('ENTRY '!FC2:FC455))</f>
      </c>
      <c r="EP12" s="14">
        <f>IF(EP11="","",AVERAGE('ENTRY '!FD2:FD455))</f>
      </c>
      <c r="EQ12" s="14">
        <f>IF(EQ11="","",AVERAGE('ENTRY '!FE2:FE455))</f>
      </c>
      <c r="ER12" s="14">
        <f>IF(ER11="","",AVERAGE('ENTRY '!FF2:FF455))</f>
      </c>
      <c r="ES12" s="14">
        <f>IF(ES11="","",AVERAGE('ENTRY '!FG2:FG455))</f>
      </c>
      <c r="ET12" s="14">
        <f>IF(ET11="","",AVERAGE('ENTRY '!FH2:FH455))</f>
      </c>
      <c r="EU12" s="14">
        <f>IF(EU11="","",AVERAGE('ENTRY '!FI2:FI455))</f>
      </c>
      <c r="EV12" s="14">
        <f>IF(EV11="","",AVERAGE('ENTRY '!FJ2:FJ455))</f>
      </c>
      <c r="EW12" s="14">
        <f>IF(EW11="","",AVERAGE('ENTRY '!FK2:FK455))</f>
      </c>
      <c r="EX12" s="14">
        <f>IF(EX11="","",AVERAGE('ENTRY '!FL2:FL455))</f>
      </c>
      <c r="EY12" s="14">
        <f>IF(EY11="","",AVERAGE('ENTRY '!FM2:FM455))</f>
      </c>
    </row>
    <row r="13" spans="1:155" s="68" customFormat="1" ht="12.75">
      <c r="A13" s="26"/>
      <c r="B13" s="16" t="s">
        <v>35</v>
      </c>
      <c r="C13" s="54"/>
      <c r="D13" s="37">
        <f>IF(COUNTIF('ENTRY '!R2:R455,"v")=0,"",(COUNTIF('ENTRY '!R2:R455,"v")))</f>
      </c>
      <c r="E13" s="37">
        <f>IF(COUNTIF('ENTRY '!S2:S455,"v")=0,"",(COUNTIF('ENTRY '!S2:S455,"v")))</f>
      </c>
      <c r="F13" s="37">
        <f>IF(COUNTIF('ENTRY '!T2:T455,"v")=0,"",(COUNTIF('ENTRY '!T2:T455,"v")))</f>
      </c>
      <c r="G13" s="37">
        <f>IF(COUNTIF('ENTRY '!U2:U455,"v")=0,"",(COUNTIF('ENTRY '!U2:U455,"v")))</f>
      </c>
      <c r="H13" s="37">
        <f>IF(COUNTIF('ENTRY '!V2:V455,"v")=0,"",(COUNTIF('ENTRY '!V2:V455,"v")))</f>
      </c>
      <c r="I13" s="37">
        <f>IF(COUNTIF('ENTRY '!W2:W455,"v")=0,"",(COUNTIF('ENTRY '!W2:W455,"v")))</f>
      </c>
      <c r="J13" s="37">
        <f>IF(COUNTIF('ENTRY '!X2:X455,"v")=0,"",(COUNTIF('ENTRY '!X2:X455,"v")))</f>
        <v>8</v>
      </c>
      <c r="K13" s="37">
        <f>IF(COUNTIF('ENTRY '!Y2:Y455,"v")=0,"",(COUNTIF('ENTRY '!Y2:Y455,"v")))</f>
      </c>
      <c r="L13" s="37">
        <f>IF(COUNTIF('ENTRY '!Z2:Z455,"v")=0,"",(COUNTIF('ENTRY '!Z2:Z455,"v")))</f>
      </c>
      <c r="M13" s="37">
        <f>IF(COUNTIF('ENTRY '!AA2:AA455,"v")=0,"",(COUNTIF('ENTRY '!AA2:AA455,"v")))</f>
      </c>
      <c r="N13" s="37">
        <f>IF(COUNTIF('ENTRY '!AB2:AB455,"v")=0,"",(COUNTIF('ENTRY '!AB2:AB455,"v")))</f>
      </c>
      <c r="O13" s="37">
        <f>IF(COUNTIF('ENTRY '!AC2:AC455,"v")=0,"",(COUNTIF('ENTRY '!AC2:AC455,"v")))</f>
      </c>
      <c r="P13" s="37">
        <f>IF(COUNTIF('ENTRY '!AD2:AD455,"v")=0,"",(COUNTIF('ENTRY '!AD2:AD455,"v")))</f>
      </c>
      <c r="Q13" s="37">
        <f>IF(COUNTIF('ENTRY '!AE2:AE455,"v")=0,"",(COUNTIF('ENTRY '!AE2:AE455,"v")))</f>
      </c>
      <c r="R13" s="37">
        <f>IF(COUNTIF('ENTRY '!AF2:AF455,"v")=0,"",(COUNTIF('ENTRY '!AF2:AF455,"v")))</f>
      </c>
      <c r="S13" s="37">
        <f>IF(COUNTIF('ENTRY '!AG2:AG455,"v")=0,"",(COUNTIF('ENTRY '!AG2:AG455,"v")))</f>
      </c>
      <c r="T13" s="37">
        <f>IF(COUNTIF('ENTRY '!AH2:AH455,"v")=0,"",(COUNTIF('ENTRY '!AH2:AH455,"v")))</f>
      </c>
      <c r="U13" s="37">
        <f>IF(COUNTIF('ENTRY '!AI2:AI455,"v")=0,"",(COUNTIF('ENTRY '!AI2:AI455,"v")))</f>
      </c>
      <c r="V13" s="37">
        <f>IF(COUNTIF('ENTRY '!AJ2:AJ455,"v")=0,"",(COUNTIF('ENTRY '!AJ2:AJ455,"v")))</f>
        <v>1</v>
      </c>
      <c r="W13" s="37">
        <f>IF(COUNTIF('ENTRY '!AK2:AK455,"v")=0,"",(COUNTIF('ENTRY '!AK2:AK455,"v")))</f>
      </c>
      <c r="X13" s="37">
        <f>IF(COUNTIF('ENTRY '!AL2:AL455,"v")=0,"",(COUNTIF('ENTRY '!AL2:AL455,"v")))</f>
      </c>
      <c r="Y13" s="37">
        <f>IF(COUNTIF('ENTRY '!AM2:AM455,"v")=0,"",(COUNTIF('ENTRY '!AM2:AM455,"v")))</f>
      </c>
      <c r="Z13" s="37">
        <f>IF(COUNTIF('ENTRY '!AN2:AN455,"v")=0,"",(COUNTIF('ENTRY '!AN2:AN455,"v")))</f>
      </c>
      <c r="AA13" s="37">
        <f>IF(COUNTIF('ENTRY '!AO2:AO455,"v")=0,"",(COUNTIF('ENTRY '!AO2:AO455,"v")))</f>
      </c>
      <c r="AB13" s="37">
        <f>IF(COUNTIF('ENTRY '!AP2:AP455,"v")=0,"",(COUNTIF('ENTRY '!AP2:AP455,"v")))</f>
      </c>
      <c r="AC13" s="37">
        <f>IF(COUNTIF('ENTRY '!AQ2:AQ455,"v")=0,"",(COUNTIF('ENTRY '!AQ2:AQ455,"v")))</f>
      </c>
      <c r="AD13" s="37">
        <f>IF(COUNTIF('ENTRY '!AR2:AR455,"v")=0,"",(COUNTIF('ENTRY '!AR2:AR455,"v")))</f>
      </c>
      <c r="AE13" s="37">
        <f>IF(COUNTIF('ENTRY '!AS2:AS455,"v")=0,"",(COUNTIF('ENTRY '!AS2:AS455,"v")))</f>
      </c>
      <c r="AF13" s="37">
        <f>IF(COUNTIF('ENTRY '!AT2:AT455,"v")=0,"",(COUNTIF('ENTRY '!AT2:AT455,"v")))</f>
        <v>1</v>
      </c>
      <c r="AG13" s="37">
        <f>IF(COUNTIF('ENTRY '!AU2:AU455,"v")=0,"",(COUNTIF('ENTRY '!AU2:AU455,"v")))</f>
      </c>
      <c r="AH13" s="37">
        <f>IF(COUNTIF('ENTRY '!AV2:AV455,"v")=0,"",(COUNTIF('ENTRY '!AV2:AV455,"v")))</f>
      </c>
      <c r="AI13" s="37">
        <f>IF(COUNTIF('ENTRY '!AW2:AW455,"v")=0,"",(COUNTIF('ENTRY '!AW2:AW455,"v")))</f>
      </c>
      <c r="AJ13" s="37">
        <f>IF(COUNTIF('ENTRY '!AX2:AX455,"v")=0,"",(COUNTIF('ENTRY '!AX2:AX455,"v")))</f>
      </c>
      <c r="AK13" s="37">
        <f>IF(COUNTIF('ENTRY '!AY2:AY455,"v")=0,"",(COUNTIF('ENTRY '!AY2:AY455,"v")))</f>
      </c>
      <c r="AL13" s="37">
        <f>IF(COUNTIF('ENTRY '!AZ2:AZ455,"v")=0,"",(COUNTIF('ENTRY '!AZ2:AZ455,"v")))</f>
      </c>
      <c r="AM13" s="37">
        <f>IF(COUNTIF('ENTRY '!BA2:BA455,"v")=0,"",(COUNTIF('ENTRY '!BA2:BA455,"v")))</f>
      </c>
      <c r="AN13" s="37">
        <f>IF(COUNTIF('ENTRY '!BB2:BB455,"v")=0,"",(COUNTIF('ENTRY '!BB2:BB455,"v")))</f>
      </c>
      <c r="AO13" s="37">
        <f>IF(COUNTIF('ENTRY '!BC2:BC455,"v")=0,"",(COUNTIF('ENTRY '!BC2:BC455,"v")))</f>
      </c>
      <c r="AP13" s="37">
        <f>IF(COUNTIF('ENTRY '!BD2:BD455,"v")=0,"",(COUNTIF('ENTRY '!BD2:BD455,"v")))</f>
      </c>
      <c r="AQ13" s="37">
        <f>IF(COUNTIF('ENTRY '!BE2:BE455,"v")=0,"",(COUNTIF('ENTRY '!BE2:BE455,"v")))</f>
      </c>
      <c r="AR13" s="37">
        <f>IF(COUNTIF('ENTRY '!BF2:BF455,"v")=0,"",(COUNTIF('ENTRY '!BF2:BF455,"v")))</f>
      </c>
      <c r="AS13" s="37">
        <f>IF(COUNTIF('ENTRY '!BG2:BG455,"v")=0,"",(COUNTIF('ENTRY '!BG2:BG455,"v")))</f>
      </c>
      <c r="AT13" s="37">
        <f>IF(COUNTIF('ENTRY '!BH2:BH455,"v")=0,"",(COUNTIF('ENTRY '!BH2:BH455,"v")))</f>
      </c>
      <c r="AU13" s="37">
        <f>IF(COUNTIF('ENTRY '!BI2:BI455,"v")=0,"",(COUNTIF('ENTRY '!BI2:BI455,"v")))</f>
      </c>
      <c r="AV13" s="37">
        <f>IF(COUNTIF('ENTRY '!BJ2:BJ455,"v")=0,"",(COUNTIF('ENTRY '!BJ2:BJ455,"v")))</f>
      </c>
      <c r="AW13" s="37">
        <f>IF(COUNTIF('ENTRY '!BK2:BK455,"v")=0,"",(COUNTIF('ENTRY '!BK2:BK455,"v")))</f>
      </c>
      <c r="AX13" s="37">
        <f>IF(COUNTIF('ENTRY '!BL2:BL455,"v")=0,"",(COUNTIF('ENTRY '!BL2:BL455,"v")))</f>
      </c>
      <c r="AY13" s="37">
        <f>IF(COUNTIF('ENTRY '!BM2:BM455,"v")=0,"",(COUNTIF('ENTRY '!BM2:BM455,"v")))</f>
      </c>
      <c r="AZ13" s="37">
        <f>IF(COUNTIF('ENTRY '!BN2:BN455,"v")=0,"",(COUNTIF('ENTRY '!BN2:BN455,"v")))</f>
      </c>
      <c r="BA13" s="37">
        <f>IF(COUNTIF('ENTRY '!BO2:BO455,"v")=0,"",(COUNTIF('ENTRY '!BO2:BO455,"v")))</f>
      </c>
      <c r="BB13" s="37">
        <f>IF(COUNTIF('ENTRY '!BP2:BP455,"v")=0,"",(COUNTIF('ENTRY '!BP2:BP455,"v")))</f>
      </c>
      <c r="BC13" s="37">
        <f>IF(COUNTIF('ENTRY '!BQ2:BQ455,"v")=0,"",(COUNTIF('ENTRY '!BQ2:BQ455,"v")))</f>
      </c>
      <c r="BD13" s="37">
        <f>IF(COUNTIF('ENTRY '!BR2:BR455,"v")=0,"",(COUNTIF('ENTRY '!BR2:BR455,"v")))</f>
        <v>4</v>
      </c>
      <c r="BE13" s="37">
        <f>IF(COUNTIF('ENTRY '!BS2:BS455,"v")=0,"",(COUNTIF('ENTRY '!BS2:BS455,"v")))</f>
      </c>
      <c r="BF13" s="37">
        <f>IF(COUNTIF('ENTRY '!BT2:BT455,"v")=0,"",(COUNTIF('ENTRY '!BT2:BT455,"v")))</f>
      </c>
      <c r="BG13" s="37">
        <f>IF(COUNTIF('ENTRY '!BU2:BU455,"v")=0,"",(COUNTIF('ENTRY '!BU2:BU455,"v")))</f>
      </c>
      <c r="BH13" s="37">
        <f>IF(COUNTIF('ENTRY '!BV2:BV455,"v")=0,"",(COUNTIF('ENTRY '!BV2:BV455,"v")))</f>
      </c>
      <c r="BI13" s="37">
        <f>IF(COUNTIF('ENTRY '!BW2:BW455,"v")=0,"",(COUNTIF('ENTRY '!BW2:BW455,"v")))</f>
      </c>
      <c r="BJ13" s="37">
        <f>IF(COUNTIF('ENTRY '!BX2:BX455,"v")=0,"",(COUNTIF('ENTRY '!BX2:BX455,"v")))</f>
      </c>
      <c r="BK13" s="37">
        <f>IF(COUNTIF('ENTRY '!BY2:BY455,"v")=0,"",(COUNTIF('ENTRY '!BY2:BY455,"v")))</f>
      </c>
      <c r="BL13" s="37">
        <f>IF(COUNTIF('ENTRY '!BZ2:BZ455,"v")=0,"",(COUNTIF('ENTRY '!BZ2:BZ455,"v")))</f>
      </c>
      <c r="BM13" s="37">
        <f>IF(COUNTIF('ENTRY '!CA2:CA455,"v")=0,"",(COUNTIF('ENTRY '!CA2:CA455,"v")))</f>
        <v>2</v>
      </c>
      <c r="BN13" s="37">
        <f>IF(COUNTIF('ENTRY '!CB2:CB455,"v")=0,"",(COUNTIF('ENTRY '!CB2:CB455,"v")))</f>
        <v>12</v>
      </c>
      <c r="BO13" s="37">
        <f>IF(COUNTIF('ENTRY '!CC2:CC455,"v")=0,"",(COUNTIF('ENTRY '!CC2:CC455,"v")))</f>
      </c>
      <c r="BP13" s="37">
        <f>IF(COUNTIF('ENTRY '!CD2:CD455,"v")=0,"",(COUNTIF('ENTRY '!CD2:CD455,"v")))</f>
      </c>
      <c r="BQ13" s="37">
        <f>IF(COUNTIF('ENTRY '!CE2:CE455,"v")=0,"",(COUNTIF('ENTRY '!CE2:CE455,"v")))</f>
      </c>
      <c r="BR13" s="37">
        <f>IF(COUNTIF('ENTRY '!CF2:CF455,"v")=0,"",(COUNTIF('ENTRY '!CF2:CF455,"v")))</f>
      </c>
      <c r="BS13" s="37">
        <f>IF(COUNTIF('ENTRY '!CG2:CG455,"v")=0,"",(COUNTIF('ENTRY '!CG2:CG455,"v")))</f>
        <v>4</v>
      </c>
      <c r="BT13" s="37">
        <f>IF(COUNTIF('ENTRY '!CH2:CH455,"v")=0,"",(COUNTIF('ENTRY '!CH2:CH455,"v")))</f>
      </c>
      <c r="BU13" s="37">
        <f>IF(COUNTIF('ENTRY '!CI2:CI455,"v")=0,"",(COUNTIF('ENTRY '!CI2:CI455,"v")))</f>
        <v>29</v>
      </c>
      <c r="BV13" s="37">
        <f>IF(COUNTIF('ENTRY '!CJ2:CJ455,"v")=0,"",(COUNTIF('ENTRY '!CJ2:CJ455,"v")))</f>
      </c>
      <c r="BW13" s="37">
        <f>IF(COUNTIF('ENTRY '!CK2:CK455,"v")=0,"",(COUNTIF('ENTRY '!CK2:CK455,"v")))</f>
      </c>
      <c r="BX13" s="37">
        <f>IF(COUNTIF('ENTRY '!CL2:CL455,"v")=0,"",(COUNTIF('ENTRY '!CL2:CL455,"v")))</f>
      </c>
      <c r="BY13" s="37">
        <f>IF(COUNTIF('ENTRY '!CM2:CM455,"v")=0,"",(COUNTIF('ENTRY '!CM2:CM455,"v")))</f>
      </c>
      <c r="BZ13" s="37">
        <f>IF(COUNTIF('ENTRY '!CN2:CN455,"v")=0,"",(COUNTIF('ENTRY '!CN2:CN455,"v")))</f>
      </c>
      <c r="CA13" s="37">
        <f>IF(COUNTIF('ENTRY '!CO2:CO455,"v")=0,"",(COUNTIF('ENTRY '!CO2:CO455,"v")))</f>
      </c>
      <c r="CB13" s="37">
        <f>IF(COUNTIF('ENTRY '!CP2:CP455,"v")=0,"",(COUNTIF('ENTRY '!CP2:CP455,"v")))</f>
        <v>9</v>
      </c>
      <c r="CC13" s="37">
        <f>IF(COUNTIF('ENTRY '!CQ2:CQ455,"v")=0,"",(COUNTIF('ENTRY '!CQ2:CQ455,"v")))</f>
      </c>
      <c r="CD13" s="37">
        <f>IF(COUNTIF('ENTRY '!CR2:CR455,"v")=0,"",(COUNTIF('ENTRY '!CR2:CR455,"v")))</f>
        <v>3</v>
      </c>
      <c r="CE13" s="37">
        <f>IF(COUNTIF('ENTRY '!CS2:CS455,"v")=0,"",(COUNTIF('ENTRY '!CS2:CS455,"v")))</f>
        <v>1</v>
      </c>
      <c r="CF13" s="37">
        <f>IF(COUNTIF('ENTRY '!CT2:CT455,"v")=0,"",(COUNTIF('ENTRY '!CT2:CT455,"v")))</f>
      </c>
      <c r="CG13" s="37">
        <f>IF(COUNTIF('ENTRY '!CU2:CU455,"v")=0,"",(COUNTIF('ENTRY '!CU2:CU455,"v")))</f>
      </c>
      <c r="CH13" s="37">
        <f>IF(COUNTIF('ENTRY '!CV2:CV455,"v")=0,"",(COUNTIF('ENTRY '!CV2:CV455,"v")))</f>
      </c>
      <c r="CI13" s="37">
        <f>IF(COUNTIF('ENTRY '!CW2:CW455,"v")=0,"",(COUNTIF('ENTRY '!CW2:CW455,"v")))</f>
        <v>14</v>
      </c>
      <c r="CJ13" s="37">
        <f>IF(COUNTIF('ENTRY '!CX2:CX455,"v")=0,"",(COUNTIF('ENTRY '!CX2:CX455,"v")))</f>
      </c>
      <c r="CK13" s="37">
        <f>IF(COUNTIF('ENTRY '!CY2:CY455,"v")=0,"",(COUNTIF('ENTRY '!CY2:CY455,"v")))</f>
      </c>
      <c r="CL13" s="37">
        <f>IF(COUNTIF('ENTRY '!CZ2:CZ455,"v")=0,"",(COUNTIF('ENTRY '!CZ2:CZ455,"v")))</f>
      </c>
      <c r="CM13" s="37">
        <f>IF(COUNTIF('ENTRY '!DA2:DA455,"v")=0,"",(COUNTIF('ENTRY '!DA2:DA455,"v")))</f>
      </c>
      <c r="CN13" s="37">
        <f>IF(COUNTIF('ENTRY '!DB2:DB455,"v")=0,"",(COUNTIF('ENTRY '!DB2:DB455,"v")))</f>
      </c>
      <c r="CO13" s="37">
        <f>IF(COUNTIF('ENTRY '!DC2:DC455,"v")=0,"",(COUNTIF('ENTRY '!DC2:DC455,"v")))</f>
      </c>
      <c r="CP13" s="37">
        <f>IF(COUNTIF('ENTRY '!DD2:DD455,"v")=0,"",(COUNTIF('ENTRY '!DD2:DD455,"v")))</f>
      </c>
      <c r="CQ13" s="37">
        <f>IF(COUNTIF('ENTRY '!DE2:DE455,"v")=0,"",(COUNTIF('ENTRY '!DE2:DE455,"v")))</f>
      </c>
      <c r="CR13" s="37">
        <f>IF(COUNTIF('ENTRY '!DF2:DF455,"v")=0,"",(COUNTIF('ENTRY '!DF2:DF455,"v")))</f>
      </c>
      <c r="CS13" s="37">
        <f>IF(COUNTIF('ENTRY '!DG2:DG455,"v")=0,"",(COUNTIF('ENTRY '!DG2:DG455,"v")))</f>
      </c>
      <c r="CT13" s="37">
        <f>IF(COUNTIF('ENTRY '!DH2:DH455,"v")=0,"",(COUNTIF('ENTRY '!DH2:DH455,"v")))</f>
      </c>
      <c r="CU13" s="37">
        <f>IF(COUNTIF('ENTRY '!DI2:DI455,"v")=0,"",(COUNTIF('ENTRY '!DI2:DI455,"v")))</f>
      </c>
      <c r="CV13" s="37">
        <f>IF(COUNTIF('ENTRY '!DJ2:DJ455,"v")=0,"",(COUNTIF('ENTRY '!DJ2:DJ455,"v")))</f>
      </c>
      <c r="CW13" s="37">
        <f>IF(COUNTIF('ENTRY '!DK2:DK455,"v")=0,"",(COUNTIF('ENTRY '!DK2:DK455,"v")))</f>
        <v>5</v>
      </c>
      <c r="CX13" s="37">
        <f>IF(COUNTIF('ENTRY '!DL2:DL455,"v")=0,"",(COUNTIF('ENTRY '!DL2:DL455,"v")))</f>
      </c>
      <c r="CY13" s="37">
        <f>IF(COUNTIF('ENTRY '!DM2:DM455,"v")=0,"",(COUNTIF('ENTRY '!DM2:DM455,"v")))</f>
      </c>
      <c r="CZ13" s="37">
        <f>IF(COUNTIF('ENTRY '!DN2:DN455,"v")=0,"",(COUNTIF('ENTRY '!DN2:DN455,"v")))</f>
      </c>
      <c r="DA13" s="37">
        <f>IF(COUNTIF('ENTRY '!DO2:DO455,"v")=0,"",(COUNTIF('ENTRY '!DO2:DO455,"v")))</f>
      </c>
      <c r="DB13" s="37">
        <f>IF(COUNTIF('ENTRY '!DP2:DP455,"v")=0,"",(COUNTIF('ENTRY '!DP2:DP455,"v")))</f>
      </c>
      <c r="DC13" s="37">
        <f>IF(COUNTIF('ENTRY '!DQ2:DQ455,"v")=0,"",(COUNTIF('ENTRY '!DQ2:DQ455,"v")))</f>
      </c>
      <c r="DD13" s="37">
        <f>IF(COUNTIF('ENTRY '!DR2:DR455,"v")=0,"",(COUNTIF('ENTRY '!DR2:DR455,"v")))</f>
      </c>
      <c r="DE13" s="37">
        <f>IF(COUNTIF('ENTRY '!DS2:DS455,"v")=0,"",(COUNTIF('ENTRY '!DS2:DS455,"v")))</f>
      </c>
      <c r="DF13" s="37">
        <f>IF(COUNTIF('ENTRY '!DT2:DT455,"v")=0,"",(COUNTIF('ENTRY '!DT2:DT455,"v")))</f>
        <v>1</v>
      </c>
      <c r="DG13" s="37">
        <f>IF(COUNTIF('ENTRY '!DU2:DU455,"v")=0,"",(COUNTIF('ENTRY '!DU2:DU455,"v")))</f>
      </c>
      <c r="DH13" s="37">
        <f>IF(COUNTIF('ENTRY '!DV2:DV455,"v")=0,"",(COUNTIF('ENTRY '!DV2:DV455,"v")))</f>
      </c>
      <c r="DI13" s="37">
        <f>IF(COUNTIF('ENTRY '!DW2:DW455,"v")=0,"",(COUNTIF('ENTRY '!DW2:DW455,"v")))</f>
      </c>
      <c r="DJ13" s="37">
        <f>IF(COUNTIF('ENTRY '!DX2:DX455,"v")=0,"",(COUNTIF('ENTRY '!DX2:DX455,"v")))</f>
        <v>2</v>
      </c>
      <c r="DK13" s="37">
        <f>IF(COUNTIF('ENTRY '!DY2:DY455,"v")=0,"",(COUNTIF('ENTRY '!DY2:DY455,"v")))</f>
      </c>
      <c r="DL13" s="37">
        <f>IF(COUNTIF('ENTRY '!DZ2:DZ455,"v")=0,"",(COUNTIF('ENTRY '!DZ2:DZ455,"v")))</f>
      </c>
      <c r="DM13" s="37">
        <f>IF(COUNTIF('ENTRY '!EA2:EA455,"v")=0,"",(COUNTIF('ENTRY '!EA2:EA455,"v")))</f>
      </c>
      <c r="DN13" s="37">
        <f>IF(COUNTIF('ENTRY '!EB2:EB455,"v")=0,"",(COUNTIF('ENTRY '!EB2:EB455,"v")))</f>
      </c>
      <c r="DO13" s="37">
        <f>IF(COUNTIF('ENTRY '!EC2:EC455,"v")=0,"",(COUNTIF('ENTRY '!EC2:EC455,"v")))</f>
      </c>
      <c r="DP13" s="37">
        <f>IF(COUNTIF('ENTRY '!ED2:ED455,"v")=0,"",(COUNTIF('ENTRY '!ED2:ED455,"v")))</f>
      </c>
      <c r="DQ13" s="37">
        <f>IF(COUNTIF('ENTRY '!EE2:EE455,"v")=0,"",(COUNTIF('ENTRY '!EE2:EE455,"v")))</f>
      </c>
      <c r="DR13" s="37">
        <f>IF(COUNTIF('ENTRY '!EF2:EF455,"v")=0,"",(COUNTIF('ENTRY '!EF2:EF455,"v")))</f>
      </c>
      <c r="DS13" s="37">
        <f>IF(COUNTIF('ENTRY '!EG2:EG455,"v")=0,"",(COUNTIF('ENTRY '!EG2:EG455,"v")))</f>
      </c>
      <c r="DT13" s="37">
        <f>IF(COUNTIF('ENTRY '!EH2:EH455,"v")=0,"",(COUNTIF('ENTRY '!EH2:EH455,"v")))</f>
      </c>
      <c r="DU13" s="37">
        <f>IF(COUNTIF('ENTRY '!EI2:EI455,"v")=0,"",(COUNTIF('ENTRY '!EI2:EI455,"v")))</f>
      </c>
      <c r="DV13" s="37">
        <f>IF(COUNTIF('ENTRY '!EJ2:EJ455,"v")=0,"",(COUNTIF('ENTRY '!EJ2:EJ455,"v")))</f>
      </c>
      <c r="DW13" s="37">
        <f>IF(COUNTIF('ENTRY '!EK2:EK455,"v")=0,"",(COUNTIF('ENTRY '!EK2:EK455,"v")))</f>
      </c>
      <c r="DX13" s="37">
        <f>IF(COUNTIF('ENTRY '!EL2:EL455,"v")=0,"",(COUNTIF('ENTRY '!EL2:EL455,"v")))</f>
      </c>
      <c r="DY13" s="37">
        <f>IF(COUNTIF('ENTRY '!EM2:EM455,"v")=0,"",(COUNTIF('ENTRY '!EM2:EM455,"v")))</f>
      </c>
      <c r="DZ13" s="37">
        <f>IF(COUNTIF('ENTRY '!EN2:EN455,"v")=0,"",(COUNTIF('ENTRY '!EN2:EN455,"v")))</f>
      </c>
      <c r="EA13" s="37">
        <f>IF(COUNTIF('ENTRY '!EO2:EO455,"v")=0,"",(COUNTIF('ENTRY '!EO2:EO455,"v")))</f>
      </c>
      <c r="EB13" s="37">
        <f>IF(COUNTIF('ENTRY '!EP2:EP455,"v")=0,"",(COUNTIF('ENTRY '!EP2:EP455,"v")))</f>
      </c>
      <c r="EC13" s="37">
        <f>IF(COUNTIF('ENTRY '!EQ2:EQ455,"v")=0,"",(COUNTIF('ENTRY '!EQ2:EQ455,"v")))</f>
      </c>
      <c r="ED13" s="37">
        <f>IF(COUNTIF('ENTRY '!ER2:ER455,"v")=0,"",(COUNTIF('ENTRY '!ER2:ER455,"v")))</f>
      </c>
      <c r="EE13" s="37">
        <f>IF(COUNTIF('ENTRY '!ES2:ES455,"v")=0,"",(COUNTIF('ENTRY '!ES2:ES455,"v")))</f>
      </c>
      <c r="EF13" s="37">
        <f>IF(COUNTIF('ENTRY '!ET2:ET455,"v")=0,"",(COUNTIF('ENTRY '!ET2:ET455,"v")))</f>
      </c>
      <c r="EG13" s="37">
        <f>IF(COUNTIF('ENTRY '!EU2:EU455,"v")=0,"",(COUNTIF('ENTRY '!EU2:EU455,"v")))</f>
      </c>
      <c r="EH13" s="37">
        <f>IF(COUNTIF('ENTRY '!EV2:EV455,"v")=0,"",(COUNTIF('ENTRY '!EV2:EV455,"v")))</f>
      </c>
      <c r="EI13" s="37">
        <f>IF(COUNTIF('ENTRY '!EW2:EW455,"v")=0,"",(COUNTIF('ENTRY '!EW2:EW455,"v")))</f>
      </c>
      <c r="EJ13" s="37">
        <f>IF(COUNTIF('ENTRY '!EX2:EX455,"v")=0,"",(COUNTIF('ENTRY '!EX2:EX455,"v")))</f>
      </c>
      <c r="EK13" s="37">
        <f>IF(COUNTIF('ENTRY '!EY2:EY455,"v")=0,"",(COUNTIF('ENTRY '!EY2:EY455,"v")))</f>
      </c>
      <c r="EL13" s="37">
        <f>IF(COUNTIF('ENTRY '!EZ2:EZ455,"v")=0,"",(COUNTIF('ENTRY '!EZ2:EZ455,"v")))</f>
      </c>
      <c r="EM13" s="37">
        <f>IF(COUNTIF('ENTRY '!FA2:FA455,"v")=0,"",(COUNTIF('ENTRY '!FA2:FA455,"v")))</f>
      </c>
      <c r="EN13" s="37">
        <f>IF(COUNTIF('ENTRY '!FB2:FB455,"v")=0,"",(COUNTIF('ENTRY '!FB2:FB455,"v")))</f>
      </c>
      <c r="EO13" s="37">
        <f>IF(COUNTIF('ENTRY '!FC2:FC455,"v")=0,"",(COUNTIF('ENTRY '!FC2:FC455,"v")))</f>
      </c>
      <c r="EP13" s="37">
        <f>IF(COUNTIF('ENTRY '!FD2:FD455,"v")=0,"",(COUNTIF('ENTRY '!FD2:FD455,"v")))</f>
      </c>
      <c r="EQ13" s="37">
        <f>IF(COUNTIF('ENTRY '!FE2:FE455,"v")=0,"",(COUNTIF('ENTRY '!FE2:FE455,"v")))</f>
        <v>1</v>
      </c>
      <c r="ER13" s="37">
        <f>IF(COUNTIF('ENTRY '!FF2:FF455,"v")=0,"",(COUNTIF('ENTRY '!FF2:FF455,"v")))</f>
      </c>
      <c r="ES13" s="37">
        <f>IF(COUNTIF('ENTRY '!FG2:FG455,"v")=0,"",(COUNTIF('ENTRY '!FG2:FG455,"v")))</f>
      </c>
      <c r="ET13" s="37">
        <f>IF(COUNTIF('ENTRY '!FH2:FH455,"v")=0,"",(COUNTIF('ENTRY '!FH2:FH455,"v")))</f>
      </c>
      <c r="EU13" s="37">
        <f>IF(COUNTIF('ENTRY '!FI2:FI455,"v")=0,"",(COUNTIF('ENTRY '!FI2:FI455,"v")))</f>
      </c>
      <c r="EV13" s="37">
        <f>IF(COUNTIF('ENTRY '!FJ2:FJ455,"v")=0,"",(COUNTIF('ENTRY '!FJ2:FJ455,"v")))</f>
      </c>
      <c r="EW13" s="37">
        <f>IF(COUNTIF('ENTRY '!FK2:FK455,"v")=0,"",(COUNTIF('ENTRY '!FK2:FK455,"v")))</f>
      </c>
      <c r="EX13" s="37">
        <f>IF(COUNTIF('ENTRY '!FL2:FL455,"v")=0,"",(COUNTIF('ENTRY '!FL2:FL455,"v")))</f>
      </c>
      <c r="EY13" s="37">
        <f>IF(COUNTIF('ENTRY '!FM2:FM455,"v")=0,"",(COUNTIF('ENTRY '!FM2:FM455,"v")))</f>
      </c>
    </row>
    <row r="14" spans="2:155" s="68" customFormat="1" ht="12.75">
      <c r="B14" s="69" t="s">
        <v>36</v>
      </c>
      <c r="C14" s="67"/>
      <c r="D14" s="19">
        <f aca="true" t="shared" si="18" ref="D14:AI14">IF((OR(D12&lt;&gt;"",D13&lt;&gt;"")),"present","")</f>
      </c>
      <c r="E14" s="19">
        <f t="shared" si="18"/>
      </c>
      <c r="F14" s="19">
        <f t="shared" si="18"/>
      </c>
      <c r="G14" s="19">
        <f t="shared" si="18"/>
      </c>
      <c r="H14" s="19" t="str">
        <f t="shared" si="18"/>
        <v>present</v>
      </c>
      <c r="I14" s="19">
        <f t="shared" si="18"/>
      </c>
      <c r="J14" s="19" t="str">
        <f t="shared" si="18"/>
        <v>present</v>
      </c>
      <c r="K14" s="19">
        <f t="shared" si="18"/>
      </c>
      <c r="L14" s="19">
        <f t="shared" si="18"/>
      </c>
      <c r="M14" s="19">
        <f t="shared" si="18"/>
      </c>
      <c r="N14" s="19">
        <f t="shared" si="18"/>
      </c>
      <c r="O14" s="19">
        <f t="shared" si="18"/>
      </c>
      <c r="P14" s="19">
        <f t="shared" si="18"/>
      </c>
      <c r="Q14" s="19">
        <f t="shared" si="18"/>
      </c>
      <c r="R14" s="19">
        <f t="shared" si="18"/>
      </c>
      <c r="S14" s="19" t="str">
        <f t="shared" si="18"/>
        <v>present</v>
      </c>
      <c r="T14" s="19">
        <f t="shared" si="18"/>
      </c>
      <c r="U14" s="19">
        <f t="shared" si="18"/>
      </c>
      <c r="V14" s="19" t="str">
        <f t="shared" si="18"/>
        <v>present</v>
      </c>
      <c r="W14" s="19">
        <f t="shared" si="18"/>
      </c>
      <c r="X14" s="19">
        <f t="shared" si="18"/>
      </c>
      <c r="Y14" s="19" t="str">
        <f t="shared" si="18"/>
        <v>present</v>
      </c>
      <c r="Z14" s="19">
        <f t="shared" si="18"/>
      </c>
      <c r="AA14" s="19" t="str">
        <f t="shared" si="18"/>
        <v>present</v>
      </c>
      <c r="AB14" s="19">
        <f t="shared" si="18"/>
      </c>
      <c r="AC14" s="19">
        <f t="shared" si="18"/>
      </c>
      <c r="AD14" s="19">
        <f t="shared" si="18"/>
      </c>
      <c r="AE14" s="19">
        <f t="shared" si="18"/>
      </c>
      <c r="AF14" s="19" t="str">
        <f t="shared" si="18"/>
        <v>present</v>
      </c>
      <c r="AG14" s="19">
        <f t="shared" si="18"/>
      </c>
      <c r="AH14" s="19">
        <f t="shared" si="18"/>
      </c>
      <c r="AI14" s="19">
        <f t="shared" si="18"/>
      </c>
      <c r="AJ14" s="19">
        <f aca="true" t="shared" si="19" ref="AJ14:BO14">IF((OR(AJ12&lt;&gt;"",AJ13&lt;&gt;"")),"present","")</f>
      </c>
      <c r="AK14" s="19">
        <f t="shared" si="19"/>
      </c>
      <c r="AL14" s="19">
        <f t="shared" si="19"/>
      </c>
      <c r="AM14" s="19">
        <f t="shared" si="19"/>
      </c>
      <c r="AN14" s="19">
        <f t="shared" si="19"/>
      </c>
      <c r="AO14" s="19" t="str">
        <f t="shared" si="19"/>
        <v>present</v>
      </c>
      <c r="AP14" s="19">
        <f t="shared" si="19"/>
      </c>
      <c r="AQ14" s="19">
        <f t="shared" si="19"/>
      </c>
      <c r="AR14" s="19">
        <f t="shared" si="19"/>
      </c>
      <c r="AS14" s="19">
        <f t="shared" si="19"/>
      </c>
      <c r="AT14" s="19">
        <f t="shared" si="19"/>
      </c>
      <c r="AU14" s="19">
        <f t="shared" si="19"/>
      </c>
      <c r="AV14" s="19">
        <f t="shared" si="19"/>
      </c>
      <c r="AW14" s="19">
        <f t="shared" si="19"/>
      </c>
      <c r="AX14" s="19">
        <f t="shared" si="19"/>
      </c>
      <c r="AY14" s="19">
        <f t="shared" si="19"/>
      </c>
      <c r="AZ14" s="19">
        <f t="shared" si="19"/>
      </c>
      <c r="BA14" s="19" t="str">
        <f t="shared" si="19"/>
        <v>present</v>
      </c>
      <c r="BB14" s="19" t="str">
        <f t="shared" si="19"/>
        <v>present</v>
      </c>
      <c r="BC14" s="19">
        <f t="shared" si="19"/>
      </c>
      <c r="BD14" s="19" t="str">
        <f t="shared" si="19"/>
        <v>present</v>
      </c>
      <c r="BE14" s="19">
        <f t="shared" si="19"/>
      </c>
      <c r="BF14" s="19" t="str">
        <f t="shared" si="19"/>
        <v>present</v>
      </c>
      <c r="BG14" s="19">
        <f t="shared" si="19"/>
      </c>
      <c r="BH14" s="19">
        <f t="shared" si="19"/>
      </c>
      <c r="BI14" s="19">
        <f t="shared" si="19"/>
      </c>
      <c r="BJ14" s="19">
        <f t="shared" si="19"/>
      </c>
      <c r="BK14" s="19">
        <f t="shared" si="19"/>
      </c>
      <c r="BL14" s="19">
        <f t="shared" si="19"/>
      </c>
      <c r="BM14" s="19" t="str">
        <f t="shared" si="19"/>
        <v>present</v>
      </c>
      <c r="BN14" s="19" t="str">
        <f t="shared" si="19"/>
        <v>present</v>
      </c>
      <c r="BO14" s="19">
        <f t="shared" si="19"/>
      </c>
      <c r="BP14" s="19">
        <f aca="true" t="shared" si="20" ref="BP14:CU14">IF((OR(BP12&lt;&gt;"",BP13&lt;&gt;"")),"present","")</f>
      </c>
      <c r="BQ14" s="19">
        <f t="shared" si="20"/>
      </c>
      <c r="BR14" s="19">
        <f t="shared" si="20"/>
      </c>
      <c r="BS14" s="19" t="str">
        <f t="shared" si="20"/>
        <v>present</v>
      </c>
      <c r="BT14" s="19">
        <f t="shared" si="20"/>
      </c>
      <c r="BU14" s="19" t="str">
        <f t="shared" si="20"/>
        <v>present</v>
      </c>
      <c r="BV14" s="19">
        <f t="shared" si="20"/>
      </c>
      <c r="BW14" s="19">
        <f t="shared" si="20"/>
      </c>
      <c r="BX14" s="19">
        <f t="shared" si="20"/>
      </c>
      <c r="BY14" s="19">
        <f t="shared" si="20"/>
      </c>
      <c r="BZ14" s="19">
        <f t="shared" si="20"/>
      </c>
      <c r="CA14" s="19">
        <f t="shared" si="20"/>
      </c>
      <c r="CB14" s="19" t="str">
        <f t="shared" si="20"/>
        <v>present</v>
      </c>
      <c r="CC14" s="19">
        <f t="shared" si="20"/>
      </c>
      <c r="CD14" s="19" t="str">
        <f t="shared" si="20"/>
        <v>present</v>
      </c>
      <c r="CE14" s="19" t="str">
        <f t="shared" si="20"/>
        <v>present</v>
      </c>
      <c r="CF14" s="19">
        <f t="shared" si="20"/>
      </c>
      <c r="CG14" s="19">
        <f t="shared" si="20"/>
      </c>
      <c r="CH14" s="19">
        <f t="shared" si="20"/>
      </c>
      <c r="CI14" s="19" t="str">
        <f t="shared" si="20"/>
        <v>present</v>
      </c>
      <c r="CJ14" s="19">
        <f t="shared" si="20"/>
      </c>
      <c r="CK14" s="19" t="str">
        <f t="shared" si="20"/>
        <v>present</v>
      </c>
      <c r="CL14" s="19">
        <f t="shared" si="20"/>
      </c>
      <c r="CM14" s="19" t="str">
        <f t="shared" si="20"/>
        <v>present</v>
      </c>
      <c r="CN14" s="19">
        <f t="shared" si="20"/>
      </c>
      <c r="CO14" s="19">
        <f t="shared" si="20"/>
      </c>
      <c r="CP14" s="19">
        <f t="shared" si="20"/>
      </c>
      <c r="CQ14" s="19" t="str">
        <f t="shared" si="20"/>
        <v>present</v>
      </c>
      <c r="CR14" s="19">
        <f t="shared" si="20"/>
      </c>
      <c r="CS14" s="19">
        <f t="shared" si="20"/>
      </c>
      <c r="CT14" s="19">
        <f t="shared" si="20"/>
      </c>
      <c r="CU14" s="19">
        <f t="shared" si="20"/>
      </c>
      <c r="CV14" s="19">
        <f aca="true" t="shared" si="21" ref="CV14:EA14">IF((OR(CV12&lt;&gt;"",CV13&lt;&gt;"")),"present","")</f>
      </c>
      <c r="CW14" s="19" t="str">
        <f t="shared" si="21"/>
        <v>present</v>
      </c>
      <c r="CX14" s="19">
        <f t="shared" si="21"/>
      </c>
      <c r="CY14" s="19">
        <f t="shared" si="21"/>
      </c>
      <c r="CZ14" s="19">
        <f t="shared" si="21"/>
      </c>
      <c r="DA14" s="19">
        <f t="shared" si="21"/>
      </c>
      <c r="DB14" s="19">
        <f t="shared" si="21"/>
      </c>
      <c r="DC14" s="19">
        <f t="shared" si="21"/>
      </c>
      <c r="DD14" s="19">
        <f t="shared" si="21"/>
      </c>
      <c r="DE14" s="19">
        <f t="shared" si="21"/>
      </c>
      <c r="DF14" s="19" t="str">
        <f t="shared" si="21"/>
        <v>present</v>
      </c>
      <c r="DG14" s="19">
        <f t="shared" si="21"/>
      </c>
      <c r="DH14" s="19">
        <f t="shared" si="21"/>
      </c>
      <c r="DI14" s="19">
        <f t="shared" si="21"/>
      </c>
      <c r="DJ14" s="19" t="str">
        <f t="shared" si="21"/>
        <v>present</v>
      </c>
      <c r="DK14" s="19">
        <f t="shared" si="21"/>
      </c>
      <c r="DL14" s="19">
        <f t="shared" si="21"/>
      </c>
      <c r="DM14" s="19">
        <f t="shared" si="21"/>
      </c>
      <c r="DN14" s="19">
        <f t="shared" si="21"/>
      </c>
      <c r="DO14" s="19">
        <f t="shared" si="21"/>
      </c>
      <c r="DP14" s="19">
        <f t="shared" si="21"/>
      </c>
      <c r="DQ14" s="19">
        <f t="shared" si="21"/>
      </c>
      <c r="DR14" s="19">
        <f t="shared" si="21"/>
      </c>
      <c r="DS14" s="19">
        <f t="shared" si="21"/>
      </c>
      <c r="DT14" s="19">
        <f t="shared" si="21"/>
      </c>
      <c r="DU14" s="19">
        <f t="shared" si="21"/>
      </c>
      <c r="DV14" s="19">
        <f t="shared" si="21"/>
      </c>
      <c r="DW14" s="19">
        <f t="shared" si="21"/>
      </c>
      <c r="DX14" s="19">
        <f t="shared" si="21"/>
      </c>
      <c r="DY14" s="19">
        <f t="shared" si="21"/>
      </c>
      <c r="DZ14" s="19">
        <f t="shared" si="21"/>
      </c>
      <c r="EA14" s="19">
        <f t="shared" si="21"/>
      </c>
      <c r="EB14" s="19">
        <f aca="true" t="shared" si="22" ref="EB14:EY14">IF((OR(EB12&lt;&gt;"",EB13&lt;&gt;"")),"present","")</f>
      </c>
      <c r="EC14" s="19" t="str">
        <f t="shared" si="22"/>
        <v>present</v>
      </c>
      <c r="ED14" s="19">
        <f t="shared" si="22"/>
      </c>
      <c r="EE14" s="19" t="str">
        <f t="shared" si="22"/>
        <v>present</v>
      </c>
      <c r="EF14" s="19">
        <f t="shared" si="22"/>
      </c>
      <c r="EG14" s="19">
        <f t="shared" si="22"/>
      </c>
      <c r="EH14" s="19">
        <f t="shared" si="22"/>
      </c>
      <c r="EI14" s="19">
        <f t="shared" si="22"/>
      </c>
      <c r="EJ14" s="19">
        <f t="shared" si="22"/>
      </c>
      <c r="EK14" s="19">
        <f t="shared" si="22"/>
      </c>
      <c r="EL14" s="19" t="str">
        <f t="shared" si="22"/>
        <v>present</v>
      </c>
      <c r="EM14" s="19">
        <f t="shared" si="22"/>
      </c>
      <c r="EN14" s="19">
        <f t="shared" si="22"/>
      </c>
      <c r="EO14" s="19">
        <f t="shared" si="22"/>
      </c>
      <c r="EP14" s="19">
        <f t="shared" si="22"/>
      </c>
      <c r="EQ14" s="19" t="str">
        <f t="shared" si="22"/>
        <v>present</v>
      </c>
      <c r="ER14" s="19">
        <f t="shared" si="22"/>
      </c>
      <c r="ES14" s="19">
        <f t="shared" si="22"/>
      </c>
      <c r="ET14" s="19">
        <f t="shared" si="22"/>
      </c>
      <c r="EU14" s="19">
        <f t="shared" si="22"/>
      </c>
      <c r="EV14" s="19">
        <f t="shared" si="22"/>
      </c>
      <c r="EW14" s="19">
        <f t="shared" si="22"/>
      </c>
      <c r="EX14" s="19">
        <f t="shared" si="22"/>
      </c>
      <c r="EY14" s="19">
        <f t="shared" si="22"/>
      </c>
    </row>
    <row r="15" spans="2:153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2:153" ht="18">
      <c r="B16" s="15" t="s">
        <v>24</v>
      </c>
      <c r="C16" s="74"/>
      <c r="D16" s="30"/>
      <c r="E16" s="31"/>
      <c r="F16" s="25"/>
      <c r="G16" s="25"/>
      <c r="H16" s="25"/>
      <c r="I16" s="25"/>
      <c r="J16" s="55"/>
      <c r="K16" s="55"/>
      <c r="L16" s="55"/>
      <c r="M16" s="55"/>
      <c r="N16" s="5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</row>
    <row r="17" spans="2:153" ht="12.75">
      <c r="B17" s="11" t="s">
        <v>321</v>
      </c>
      <c r="C17" s="41">
        <f>IF(SUM('ENTRY '!M2:M455)=0,"",COUNT('ENTRY '!M2:M455))</f>
        <v>453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</row>
    <row r="18" spans="2:153" ht="12.75">
      <c r="B18" s="1" t="s">
        <v>51</v>
      </c>
      <c r="C18" s="41">
        <f>IF(SUM('ENTRY '!G2:G455)=0,"",COUNT('ENTRY '!G2:G455))</f>
        <v>228</v>
      </c>
      <c r="D18" s="33"/>
      <c r="E18" s="3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</row>
    <row r="19" spans="2:153" ht="12.75">
      <c r="B19" s="1" t="s">
        <v>52</v>
      </c>
      <c r="C19" s="41">
        <f>IF(SUM('ENTRY '!H2:H455)=0,"",SUM('ENTRY '!H2:H455))</f>
        <v>444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2:153" ht="12.75">
      <c r="B20" s="9" t="s">
        <v>20</v>
      </c>
      <c r="C20" s="42">
        <f>IF(C19="","",(C18/C19)*100)</f>
        <v>51.35135135135135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</row>
    <row r="21" spans="2:153" ht="12.75">
      <c r="B21" s="1" t="s">
        <v>3</v>
      </c>
      <c r="C21" s="42">
        <f>IF(C10="","",(1-C10))</f>
        <v>0.9061910424098296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</row>
    <row r="22" spans="2:153" ht="15" customHeight="1">
      <c r="B22" s="1" t="s">
        <v>269</v>
      </c>
      <c r="C22" s="42">
        <f>IF(SUM('ENTRY '!G2:G455)=0,"",MAX('ENTRY '!G2:G455))</f>
        <v>21.5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</row>
    <row r="23" spans="2:153" ht="12.75">
      <c r="B23" s="1" t="s">
        <v>53</v>
      </c>
      <c r="C23" s="43">
        <f>IF($C$17="","",COUNTIF('ENTRY '!O2:O455,"R"))</f>
        <v>13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2:153" ht="12.75">
      <c r="B24" s="1" t="s">
        <v>27</v>
      </c>
      <c r="C24" s="43">
        <f>IF($C$17="","",COUNTIF('ENTRY '!O2:O455,"P"))</f>
        <v>440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</row>
    <row r="25" spans="2:153" ht="12.75">
      <c r="B25" s="1" t="s">
        <v>32</v>
      </c>
      <c r="C25" s="44">
        <f>IF($C$17="","",(IF(SUM('ENTRY '!E2:E455)=0,"",AVERAGE('ENTRY '!E2:E455))))</f>
        <v>0.9797297297297297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</row>
    <row r="26" spans="2:153" ht="12.75">
      <c r="B26" s="1" t="s">
        <v>54</v>
      </c>
      <c r="C26" s="44">
        <f>IF(SUM('ENTRY '!C2:C455)=0,"",AVERAGE('ENTRY '!C2:C455))</f>
        <v>1.9078947368421053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</row>
    <row r="27" spans="2:153" ht="12.75">
      <c r="B27" s="1" t="s">
        <v>28</v>
      </c>
      <c r="C27" s="44">
        <f>IF(SUM('ENTRY '!F2:F455)=0,"",AVERAGE('ENTRY '!F2:F455))</f>
        <v>0.9797297297297297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2:153" ht="12.75">
      <c r="B28" s="1" t="s">
        <v>55</v>
      </c>
      <c r="C28" s="44">
        <f>IF(SUM('ENTRY '!D2:D455)=0,"",AVERAGE('ENTRY '!D2:D455))</f>
        <v>1.9078947368421053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</row>
    <row r="29" spans="2:153" ht="12.75">
      <c r="B29" s="1" t="s">
        <v>34</v>
      </c>
      <c r="C29" s="41">
        <f>IF(SUM(D7:EK7,EQ7:EY7)=0,"",COUNT(D7:EK7,EQ7:EY7))</f>
        <v>27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2:153" ht="12.75">
      <c r="B30" s="1" t="s">
        <v>33</v>
      </c>
      <c r="C30" s="41">
        <f>IF($C$17="","",SUM((COUNTIF(D14:EK14,"present")),(COUNTIF(EQ14:EY14,"present"))))</f>
        <v>29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</row>
    <row r="31" spans="2:153" ht="12.75">
      <c r="B31" s="1" t="s">
        <v>470</v>
      </c>
      <c r="C31" s="4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</row>
    <row r="32" spans="2:153" ht="15" customHeight="1">
      <c r="B32" s="1" t="s">
        <v>468</v>
      </c>
      <c r="C32" s="42">
        <f>IF(SUM('ENTRY '!G2:G455)=0,"",AVERAGE('ENTRY '!G2:G455))</f>
        <v>5.675438596491228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</row>
    <row r="33" spans="2:153" ht="15" customHeight="1">
      <c r="B33" s="1" t="s">
        <v>469</v>
      </c>
      <c r="C33" s="42">
        <f>IF(SUM('ENTRY '!G2:G455)=0,"",MEDIAN('ENTRY '!G2:G455))</f>
        <v>5.5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4" spans="2:3" ht="12.75">
      <c r="B34" s="1" t="s">
        <v>474</v>
      </c>
      <c r="C34" s="42">
        <f>IF(C17="","",AVERAGE('ENTRY '!Q2:Q477))</f>
        <v>1.4736842105263157</v>
      </c>
    </row>
    <row r="35" ht="15.75">
      <c r="B35" s="85" t="s">
        <v>268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1" sqref="C61"/>
    </sheetView>
  </sheetViews>
  <sheetFormatPr defaultColWidth="5.7109375" defaultRowHeight="12.75"/>
  <cols>
    <col min="1" max="1" width="13.140625" style="218" customWidth="1"/>
    <col min="2" max="2" width="77.140625" style="218" bestFit="1" customWidth="1"/>
    <col min="3" max="3" width="10.28125" style="254" bestFit="1" customWidth="1"/>
    <col min="4" max="39" width="6.7109375" style="218" customWidth="1"/>
    <col min="40" max="40" width="5.7109375" style="218" customWidth="1"/>
    <col min="41" max="16384" width="5.7109375" style="222" customWidth="1"/>
  </cols>
  <sheetData>
    <row r="1" spans="1:42" s="206" customFormat="1" ht="138" customHeight="1">
      <c r="A1" s="202"/>
      <c r="B1" s="203" t="s">
        <v>14</v>
      </c>
      <c r="C1" s="204" t="s">
        <v>12</v>
      </c>
      <c r="D1" s="205" t="s">
        <v>473</v>
      </c>
      <c r="E1" s="205" t="s">
        <v>333</v>
      </c>
      <c r="F1" s="205" t="s">
        <v>475</v>
      </c>
      <c r="G1" s="205" t="s">
        <v>344</v>
      </c>
      <c r="H1" s="205" t="s">
        <v>347</v>
      </c>
      <c r="I1" s="205" t="s">
        <v>349</v>
      </c>
      <c r="J1" s="205" t="s">
        <v>354</v>
      </c>
      <c r="K1" s="205" t="s">
        <v>363</v>
      </c>
      <c r="L1" s="205" t="s">
        <v>375</v>
      </c>
      <c r="M1" s="205" t="s">
        <v>376</v>
      </c>
      <c r="N1" s="205" t="s">
        <v>378</v>
      </c>
      <c r="O1" s="205" t="s">
        <v>380</v>
      </c>
      <c r="P1" s="205" t="s">
        <v>387</v>
      </c>
      <c r="Q1" s="205" t="s">
        <v>388</v>
      </c>
      <c r="R1" s="205" t="s">
        <v>393</v>
      </c>
      <c r="S1" s="205" t="s">
        <v>395</v>
      </c>
      <c r="T1" s="205" t="s">
        <v>402</v>
      </c>
      <c r="U1" s="205" t="s">
        <v>404</v>
      </c>
      <c r="V1" s="205" t="s">
        <v>405</v>
      </c>
      <c r="W1" s="205" t="s">
        <v>409</v>
      </c>
      <c r="X1" s="205" t="s">
        <v>411</v>
      </c>
      <c r="Y1" s="205" t="s">
        <v>413</v>
      </c>
      <c r="Z1" s="205" t="s">
        <v>417</v>
      </c>
      <c r="AA1" s="205" t="s">
        <v>423</v>
      </c>
      <c r="AB1" s="205" t="s">
        <v>432</v>
      </c>
      <c r="AC1" s="205" t="s">
        <v>436</v>
      </c>
      <c r="AD1" s="205" t="s">
        <v>455</v>
      </c>
      <c r="AE1" s="205" t="s">
        <v>457</v>
      </c>
      <c r="AF1" s="205" t="s">
        <v>319</v>
      </c>
      <c r="AG1" s="205" t="s">
        <v>484</v>
      </c>
      <c r="AH1" s="205" t="s">
        <v>50</v>
      </c>
      <c r="AI1" s="205" t="s">
        <v>5</v>
      </c>
      <c r="AJ1" s="205" t="s">
        <v>6</v>
      </c>
      <c r="AK1" s="205" t="s">
        <v>7</v>
      </c>
      <c r="AL1" s="205" t="s">
        <v>8</v>
      </c>
      <c r="AM1" s="205" t="s">
        <v>9</v>
      </c>
      <c r="AN1" s="205" t="s">
        <v>10</v>
      </c>
      <c r="AO1" s="205" t="s">
        <v>11</v>
      </c>
      <c r="AP1" s="205"/>
    </row>
    <row r="2" spans="1:41" s="206" customFormat="1" ht="12.75" customHeight="1">
      <c r="A2" s="207" t="s">
        <v>48</v>
      </c>
      <c r="B2" s="208" t="s">
        <v>477</v>
      </c>
      <c r="C2" s="209"/>
      <c r="D2" s="210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10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1:41" s="206" customFormat="1" ht="12.75" customHeight="1">
      <c r="A3" s="207" t="s">
        <v>25</v>
      </c>
      <c r="B3" s="208" t="s">
        <v>478</v>
      </c>
      <c r="C3" s="209"/>
      <c r="D3" s="210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10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s="206" customFormat="1" ht="12.75" customHeight="1">
      <c r="A4" s="207" t="s">
        <v>26</v>
      </c>
      <c r="B4" s="208">
        <v>2435800</v>
      </c>
      <c r="C4" s="209"/>
      <c r="D4" s="210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10"/>
      <c r="AG4" s="205"/>
      <c r="AH4" s="205"/>
      <c r="AI4" s="205"/>
      <c r="AJ4" s="205"/>
      <c r="AK4" s="205"/>
      <c r="AL4" s="205"/>
      <c r="AM4" s="205"/>
      <c r="AN4" s="205"/>
      <c r="AO4" s="205"/>
    </row>
    <row r="5" spans="1:41" s="206" customFormat="1" ht="12.75" customHeight="1">
      <c r="A5" s="211" t="s">
        <v>39</v>
      </c>
      <c r="B5" s="212" t="s">
        <v>552</v>
      </c>
      <c r="C5" s="209"/>
      <c r="D5" s="210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10"/>
      <c r="AG5" s="205"/>
      <c r="AH5" s="205"/>
      <c r="AI5" s="205"/>
      <c r="AJ5" s="205"/>
      <c r="AK5" s="205"/>
      <c r="AL5" s="205"/>
      <c r="AM5" s="205"/>
      <c r="AN5" s="205"/>
      <c r="AO5" s="205"/>
    </row>
    <row r="6" spans="2:41" s="206" customFormat="1" ht="15" customHeight="1">
      <c r="B6" s="213" t="s">
        <v>23</v>
      </c>
      <c r="C6" s="209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4"/>
      <c r="AG6" s="217"/>
      <c r="AH6" s="217"/>
      <c r="AI6" s="217"/>
      <c r="AJ6" s="217"/>
      <c r="AK6" s="217"/>
      <c r="AL6" s="217"/>
      <c r="AM6" s="217"/>
      <c r="AN6" s="217"/>
      <c r="AO6" s="217"/>
    </row>
    <row r="7" spans="2:41" ht="12.75">
      <c r="B7" s="219" t="s">
        <v>56</v>
      </c>
      <c r="C7" s="220"/>
      <c r="D7" s="221">
        <v>1</v>
      </c>
      <c r="E7" s="221">
        <v>12</v>
      </c>
      <c r="F7" s="221">
        <v>35</v>
      </c>
      <c r="G7" s="221" t="s">
        <v>550</v>
      </c>
      <c r="H7" s="221">
        <v>5</v>
      </c>
      <c r="I7" s="221">
        <v>1</v>
      </c>
      <c r="J7" s="221">
        <v>8</v>
      </c>
      <c r="K7" s="221">
        <v>6</v>
      </c>
      <c r="L7" s="221">
        <v>1</v>
      </c>
      <c r="M7" s="221">
        <v>13</v>
      </c>
      <c r="N7" s="221">
        <v>76</v>
      </c>
      <c r="O7" s="221">
        <v>23</v>
      </c>
      <c r="P7" s="221">
        <v>3</v>
      </c>
      <c r="Q7" s="221">
        <v>29</v>
      </c>
      <c r="R7" s="221">
        <v>1</v>
      </c>
      <c r="S7" s="221">
        <v>43</v>
      </c>
      <c r="T7" s="221">
        <v>24</v>
      </c>
      <c r="U7" s="221">
        <v>2</v>
      </c>
      <c r="V7" s="221">
        <v>5</v>
      </c>
      <c r="W7" s="221">
        <v>20</v>
      </c>
      <c r="X7" s="221">
        <v>1</v>
      </c>
      <c r="Y7" s="221">
        <v>67</v>
      </c>
      <c r="Z7" s="221">
        <v>1</v>
      </c>
      <c r="AA7" s="221">
        <v>38</v>
      </c>
      <c r="AB7" s="221">
        <v>3</v>
      </c>
      <c r="AC7" s="221">
        <v>1</v>
      </c>
      <c r="AD7" s="221">
        <v>7</v>
      </c>
      <c r="AE7" s="221">
        <v>9</v>
      </c>
      <c r="AF7" s="221">
        <v>1</v>
      </c>
      <c r="AG7" s="221" t="s">
        <v>550</v>
      </c>
      <c r="AH7" s="221" t="s">
        <v>550</v>
      </c>
      <c r="AI7" s="221" t="s">
        <v>550</v>
      </c>
      <c r="AJ7" s="221" t="s">
        <v>550</v>
      </c>
      <c r="AK7" s="221" t="s">
        <v>550</v>
      </c>
      <c r="AL7" s="221" t="s">
        <v>550</v>
      </c>
      <c r="AM7" s="221" t="s">
        <v>550</v>
      </c>
      <c r="AN7" s="221" t="s">
        <v>550</v>
      </c>
      <c r="AO7" s="221" t="s">
        <v>550</v>
      </c>
    </row>
    <row r="8" spans="1:41" s="227" customFormat="1" ht="12.75" customHeight="1">
      <c r="A8" s="223"/>
      <c r="B8" s="224" t="s">
        <v>1</v>
      </c>
      <c r="C8" s="225"/>
      <c r="D8" s="226">
        <v>0.22988505747126434</v>
      </c>
      <c r="E8" s="226">
        <v>2.758620689655172</v>
      </c>
      <c r="F8" s="226">
        <v>8.045977011494251</v>
      </c>
      <c r="G8" s="226" t="s">
        <v>550</v>
      </c>
      <c r="H8" s="226">
        <v>1.1494252873563218</v>
      </c>
      <c r="I8" s="226">
        <v>0.22988505747126434</v>
      </c>
      <c r="J8" s="226">
        <v>1.8390804597701147</v>
      </c>
      <c r="K8" s="226">
        <v>1.379310344827586</v>
      </c>
      <c r="L8" s="226">
        <v>0.22988505747126434</v>
      </c>
      <c r="M8" s="226">
        <v>2.9885057471264362</v>
      </c>
      <c r="N8" s="226">
        <v>17.47126436781609</v>
      </c>
      <c r="O8" s="226">
        <v>5.28735632183908</v>
      </c>
      <c r="P8" s="226">
        <v>0.689655172413793</v>
      </c>
      <c r="Q8" s="226">
        <v>6.666666666666665</v>
      </c>
      <c r="R8" s="226">
        <v>0.22988505747126434</v>
      </c>
      <c r="S8" s="226">
        <v>9.885057471264368</v>
      </c>
      <c r="T8" s="226">
        <v>5.517241379310344</v>
      </c>
      <c r="U8" s="226">
        <v>0.4597701149425287</v>
      </c>
      <c r="V8" s="226">
        <v>1.1494252873563218</v>
      </c>
      <c r="W8" s="226">
        <v>4.597701149425287</v>
      </c>
      <c r="X8" s="226">
        <v>0.22988505747126434</v>
      </c>
      <c r="Y8" s="226">
        <v>15.402298850574713</v>
      </c>
      <c r="Z8" s="226">
        <v>0.22988505747126434</v>
      </c>
      <c r="AA8" s="226">
        <v>8.735632183908045</v>
      </c>
      <c r="AB8" s="226">
        <v>0.689655172413793</v>
      </c>
      <c r="AC8" s="226">
        <v>0.22988505747126434</v>
      </c>
      <c r="AD8" s="226">
        <v>1.6091954022988504</v>
      </c>
      <c r="AE8" s="226">
        <v>2.0689655172413794</v>
      </c>
      <c r="AF8" s="226"/>
      <c r="AG8" s="226" t="s">
        <v>550</v>
      </c>
      <c r="AH8" s="226" t="s">
        <v>550</v>
      </c>
      <c r="AI8" s="226" t="s">
        <v>550</v>
      </c>
      <c r="AJ8" s="226" t="s">
        <v>550</v>
      </c>
      <c r="AK8" s="226" t="s">
        <v>550</v>
      </c>
      <c r="AL8" s="226" t="s">
        <v>550</v>
      </c>
      <c r="AM8" s="226" t="s">
        <v>550</v>
      </c>
      <c r="AN8" s="226" t="s">
        <v>550</v>
      </c>
      <c r="AO8" s="226" t="s">
        <v>550</v>
      </c>
    </row>
    <row r="9" spans="1:41" s="230" customFormat="1" ht="12.75" customHeight="1">
      <c r="A9" s="228"/>
      <c r="B9" s="228" t="s">
        <v>13</v>
      </c>
      <c r="C9" s="225"/>
      <c r="D9" s="229">
        <v>0.43859649122807015</v>
      </c>
      <c r="E9" s="229">
        <v>5.263157894736842</v>
      </c>
      <c r="F9" s="229">
        <v>15.350877192982457</v>
      </c>
      <c r="G9" s="229" t="s">
        <v>550</v>
      </c>
      <c r="H9" s="229">
        <v>2.1929824561403506</v>
      </c>
      <c r="I9" s="229">
        <v>0.43859649122807015</v>
      </c>
      <c r="J9" s="229">
        <v>3.508771929824561</v>
      </c>
      <c r="K9" s="229">
        <v>2.631578947368421</v>
      </c>
      <c r="L9" s="229">
        <v>0.43859649122807015</v>
      </c>
      <c r="M9" s="229">
        <v>5.701754385964912</v>
      </c>
      <c r="N9" s="229">
        <v>33.33333333333333</v>
      </c>
      <c r="O9" s="229">
        <v>10.087719298245613</v>
      </c>
      <c r="P9" s="229">
        <v>1.3157894736842104</v>
      </c>
      <c r="Q9" s="229">
        <v>12.719298245614036</v>
      </c>
      <c r="R9" s="229">
        <v>0.43859649122807015</v>
      </c>
      <c r="S9" s="229">
        <v>18.859649122807017</v>
      </c>
      <c r="T9" s="229">
        <v>10.526315789473683</v>
      </c>
      <c r="U9" s="229">
        <v>0.8771929824561403</v>
      </c>
      <c r="V9" s="229">
        <v>2.1929824561403506</v>
      </c>
      <c r="W9" s="229">
        <v>8.771929824561402</v>
      </c>
      <c r="X9" s="229">
        <v>0.43859649122807015</v>
      </c>
      <c r="Y9" s="229">
        <v>29.385964912280706</v>
      </c>
      <c r="Z9" s="229">
        <v>0.43859649122807015</v>
      </c>
      <c r="AA9" s="229">
        <v>16.666666666666664</v>
      </c>
      <c r="AB9" s="229">
        <v>1.3157894736842104</v>
      </c>
      <c r="AC9" s="229">
        <v>0.43859649122807015</v>
      </c>
      <c r="AD9" s="229">
        <v>3.070175438596491</v>
      </c>
      <c r="AE9" s="229">
        <v>3.9473684210526314</v>
      </c>
      <c r="AF9" s="229">
        <v>0.43859649122807015</v>
      </c>
      <c r="AG9" s="229" t="s">
        <v>550</v>
      </c>
      <c r="AH9" s="229" t="s">
        <v>550</v>
      </c>
      <c r="AI9" s="229" t="s">
        <v>550</v>
      </c>
      <c r="AJ9" s="229" t="s">
        <v>550</v>
      </c>
      <c r="AK9" s="229" t="s">
        <v>550</v>
      </c>
      <c r="AL9" s="229" t="s">
        <v>550</v>
      </c>
      <c r="AM9" s="229" t="s">
        <v>550</v>
      </c>
      <c r="AN9" s="229" t="s">
        <v>550</v>
      </c>
      <c r="AO9" s="229" t="s">
        <v>550</v>
      </c>
    </row>
    <row r="10" spans="1:41" s="230" customFormat="1" ht="11.25" customHeight="1">
      <c r="A10" s="228"/>
      <c r="B10" s="228" t="s">
        <v>20</v>
      </c>
      <c r="C10" s="231"/>
      <c r="D10" s="229">
        <v>0.22522522522522523</v>
      </c>
      <c r="E10" s="229">
        <v>2.7027027027027026</v>
      </c>
      <c r="F10" s="229">
        <v>7.882882882882883</v>
      </c>
      <c r="G10" s="229" t="s">
        <v>550</v>
      </c>
      <c r="H10" s="229">
        <v>1.1261261261261262</v>
      </c>
      <c r="I10" s="229">
        <v>0.22522522522522523</v>
      </c>
      <c r="J10" s="229">
        <v>1.8018018018018018</v>
      </c>
      <c r="K10" s="229">
        <v>1.3513513513513513</v>
      </c>
      <c r="L10" s="229">
        <v>0.22522522522522523</v>
      </c>
      <c r="M10" s="229">
        <v>2.9279279279279278</v>
      </c>
      <c r="N10" s="229">
        <v>17.117117117117118</v>
      </c>
      <c r="O10" s="229">
        <v>5.18018018018018</v>
      </c>
      <c r="P10" s="229">
        <v>0.6756756756756757</v>
      </c>
      <c r="Q10" s="229">
        <v>6.531531531531531</v>
      </c>
      <c r="R10" s="229">
        <v>0.22522522522522523</v>
      </c>
      <c r="S10" s="229">
        <v>9.684684684684685</v>
      </c>
      <c r="T10" s="229">
        <v>5.405405405405405</v>
      </c>
      <c r="U10" s="229">
        <v>0.45045045045045046</v>
      </c>
      <c r="V10" s="229">
        <v>1.1261261261261262</v>
      </c>
      <c r="W10" s="229">
        <v>4.504504504504505</v>
      </c>
      <c r="X10" s="229">
        <v>0.22522522522522523</v>
      </c>
      <c r="Y10" s="229">
        <v>15.090090090090092</v>
      </c>
      <c r="Z10" s="229">
        <v>0.22522522522522523</v>
      </c>
      <c r="AA10" s="229">
        <v>8.558558558558559</v>
      </c>
      <c r="AB10" s="229">
        <v>0.6756756756756757</v>
      </c>
      <c r="AC10" s="229">
        <v>0.22522522522522523</v>
      </c>
      <c r="AD10" s="229">
        <v>1.5765765765765765</v>
      </c>
      <c r="AE10" s="229">
        <v>2.027027027027027</v>
      </c>
      <c r="AF10" s="229">
        <v>0.22522522522522523</v>
      </c>
      <c r="AG10" s="229" t="s">
        <v>550</v>
      </c>
      <c r="AH10" s="229" t="s">
        <v>550</v>
      </c>
      <c r="AI10" s="229" t="s">
        <v>550</v>
      </c>
      <c r="AJ10" s="229" t="s">
        <v>550</v>
      </c>
      <c r="AK10" s="229" t="s">
        <v>550</v>
      </c>
      <c r="AL10" s="229" t="s">
        <v>550</v>
      </c>
      <c r="AM10" s="229" t="s">
        <v>550</v>
      </c>
      <c r="AN10" s="229" t="s">
        <v>550</v>
      </c>
      <c r="AO10" s="229" t="s">
        <v>550</v>
      </c>
    </row>
    <row r="11" spans="1:41" s="233" customFormat="1" ht="12.75">
      <c r="A11" s="232"/>
      <c r="B11" s="228" t="s">
        <v>37</v>
      </c>
      <c r="C11" s="220">
        <v>1.4736842105263157</v>
      </c>
      <c r="D11" s="220">
        <v>1</v>
      </c>
      <c r="E11" s="220">
        <v>1.5833333333333333</v>
      </c>
      <c r="F11" s="220">
        <v>1.0857142857142856</v>
      </c>
      <c r="G11" s="220" t="s">
        <v>550</v>
      </c>
      <c r="H11" s="220">
        <v>1.2</v>
      </c>
      <c r="I11" s="220">
        <v>1</v>
      </c>
      <c r="J11" s="220">
        <v>1.625</v>
      </c>
      <c r="K11" s="220">
        <v>1.6666666666666667</v>
      </c>
      <c r="L11" s="220">
        <v>1</v>
      </c>
      <c r="M11" s="220">
        <v>1.5384615384615385</v>
      </c>
      <c r="N11" s="220">
        <v>1.144736842105263</v>
      </c>
      <c r="O11" s="220">
        <v>1.2608695652173914</v>
      </c>
      <c r="P11" s="220">
        <v>1.3333333333333333</v>
      </c>
      <c r="Q11" s="220">
        <v>1.206896551724138</v>
      </c>
      <c r="R11" s="220">
        <v>1</v>
      </c>
      <c r="S11" s="220">
        <v>1.302325581395349</v>
      </c>
      <c r="T11" s="220">
        <v>1.0416666666666667</v>
      </c>
      <c r="U11" s="220">
        <v>1.5</v>
      </c>
      <c r="V11" s="220">
        <v>1</v>
      </c>
      <c r="W11" s="220">
        <v>1.15</v>
      </c>
      <c r="X11" s="220">
        <v>1</v>
      </c>
      <c r="Y11" s="220">
        <v>1.5820895522388059</v>
      </c>
      <c r="Z11" s="220">
        <v>1</v>
      </c>
      <c r="AA11" s="220">
        <v>1.131578947368421</v>
      </c>
      <c r="AB11" s="220">
        <v>2.3333333333333335</v>
      </c>
      <c r="AC11" s="220">
        <v>1</v>
      </c>
      <c r="AD11" s="220">
        <v>2.142857142857143</v>
      </c>
      <c r="AE11" s="220">
        <v>1.1111111111111112</v>
      </c>
      <c r="AF11" s="220">
        <v>1</v>
      </c>
      <c r="AG11" s="220" t="s">
        <v>550</v>
      </c>
      <c r="AH11" s="220" t="s">
        <v>550</v>
      </c>
      <c r="AI11" s="220" t="s">
        <v>550</v>
      </c>
      <c r="AJ11" s="220" t="s">
        <v>550</v>
      </c>
      <c r="AK11" s="220" t="s">
        <v>550</v>
      </c>
      <c r="AL11" s="220" t="s">
        <v>550</v>
      </c>
      <c r="AM11" s="220" t="s">
        <v>550</v>
      </c>
      <c r="AN11" s="220" t="s">
        <v>550</v>
      </c>
      <c r="AO11" s="220" t="s">
        <v>550</v>
      </c>
    </row>
    <row r="12" spans="1:41" s="237" customFormat="1" ht="12.75">
      <c r="A12" s="234"/>
      <c r="B12" s="235" t="s">
        <v>35</v>
      </c>
      <c r="C12" s="236"/>
      <c r="D12" s="236" t="s">
        <v>550</v>
      </c>
      <c r="E12" s="236">
        <v>8</v>
      </c>
      <c r="F12" s="236" t="s">
        <v>550</v>
      </c>
      <c r="G12" s="236">
        <v>1</v>
      </c>
      <c r="H12" s="236" t="s">
        <v>550</v>
      </c>
      <c r="I12" s="236" t="s">
        <v>550</v>
      </c>
      <c r="J12" s="236">
        <v>1</v>
      </c>
      <c r="K12" s="236" t="s">
        <v>550</v>
      </c>
      <c r="L12" s="236" t="s">
        <v>550</v>
      </c>
      <c r="M12" s="236" t="s">
        <v>550</v>
      </c>
      <c r="N12" s="236">
        <v>4</v>
      </c>
      <c r="O12" s="236" t="s">
        <v>550</v>
      </c>
      <c r="P12" s="236">
        <v>2</v>
      </c>
      <c r="Q12" s="236">
        <v>12</v>
      </c>
      <c r="R12" s="236">
        <v>4</v>
      </c>
      <c r="S12" s="236">
        <v>29</v>
      </c>
      <c r="T12" s="236">
        <v>9</v>
      </c>
      <c r="U12" s="236">
        <v>3</v>
      </c>
      <c r="V12" s="236">
        <v>1</v>
      </c>
      <c r="W12" s="236">
        <v>14</v>
      </c>
      <c r="X12" s="236" t="s">
        <v>550</v>
      </c>
      <c r="Y12" s="236" t="s">
        <v>550</v>
      </c>
      <c r="Z12" s="236" t="s">
        <v>550</v>
      </c>
      <c r="AA12" s="236">
        <v>5</v>
      </c>
      <c r="AB12" s="236">
        <v>1</v>
      </c>
      <c r="AC12" s="236">
        <v>2</v>
      </c>
      <c r="AD12" s="236" t="s">
        <v>550</v>
      </c>
      <c r="AE12" s="236" t="s">
        <v>550</v>
      </c>
      <c r="AF12" s="236" t="s">
        <v>550</v>
      </c>
      <c r="AG12" s="236">
        <v>1</v>
      </c>
      <c r="AH12" s="236" t="s">
        <v>550</v>
      </c>
      <c r="AI12" s="236" t="s">
        <v>550</v>
      </c>
      <c r="AJ12" s="236" t="s">
        <v>550</v>
      </c>
      <c r="AK12" s="236" t="s">
        <v>550</v>
      </c>
      <c r="AL12" s="236" t="s">
        <v>550</v>
      </c>
      <c r="AM12" s="236" t="s">
        <v>550</v>
      </c>
      <c r="AN12" s="236" t="s">
        <v>550</v>
      </c>
      <c r="AO12" s="236" t="s">
        <v>550</v>
      </c>
    </row>
    <row r="13" spans="1:41" s="233" customFormat="1" ht="12.75">
      <c r="A13" s="232"/>
      <c r="B13" s="232" t="s">
        <v>2</v>
      </c>
      <c r="C13" s="220">
        <v>0.09380895759017041</v>
      </c>
      <c r="D13" s="229">
        <v>5.284713964856651E-06</v>
      </c>
      <c r="E13" s="229">
        <v>0.0007609988109393577</v>
      </c>
      <c r="F13" s="229">
        <v>0.006473774606949397</v>
      </c>
      <c r="G13" s="229" t="s">
        <v>550</v>
      </c>
      <c r="H13" s="229">
        <v>0.00013211784912141628</v>
      </c>
      <c r="I13" s="229">
        <v>5.284713964856651E-06</v>
      </c>
      <c r="J13" s="229">
        <v>0.00033822169375082565</v>
      </c>
      <c r="K13" s="229">
        <v>0.00019024970273483942</v>
      </c>
      <c r="L13" s="229">
        <v>5.284713964856651E-06</v>
      </c>
      <c r="M13" s="229">
        <v>0.0008931166600607738</v>
      </c>
      <c r="N13" s="229">
        <v>0.030524507861012018</v>
      </c>
      <c r="O13" s="229">
        <v>0.0027956136874091684</v>
      </c>
      <c r="P13" s="229">
        <v>4.7562425683709856E-05</v>
      </c>
      <c r="Q13" s="229">
        <v>0.004444444444444442</v>
      </c>
      <c r="R13" s="229">
        <v>5.284713964856651E-06</v>
      </c>
      <c r="S13" s="229">
        <v>0.00977143612101995</v>
      </c>
      <c r="T13" s="229">
        <v>0.0030439952437574308</v>
      </c>
      <c r="U13" s="229">
        <v>2.1138855859426603E-05</v>
      </c>
      <c r="V13" s="229">
        <v>0.00013211784912141628</v>
      </c>
      <c r="W13" s="229">
        <v>0.0021138855859426605</v>
      </c>
      <c r="X13" s="229">
        <v>5.284713964856651E-06</v>
      </c>
      <c r="Y13" s="229">
        <v>0.02372308098824151</v>
      </c>
      <c r="Z13" s="229">
        <v>5.284713964856651E-06</v>
      </c>
      <c r="AA13" s="229">
        <v>0.0076311269652530045</v>
      </c>
      <c r="AB13" s="229">
        <v>4.7562425683709856E-05</v>
      </c>
      <c r="AC13" s="229">
        <v>5.284713964856651E-06</v>
      </c>
      <c r="AD13" s="229">
        <v>0.0002589509842779759</v>
      </c>
      <c r="AE13" s="229">
        <v>0.0004280618311533889</v>
      </c>
      <c r="AF13" s="229"/>
      <c r="AG13" s="229" t="s">
        <v>550</v>
      </c>
      <c r="AH13" s="229" t="s">
        <v>550</v>
      </c>
      <c r="AI13" s="229" t="s">
        <v>550</v>
      </c>
      <c r="AJ13" s="229" t="s">
        <v>550</v>
      </c>
      <c r="AK13" s="229" t="s">
        <v>550</v>
      </c>
      <c r="AL13" s="229" t="s">
        <v>550</v>
      </c>
      <c r="AM13" s="229" t="s">
        <v>550</v>
      </c>
      <c r="AN13" s="229" t="s">
        <v>550</v>
      </c>
      <c r="AO13" s="229" t="s">
        <v>550</v>
      </c>
    </row>
    <row r="14" spans="2:41" s="237" customFormat="1" ht="12.75">
      <c r="B14" s="238" t="s">
        <v>36</v>
      </c>
      <c r="C14" s="239"/>
      <c r="D14" s="229" t="s">
        <v>551</v>
      </c>
      <c r="E14" s="229" t="s">
        <v>551</v>
      </c>
      <c r="F14" s="229" t="s">
        <v>551</v>
      </c>
      <c r="G14" s="229" t="s">
        <v>551</v>
      </c>
      <c r="H14" s="229" t="s">
        <v>551</v>
      </c>
      <c r="I14" s="229" t="s">
        <v>551</v>
      </c>
      <c r="J14" s="229" t="s">
        <v>551</v>
      </c>
      <c r="K14" s="229" t="s">
        <v>551</v>
      </c>
      <c r="L14" s="229" t="s">
        <v>551</v>
      </c>
      <c r="M14" s="229" t="s">
        <v>551</v>
      </c>
      <c r="N14" s="229" t="s">
        <v>551</v>
      </c>
      <c r="O14" s="229" t="s">
        <v>551</v>
      </c>
      <c r="P14" s="229" t="s">
        <v>551</v>
      </c>
      <c r="Q14" s="229" t="s">
        <v>551</v>
      </c>
      <c r="R14" s="229" t="s">
        <v>551</v>
      </c>
      <c r="S14" s="229" t="s">
        <v>551</v>
      </c>
      <c r="T14" s="229" t="s">
        <v>551</v>
      </c>
      <c r="U14" s="229" t="s">
        <v>551</v>
      </c>
      <c r="V14" s="229" t="s">
        <v>551</v>
      </c>
      <c r="W14" s="229" t="s">
        <v>551</v>
      </c>
      <c r="X14" s="229" t="s">
        <v>551</v>
      </c>
      <c r="Y14" s="229" t="s">
        <v>551</v>
      </c>
      <c r="Z14" s="229" t="s">
        <v>551</v>
      </c>
      <c r="AA14" s="229" t="s">
        <v>551</v>
      </c>
      <c r="AB14" s="229" t="s">
        <v>551</v>
      </c>
      <c r="AC14" s="229" t="s">
        <v>551</v>
      </c>
      <c r="AD14" s="229" t="s">
        <v>551</v>
      </c>
      <c r="AE14" s="229" t="s">
        <v>551</v>
      </c>
      <c r="AF14" s="229" t="s">
        <v>551</v>
      </c>
      <c r="AG14" s="229" t="s">
        <v>551</v>
      </c>
      <c r="AH14" s="229" t="s">
        <v>550</v>
      </c>
      <c r="AI14" s="229" t="s">
        <v>550</v>
      </c>
      <c r="AJ14" s="229" t="s">
        <v>550</v>
      </c>
      <c r="AK14" s="229" t="s">
        <v>550</v>
      </c>
      <c r="AL14" s="229" t="s">
        <v>550</v>
      </c>
      <c r="AM14" s="229" t="s">
        <v>550</v>
      </c>
      <c r="AN14" s="229" t="s">
        <v>550</v>
      </c>
      <c r="AO14" s="229" t="s">
        <v>550</v>
      </c>
    </row>
    <row r="15" spans="2:39" s="240" customFormat="1" ht="12.75">
      <c r="B15" s="241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</row>
    <row r="16" spans="2:39" ht="18.75">
      <c r="B16" s="244" t="s">
        <v>24</v>
      </c>
      <c r="C16" s="245"/>
      <c r="D16" s="222"/>
      <c r="E16" s="24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</row>
    <row r="17" spans="2:42" s="218" customFormat="1" ht="12.75">
      <c r="B17" s="246" t="s">
        <v>321</v>
      </c>
      <c r="C17" s="247">
        <v>453</v>
      </c>
      <c r="D17" s="222"/>
      <c r="E17" s="222"/>
      <c r="F17" s="222"/>
      <c r="G17" s="222" t="s">
        <v>56</v>
      </c>
      <c r="H17" s="222" t="s">
        <v>1</v>
      </c>
      <c r="I17" s="222" t="s">
        <v>13</v>
      </c>
      <c r="J17" s="222" t="s">
        <v>20</v>
      </c>
      <c r="K17" s="222" t="s">
        <v>37</v>
      </c>
      <c r="L17" s="222" t="s">
        <v>35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O17" s="222"/>
      <c r="AP17" s="222"/>
    </row>
    <row r="18" spans="2:42" s="218" customFormat="1" ht="12.75">
      <c r="B18" s="219" t="s">
        <v>51</v>
      </c>
      <c r="C18" s="247">
        <v>228</v>
      </c>
      <c r="D18" s="222"/>
      <c r="E18" s="248" t="s">
        <v>128</v>
      </c>
      <c r="F18" s="222" t="s">
        <v>302</v>
      </c>
      <c r="G18" s="222">
        <v>76</v>
      </c>
      <c r="H18" s="233">
        <v>17.47126436781609</v>
      </c>
      <c r="I18" s="233">
        <v>33.33333333333333</v>
      </c>
      <c r="J18" s="233">
        <v>17.117117117117118</v>
      </c>
      <c r="K18" s="233">
        <v>1.144736842105263</v>
      </c>
      <c r="L18" s="222">
        <v>4</v>
      </c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O18" s="222"/>
      <c r="AP18" s="222"/>
    </row>
    <row r="19" spans="2:42" s="218" customFormat="1" ht="12.75">
      <c r="B19" s="219" t="s">
        <v>52</v>
      </c>
      <c r="C19" s="247">
        <v>444</v>
      </c>
      <c r="D19" s="222"/>
      <c r="E19" s="249" t="s">
        <v>180</v>
      </c>
      <c r="F19" s="218" t="s">
        <v>305</v>
      </c>
      <c r="G19" s="218">
        <v>67</v>
      </c>
      <c r="H19" s="232">
        <v>15.402298850574713</v>
      </c>
      <c r="I19" s="232">
        <v>29.385964912280706</v>
      </c>
      <c r="J19" s="232">
        <v>15.090090090090092</v>
      </c>
      <c r="K19" s="232">
        <v>1.5820895522388059</v>
      </c>
      <c r="L19" s="218">
        <v>0</v>
      </c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O19" s="222"/>
      <c r="AP19" s="222"/>
    </row>
    <row r="20" spans="2:42" s="218" customFormat="1" ht="12.75">
      <c r="B20" s="224" t="s">
        <v>20</v>
      </c>
      <c r="C20" s="225">
        <v>51.35135135135135</v>
      </c>
      <c r="D20" s="222"/>
      <c r="E20" s="248" t="s">
        <v>152</v>
      </c>
      <c r="F20" s="222" t="s">
        <v>153</v>
      </c>
      <c r="G20" s="222">
        <v>43</v>
      </c>
      <c r="H20" s="233">
        <v>9.885057471264368</v>
      </c>
      <c r="I20" s="233">
        <v>18.859649122807017</v>
      </c>
      <c r="J20" s="233">
        <v>9.684684684684685</v>
      </c>
      <c r="K20" s="233">
        <v>1.302325581395349</v>
      </c>
      <c r="L20" s="222">
        <v>29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O20" s="222"/>
      <c r="AP20" s="222"/>
    </row>
    <row r="21" spans="2:42" s="218" customFormat="1" ht="12.75">
      <c r="B21" s="219" t="s">
        <v>3</v>
      </c>
      <c r="C21" s="225">
        <v>0.9061910424098296</v>
      </c>
      <c r="D21" s="222"/>
      <c r="E21" s="249" t="s">
        <v>466</v>
      </c>
      <c r="F21" s="218" t="s">
        <v>467</v>
      </c>
      <c r="G21" s="218">
        <v>38</v>
      </c>
      <c r="H21" s="232">
        <v>8.735632183908045</v>
      </c>
      <c r="I21" s="232">
        <v>16.666666666666664</v>
      </c>
      <c r="J21" s="232">
        <v>8.558558558558559</v>
      </c>
      <c r="K21" s="232">
        <v>1.131578947368421</v>
      </c>
      <c r="L21" s="218">
        <v>5</v>
      </c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O21" s="222"/>
      <c r="AP21" s="222"/>
    </row>
    <row r="22" spans="2:42" s="218" customFormat="1" ht="15" customHeight="1">
      <c r="B22" s="219" t="s">
        <v>600</v>
      </c>
      <c r="C22" s="225">
        <v>21.5</v>
      </c>
      <c r="D22" s="222"/>
      <c r="E22" s="248" t="s">
        <v>485</v>
      </c>
      <c r="F22" s="222" t="s">
        <v>486</v>
      </c>
      <c r="G22" s="222">
        <v>35</v>
      </c>
      <c r="H22" s="233">
        <v>8.045977011494251</v>
      </c>
      <c r="I22" s="233">
        <v>15.350877192982457</v>
      </c>
      <c r="J22" s="233">
        <v>7.882882882882883</v>
      </c>
      <c r="K22" s="233">
        <v>1.0857142857142856</v>
      </c>
      <c r="L22" s="250">
        <v>0</v>
      </c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O22" s="222"/>
      <c r="AP22" s="222"/>
    </row>
    <row r="23" spans="2:42" s="218" customFormat="1" ht="12.75">
      <c r="B23" s="219" t="s">
        <v>53</v>
      </c>
      <c r="C23" s="251">
        <v>13</v>
      </c>
      <c r="D23" s="222"/>
      <c r="E23" s="252" t="s">
        <v>140</v>
      </c>
      <c r="F23" s="250" t="s">
        <v>141</v>
      </c>
      <c r="G23" s="250">
        <v>29</v>
      </c>
      <c r="H23" s="243">
        <v>6.666666666666665</v>
      </c>
      <c r="I23" s="243">
        <v>12.719298245614036</v>
      </c>
      <c r="J23" s="243">
        <v>6.531531531531531</v>
      </c>
      <c r="K23" s="243">
        <v>1.206896551724138</v>
      </c>
      <c r="L23" s="250">
        <v>12</v>
      </c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O23" s="222"/>
      <c r="AP23" s="222"/>
    </row>
    <row r="24" spans="2:42" s="218" customFormat="1" ht="12.75">
      <c r="B24" s="219" t="s">
        <v>27</v>
      </c>
      <c r="C24" s="251">
        <v>440</v>
      </c>
      <c r="D24" s="222"/>
      <c r="E24" s="249" t="s">
        <v>162</v>
      </c>
      <c r="F24" s="218" t="s">
        <v>279</v>
      </c>
      <c r="G24" s="218">
        <v>24</v>
      </c>
      <c r="H24" s="232">
        <v>5.517241379310344</v>
      </c>
      <c r="I24" s="232">
        <v>10.526315789473683</v>
      </c>
      <c r="J24" s="232">
        <v>5.405405405405405</v>
      </c>
      <c r="K24" s="232">
        <v>1.0416666666666667</v>
      </c>
      <c r="L24" s="218">
        <v>9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O24" s="222"/>
      <c r="AP24" s="222"/>
    </row>
    <row r="25" spans="2:42" s="218" customFormat="1" ht="12.75">
      <c r="B25" s="219" t="s">
        <v>32</v>
      </c>
      <c r="C25" s="231">
        <v>0.9797297297297297</v>
      </c>
      <c r="D25" s="222"/>
      <c r="E25" s="248" t="s">
        <v>130</v>
      </c>
      <c r="F25" s="222" t="s">
        <v>300</v>
      </c>
      <c r="G25" s="222">
        <v>23</v>
      </c>
      <c r="H25" s="233">
        <v>5.28735632183908</v>
      </c>
      <c r="I25" s="233">
        <v>10.087719298245613</v>
      </c>
      <c r="J25" s="233">
        <v>5.18018018018018</v>
      </c>
      <c r="K25" s="233">
        <v>1.2608695652173914</v>
      </c>
      <c r="L25" s="250">
        <v>0</v>
      </c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O25" s="222"/>
      <c r="AP25" s="222"/>
    </row>
    <row r="26" spans="2:42" s="218" customFormat="1" ht="12.75">
      <c r="B26" s="219" t="s">
        <v>54</v>
      </c>
      <c r="C26" s="231">
        <v>1.9078947368421053</v>
      </c>
      <c r="D26" s="222"/>
      <c r="E26" s="249" t="s">
        <v>262</v>
      </c>
      <c r="F26" s="218" t="s">
        <v>173</v>
      </c>
      <c r="G26" s="218">
        <v>20</v>
      </c>
      <c r="H26" s="232">
        <v>4.597701149425287</v>
      </c>
      <c r="I26" s="232">
        <v>8.771929824561402</v>
      </c>
      <c r="J26" s="232">
        <v>4.504504504504505</v>
      </c>
      <c r="K26" s="232">
        <v>1.15</v>
      </c>
      <c r="L26" s="218">
        <v>14</v>
      </c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O26" s="222"/>
      <c r="AP26" s="222"/>
    </row>
    <row r="27" spans="2:42" s="218" customFormat="1" ht="12.75">
      <c r="B27" s="219" t="s">
        <v>28</v>
      </c>
      <c r="C27" s="231">
        <v>0.9797297297297297</v>
      </c>
      <c r="D27" s="222"/>
      <c r="E27" s="248" t="s">
        <v>124</v>
      </c>
      <c r="F27" s="222" t="s">
        <v>125</v>
      </c>
      <c r="G27" s="222">
        <v>13</v>
      </c>
      <c r="H27" s="233">
        <v>2.9885057471264362</v>
      </c>
      <c r="I27" s="233">
        <v>5.701754385964912</v>
      </c>
      <c r="J27" s="233">
        <v>2.9279279279279278</v>
      </c>
      <c r="K27" s="233">
        <v>1.5384615384615385</v>
      </c>
      <c r="L27" s="250">
        <v>0</v>
      </c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O27" s="222"/>
      <c r="AP27" s="222"/>
    </row>
    <row r="28" spans="2:42" s="218" customFormat="1" ht="12.75">
      <c r="B28" s="219" t="s">
        <v>55</v>
      </c>
      <c r="C28" s="231">
        <v>1.9078947368421053</v>
      </c>
      <c r="D28" s="222"/>
      <c r="E28" s="248" t="s">
        <v>64</v>
      </c>
      <c r="F28" s="222" t="s">
        <v>65</v>
      </c>
      <c r="G28" s="222">
        <v>12</v>
      </c>
      <c r="H28" s="233">
        <v>2.758620689655172</v>
      </c>
      <c r="I28" s="233">
        <v>5.263157894736842</v>
      </c>
      <c r="J28" s="233">
        <v>2.7027027027027026</v>
      </c>
      <c r="K28" s="233">
        <v>1.5833333333333333</v>
      </c>
      <c r="L28" s="222">
        <v>8</v>
      </c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O28" s="222"/>
      <c r="AP28" s="222"/>
    </row>
    <row r="29" spans="2:42" s="218" customFormat="1" ht="12.75">
      <c r="B29" s="219" t="s">
        <v>34</v>
      </c>
      <c r="C29" s="247">
        <v>27</v>
      </c>
      <c r="D29" s="222"/>
      <c r="E29" s="249" t="s">
        <v>249</v>
      </c>
      <c r="F29" s="218" t="s">
        <v>250</v>
      </c>
      <c r="G29" s="218">
        <v>9</v>
      </c>
      <c r="H29" s="232">
        <v>2.0689655172413794</v>
      </c>
      <c r="I29" s="232">
        <v>3.9473684210526314</v>
      </c>
      <c r="J29" s="232">
        <v>2.027027027027027</v>
      </c>
      <c r="K29" s="232">
        <v>1.1111111111111112</v>
      </c>
      <c r="L29" s="250">
        <v>0</v>
      </c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O29" s="222"/>
      <c r="AP29" s="222"/>
    </row>
    <row r="30" spans="2:42" s="218" customFormat="1" ht="12.75">
      <c r="B30" s="219" t="s">
        <v>33</v>
      </c>
      <c r="C30" s="247">
        <v>29</v>
      </c>
      <c r="D30" s="250"/>
      <c r="E30" s="248" t="s">
        <v>94</v>
      </c>
      <c r="F30" s="222" t="s">
        <v>95</v>
      </c>
      <c r="G30" s="222">
        <v>8</v>
      </c>
      <c r="H30" s="233">
        <v>1.8390804597701147</v>
      </c>
      <c r="I30" s="233">
        <v>3.508771929824561</v>
      </c>
      <c r="J30" s="233">
        <v>1.8018018018018018</v>
      </c>
      <c r="K30" s="233">
        <v>1.625</v>
      </c>
      <c r="L30" s="222">
        <v>1</v>
      </c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O30" s="222"/>
      <c r="AP30" s="222"/>
    </row>
    <row r="31" spans="2:42" s="218" customFormat="1" ht="12.75">
      <c r="B31" s="219" t="s">
        <v>470</v>
      </c>
      <c r="C31" s="247">
        <v>45</v>
      </c>
      <c r="D31" s="250"/>
      <c r="E31" s="249" t="s">
        <v>245</v>
      </c>
      <c r="F31" s="218" t="s">
        <v>246</v>
      </c>
      <c r="G31" s="218">
        <v>7</v>
      </c>
      <c r="H31" s="232">
        <v>1.6091954022988504</v>
      </c>
      <c r="I31" s="232">
        <v>3.070175438596491</v>
      </c>
      <c r="J31" s="232">
        <v>1.5765765765765765</v>
      </c>
      <c r="K31" s="232">
        <v>2.142857142857143</v>
      </c>
      <c r="L31" s="250">
        <v>0</v>
      </c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O31" s="222"/>
      <c r="AP31" s="222"/>
    </row>
    <row r="32" spans="2:42" s="218" customFormat="1" ht="15" customHeight="1">
      <c r="B32" s="219" t="s">
        <v>468</v>
      </c>
      <c r="C32" s="225">
        <v>5.675438596491228</v>
      </c>
      <c r="D32" s="222"/>
      <c r="E32" s="248" t="s">
        <v>263</v>
      </c>
      <c r="F32" s="222" t="s">
        <v>104</v>
      </c>
      <c r="G32" s="222">
        <v>6</v>
      </c>
      <c r="H32" s="233">
        <v>1.379310344827586</v>
      </c>
      <c r="I32" s="233">
        <v>2.631578947368421</v>
      </c>
      <c r="J32" s="233">
        <v>1.3513513513513513</v>
      </c>
      <c r="K32" s="233">
        <v>1.6666666666666667</v>
      </c>
      <c r="L32" s="250">
        <v>0</v>
      </c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O32" s="222"/>
      <c r="AP32" s="222"/>
    </row>
    <row r="33" spans="2:42" s="218" customFormat="1" ht="15" customHeight="1">
      <c r="B33" s="219" t="s">
        <v>469</v>
      </c>
      <c r="C33" s="225">
        <v>5.5</v>
      </c>
      <c r="D33" s="222"/>
      <c r="E33" s="248" t="s">
        <v>83</v>
      </c>
      <c r="F33" s="222" t="s">
        <v>84</v>
      </c>
      <c r="G33" s="222">
        <v>5</v>
      </c>
      <c r="H33" s="233">
        <v>1.1494252873563218</v>
      </c>
      <c r="I33" s="233">
        <v>2.1929824561403506</v>
      </c>
      <c r="J33" s="233">
        <v>1.1261261261261262</v>
      </c>
      <c r="K33" s="233">
        <v>1.2</v>
      </c>
      <c r="L33" s="250">
        <v>0</v>
      </c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O33" s="222"/>
      <c r="AP33" s="222"/>
    </row>
    <row r="34" spans="2:42" s="218" customFormat="1" ht="12.75">
      <c r="B34" s="219" t="s">
        <v>474</v>
      </c>
      <c r="C34" s="225">
        <v>1.4736842105263157</v>
      </c>
      <c r="E34" s="249" t="s">
        <v>167</v>
      </c>
      <c r="F34" s="218" t="s">
        <v>287</v>
      </c>
      <c r="G34" s="218">
        <v>5</v>
      </c>
      <c r="H34" s="232">
        <v>1.1494252873563218</v>
      </c>
      <c r="I34" s="232">
        <v>2.1929824561403506</v>
      </c>
      <c r="J34" s="232">
        <v>1.1261261261261262</v>
      </c>
      <c r="K34" s="232">
        <v>1</v>
      </c>
      <c r="L34" s="218">
        <v>1</v>
      </c>
      <c r="AO34" s="222"/>
      <c r="AP34" s="222"/>
    </row>
    <row r="35" spans="2:42" s="218" customFormat="1" ht="15.75">
      <c r="B35" s="253" t="s">
        <v>601</v>
      </c>
      <c r="C35" s="254"/>
      <c r="E35" s="252" t="s">
        <v>138</v>
      </c>
      <c r="F35" s="250" t="s">
        <v>139</v>
      </c>
      <c r="G35" s="250">
        <v>3</v>
      </c>
      <c r="H35" s="243">
        <v>0.689655172413793</v>
      </c>
      <c r="I35" s="243">
        <v>1.3157894736842104</v>
      </c>
      <c r="J35" s="243">
        <v>0.6756756756756757</v>
      </c>
      <c r="K35" s="243">
        <v>1.3333333333333333</v>
      </c>
      <c r="L35" s="250">
        <v>2</v>
      </c>
      <c r="AO35" s="222"/>
      <c r="AP35" s="222"/>
    </row>
    <row r="36" spans="2:40" s="222" customFormat="1" ht="12.75">
      <c r="B36" s="218"/>
      <c r="C36" s="254"/>
      <c r="D36" s="218"/>
      <c r="E36" s="249" t="s">
        <v>208</v>
      </c>
      <c r="F36" s="218" t="s">
        <v>209</v>
      </c>
      <c r="G36" s="218">
        <v>3</v>
      </c>
      <c r="H36" s="232">
        <v>0.689655172413793</v>
      </c>
      <c r="I36" s="232">
        <v>1.3157894736842104</v>
      </c>
      <c r="J36" s="232">
        <v>0.6756756756756757</v>
      </c>
      <c r="K36" s="232">
        <v>2.3333333333333335</v>
      </c>
      <c r="L36" s="218">
        <v>1</v>
      </c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</row>
    <row r="37" spans="2:40" s="222" customFormat="1" ht="12.75">
      <c r="B37" s="218"/>
      <c r="C37" s="254"/>
      <c r="D37" s="218"/>
      <c r="E37" s="249" t="s">
        <v>165</v>
      </c>
      <c r="F37" s="218" t="s">
        <v>166</v>
      </c>
      <c r="G37" s="218">
        <v>2</v>
      </c>
      <c r="H37" s="232">
        <v>0.4597701149425287</v>
      </c>
      <c r="I37" s="232">
        <v>0.8771929824561403</v>
      </c>
      <c r="J37" s="232">
        <v>0.45045045045045046</v>
      </c>
      <c r="K37" s="232">
        <v>1.5</v>
      </c>
      <c r="L37" s="218">
        <v>3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</row>
    <row r="38" spans="2:40" s="222" customFormat="1" ht="12.75">
      <c r="B38" s="218"/>
      <c r="C38" s="254"/>
      <c r="D38" s="218"/>
      <c r="E38" s="248" t="s">
        <v>315</v>
      </c>
      <c r="F38" s="222" t="s">
        <v>116</v>
      </c>
      <c r="G38" s="222">
        <v>1</v>
      </c>
      <c r="H38" s="233">
        <v>0.22988505747126434</v>
      </c>
      <c r="I38" s="233">
        <v>0.43859649122807015</v>
      </c>
      <c r="J38" s="233">
        <v>0.22522522522522523</v>
      </c>
      <c r="K38" s="233">
        <v>1</v>
      </c>
      <c r="L38" s="250"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</row>
    <row r="39" spans="2:40" s="222" customFormat="1" ht="12.75">
      <c r="B39" s="218"/>
      <c r="C39" s="254"/>
      <c r="D39" s="218"/>
      <c r="E39" s="248" t="s">
        <v>86</v>
      </c>
      <c r="F39" s="222" t="s">
        <v>87</v>
      </c>
      <c r="G39" s="222">
        <v>1</v>
      </c>
      <c r="H39" s="233">
        <v>0.22988505747126434</v>
      </c>
      <c r="I39" s="233">
        <v>0.43859649122807015</v>
      </c>
      <c r="J39" s="233">
        <v>0.22522522522522523</v>
      </c>
      <c r="K39" s="233">
        <v>1</v>
      </c>
      <c r="L39" s="250"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2:40" s="222" customFormat="1" ht="12.75">
      <c r="B40" s="218"/>
      <c r="C40" s="254"/>
      <c r="D40" s="218"/>
      <c r="E40" s="248" t="s">
        <v>267</v>
      </c>
      <c r="F40" s="222" t="s">
        <v>123</v>
      </c>
      <c r="G40" s="222">
        <v>1</v>
      </c>
      <c r="H40" s="233">
        <v>0.22988505747126434</v>
      </c>
      <c r="I40" s="233">
        <v>0.43859649122807015</v>
      </c>
      <c r="J40" s="233">
        <v>0.22522522522522523</v>
      </c>
      <c r="K40" s="233">
        <v>1</v>
      </c>
      <c r="L40" s="250"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</row>
    <row r="41" spans="2:40" s="222" customFormat="1" ht="12.75">
      <c r="B41" s="218"/>
      <c r="C41" s="254"/>
      <c r="D41" s="218"/>
      <c r="E41" s="248" t="s">
        <v>148</v>
      </c>
      <c r="F41" s="222" t="s">
        <v>149</v>
      </c>
      <c r="G41" s="222">
        <v>1</v>
      </c>
      <c r="H41" s="233">
        <v>0.22988505747126434</v>
      </c>
      <c r="I41" s="233">
        <v>0.43859649122807015</v>
      </c>
      <c r="J41" s="233">
        <v>0.22522522522522523</v>
      </c>
      <c r="K41" s="233">
        <v>1</v>
      </c>
      <c r="L41" s="222">
        <v>4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2:40" s="222" customFormat="1" ht="12.75">
      <c r="B42" s="218"/>
      <c r="C42" s="254"/>
      <c r="D42" s="218"/>
      <c r="E42" s="249" t="s">
        <v>176</v>
      </c>
      <c r="F42" s="218" t="s">
        <v>177</v>
      </c>
      <c r="G42" s="218">
        <v>1</v>
      </c>
      <c r="H42" s="232">
        <v>0.22988505747126434</v>
      </c>
      <c r="I42" s="232">
        <v>0.43859649122807015</v>
      </c>
      <c r="J42" s="232">
        <v>0.22522522522522523</v>
      </c>
      <c r="K42" s="232">
        <v>1</v>
      </c>
      <c r="L42" s="250">
        <v>0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</row>
    <row r="43" spans="2:40" s="222" customFormat="1" ht="12.75">
      <c r="B43" s="218"/>
      <c r="C43" s="254"/>
      <c r="D43" s="218"/>
      <c r="E43" s="249" t="s">
        <v>187</v>
      </c>
      <c r="F43" s="218" t="s">
        <v>188</v>
      </c>
      <c r="G43" s="218">
        <v>1</v>
      </c>
      <c r="H43" s="232">
        <v>0.22988505747126434</v>
      </c>
      <c r="I43" s="232">
        <v>0.43859649122807015</v>
      </c>
      <c r="J43" s="232">
        <v>0.22522522522522523</v>
      </c>
      <c r="K43" s="232">
        <v>1</v>
      </c>
      <c r="L43" s="250">
        <v>0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</row>
    <row r="44" spans="2:40" s="222" customFormat="1" ht="12.75">
      <c r="B44" s="218"/>
      <c r="C44" s="254"/>
      <c r="D44" s="218"/>
      <c r="E44" s="249" t="s">
        <v>216</v>
      </c>
      <c r="F44" s="218" t="s">
        <v>487</v>
      </c>
      <c r="G44" s="218">
        <v>1</v>
      </c>
      <c r="H44" s="232">
        <v>0.22988505747126434</v>
      </c>
      <c r="I44" s="232">
        <v>0.43859649122807015</v>
      </c>
      <c r="J44" s="232">
        <v>0.22522522522522523</v>
      </c>
      <c r="K44" s="232">
        <v>1</v>
      </c>
      <c r="L44" s="218">
        <v>2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</row>
    <row r="45" spans="2:40" s="222" customFormat="1" ht="12.75">
      <c r="B45" s="218"/>
      <c r="C45" s="254"/>
      <c r="D45" s="218"/>
      <c r="E45" s="249"/>
      <c r="F45" s="218" t="s">
        <v>319</v>
      </c>
      <c r="G45" s="218">
        <v>1</v>
      </c>
      <c r="H45" s="255" t="s">
        <v>554</v>
      </c>
      <c r="I45" s="232">
        <v>0.43859649122807015</v>
      </c>
      <c r="J45" s="232">
        <v>0.22522522522522523</v>
      </c>
      <c r="K45" s="232">
        <v>1</v>
      </c>
      <c r="L45" s="218">
        <v>0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</row>
    <row r="46" spans="2:40" s="222" customFormat="1" ht="12.75">
      <c r="B46" s="218"/>
      <c r="C46" s="254"/>
      <c r="D46" s="218"/>
      <c r="E46" s="249" t="s">
        <v>488</v>
      </c>
      <c r="F46" s="218" t="s">
        <v>553</v>
      </c>
      <c r="G46" s="256" t="s">
        <v>489</v>
      </c>
      <c r="H46" s="256" t="s">
        <v>489</v>
      </c>
      <c r="I46" s="256" t="s">
        <v>489</v>
      </c>
      <c r="J46" s="256" t="s">
        <v>489</v>
      </c>
      <c r="K46" s="256" t="s">
        <v>489</v>
      </c>
      <c r="L46" s="218">
        <v>1</v>
      </c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</row>
    <row r="47" spans="2:40" s="222" customFormat="1" ht="12.75">
      <c r="B47" s="218"/>
      <c r="C47" s="254"/>
      <c r="D47" s="218"/>
      <c r="E47" s="248" t="s">
        <v>78</v>
      </c>
      <c r="F47" s="222" t="s">
        <v>79</v>
      </c>
      <c r="G47" s="256" t="s">
        <v>489</v>
      </c>
      <c r="H47" s="256" t="s">
        <v>489</v>
      </c>
      <c r="I47" s="256" t="s">
        <v>489</v>
      </c>
      <c r="J47" s="256" t="s">
        <v>489</v>
      </c>
      <c r="K47" s="256" t="s">
        <v>489</v>
      </c>
      <c r="L47" s="222">
        <v>1</v>
      </c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</row>
    <row r="48" spans="2:40" s="222" customFormat="1" ht="12.75">
      <c r="B48" s="218"/>
      <c r="C48" s="254"/>
      <c r="D48" s="218"/>
      <c r="E48" s="252" t="s">
        <v>66</v>
      </c>
      <c r="F48" s="250" t="s">
        <v>276</v>
      </c>
      <c r="G48" s="256" t="s">
        <v>497</v>
      </c>
      <c r="H48" s="256" t="s">
        <v>497</v>
      </c>
      <c r="I48" s="256" t="s">
        <v>497</v>
      </c>
      <c r="J48" s="256" t="s">
        <v>497</v>
      </c>
      <c r="K48" s="256" t="s">
        <v>497</v>
      </c>
      <c r="L48" s="256" t="s">
        <v>497</v>
      </c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</row>
    <row r="49" spans="1:40" ht="12.75">
      <c r="A49" s="222"/>
      <c r="B49" s="222"/>
      <c r="C49" s="222"/>
      <c r="D49" s="222"/>
      <c r="E49" s="252" t="s">
        <v>541</v>
      </c>
      <c r="F49" s="250" t="s">
        <v>565</v>
      </c>
      <c r="G49" s="256" t="s">
        <v>497</v>
      </c>
      <c r="H49" s="256" t="s">
        <v>497</v>
      </c>
      <c r="I49" s="256" t="s">
        <v>497</v>
      </c>
      <c r="J49" s="256" t="s">
        <v>497</v>
      </c>
      <c r="K49" s="256" t="s">
        <v>497</v>
      </c>
      <c r="L49" s="256" t="s">
        <v>497</v>
      </c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</row>
    <row r="50" spans="1:40" ht="12.75">
      <c r="A50" s="222"/>
      <c r="B50" s="222"/>
      <c r="C50" s="222"/>
      <c r="D50" s="222"/>
      <c r="E50" s="252" t="s">
        <v>70</v>
      </c>
      <c r="F50" s="250" t="s">
        <v>71</v>
      </c>
      <c r="G50" s="256" t="s">
        <v>497</v>
      </c>
      <c r="H50" s="256" t="s">
        <v>497</v>
      </c>
      <c r="I50" s="256" t="s">
        <v>497</v>
      </c>
      <c r="J50" s="256" t="s">
        <v>497</v>
      </c>
      <c r="K50" s="256" t="s">
        <v>497</v>
      </c>
      <c r="L50" s="256" t="s">
        <v>497</v>
      </c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</row>
    <row r="51" spans="1:40" ht="12.75">
      <c r="A51" s="222"/>
      <c r="B51" s="222"/>
      <c r="C51" s="222"/>
      <c r="D51" s="222"/>
      <c r="E51" s="252" t="s">
        <v>491</v>
      </c>
      <c r="F51" s="250" t="s">
        <v>492</v>
      </c>
      <c r="G51" s="256" t="s">
        <v>497</v>
      </c>
      <c r="H51" s="256" t="s">
        <v>497</v>
      </c>
      <c r="I51" s="256" t="s">
        <v>497</v>
      </c>
      <c r="J51" s="256" t="s">
        <v>497</v>
      </c>
      <c r="K51" s="256" t="s">
        <v>497</v>
      </c>
      <c r="L51" s="256" t="s">
        <v>497</v>
      </c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</row>
    <row r="52" spans="1:40" ht="12.75">
      <c r="A52" s="222"/>
      <c r="B52" s="222"/>
      <c r="C52" s="222"/>
      <c r="D52" s="222"/>
      <c r="E52" s="252" t="s">
        <v>80</v>
      </c>
      <c r="F52" s="250" t="s">
        <v>81</v>
      </c>
      <c r="G52" s="256" t="s">
        <v>497</v>
      </c>
      <c r="H52" s="256" t="s">
        <v>497</v>
      </c>
      <c r="I52" s="256" t="s">
        <v>497</v>
      </c>
      <c r="J52" s="256" t="s">
        <v>497</v>
      </c>
      <c r="K52" s="256" t="s">
        <v>497</v>
      </c>
      <c r="L52" s="256" t="s">
        <v>497</v>
      </c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</row>
    <row r="53" spans="1:40" ht="12.75">
      <c r="A53" s="222"/>
      <c r="B53" s="222"/>
      <c r="C53" s="222"/>
      <c r="D53" s="222"/>
      <c r="E53" s="252" t="s">
        <v>88</v>
      </c>
      <c r="F53" s="250" t="s">
        <v>89</v>
      </c>
      <c r="G53" s="256" t="s">
        <v>497</v>
      </c>
      <c r="H53" s="256" t="s">
        <v>497</v>
      </c>
      <c r="I53" s="256" t="s">
        <v>497</v>
      </c>
      <c r="J53" s="256" t="s">
        <v>497</v>
      </c>
      <c r="K53" s="256" t="s">
        <v>497</v>
      </c>
      <c r="L53" s="256" t="s">
        <v>497</v>
      </c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</row>
    <row r="54" spans="1:40" ht="12.75">
      <c r="A54" s="222"/>
      <c r="B54" s="222"/>
      <c r="C54" s="222"/>
      <c r="D54" s="222"/>
      <c r="E54" s="252" t="s">
        <v>92</v>
      </c>
      <c r="F54" s="250" t="s">
        <v>93</v>
      </c>
      <c r="G54" s="256" t="s">
        <v>497</v>
      </c>
      <c r="H54" s="256" t="s">
        <v>497</v>
      </c>
      <c r="I54" s="256" t="s">
        <v>497</v>
      </c>
      <c r="J54" s="256" t="s">
        <v>497</v>
      </c>
      <c r="K54" s="256" t="s">
        <v>497</v>
      </c>
      <c r="L54" s="256" t="s">
        <v>497</v>
      </c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</row>
    <row r="55" spans="1:40" ht="12.75">
      <c r="A55" s="222"/>
      <c r="B55" s="222"/>
      <c r="C55" s="222"/>
      <c r="D55" s="222"/>
      <c r="E55" s="252" t="s">
        <v>495</v>
      </c>
      <c r="F55" s="250" t="s">
        <v>496</v>
      </c>
      <c r="G55" s="256" t="s">
        <v>497</v>
      </c>
      <c r="H55" s="256" t="s">
        <v>497</v>
      </c>
      <c r="I55" s="256" t="s">
        <v>497</v>
      </c>
      <c r="J55" s="256" t="s">
        <v>497</v>
      </c>
      <c r="K55" s="256" t="s">
        <v>497</v>
      </c>
      <c r="L55" s="256" t="s">
        <v>497</v>
      </c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</row>
    <row r="56" spans="1:40" ht="12.75">
      <c r="A56" s="222"/>
      <c r="B56" s="222"/>
      <c r="C56" s="222"/>
      <c r="D56" s="222"/>
      <c r="E56" s="252" t="s">
        <v>493</v>
      </c>
      <c r="F56" s="250" t="s">
        <v>542</v>
      </c>
      <c r="G56" s="256" t="s">
        <v>497</v>
      </c>
      <c r="H56" s="256" t="s">
        <v>497</v>
      </c>
      <c r="I56" s="256" t="s">
        <v>497</v>
      </c>
      <c r="J56" s="256" t="s">
        <v>497</v>
      </c>
      <c r="K56" s="256" t="s">
        <v>497</v>
      </c>
      <c r="L56" s="256" t="s">
        <v>497</v>
      </c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</row>
    <row r="57" spans="1:40" ht="12.75">
      <c r="A57" s="222"/>
      <c r="B57" s="222"/>
      <c r="C57" s="222"/>
      <c r="D57" s="222"/>
      <c r="E57" s="252" t="s">
        <v>157</v>
      </c>
      <c r="F57" s="250" t="s">
        <v>158</v>
      </c>
      <c r="G57" s="256" t="s">
        <v>497</v>
      </c>
      <c r="H57" s="256" t="s">
        <v>497</v>
      </c>
      <c r="I57" s="256" t="s">
        <v>497</v>
      </c>
      <c r="J57" s="256" t="s">
        <v>497</v>
      </c>
      <c r="K57" s="256" t="s">
        <v>497</v>
      </c>
      <c r="L57" s="256" t="s">
        <v>497</v>
      </c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</row>
    <row r="58" spans="1:40" ht="12.75">
      <c r="A58" s="222"/>
      <c r="B58" s="222"/>
      <c r="C58" s="222"/>
      <c r="D58" s="222"/>
      <c r="E58" s="252" t="s">
        <v>189</v>
      </c>
      <c r="F58" s="250" t="s">
        <v>192</v>
      </c>
      <c r="G58" s="256" t="s">
        <v>497</v>
      </c>
      <c r="H58" s="256" t="s">
        <v>497</v>
      </c>
      <c r="I58" s="256" t="s">
        <v>497</v>
      </c>
      <c r="J58" s="256" t="s">
        <v>497</v>
      </c>
      <c r="K58" s="256" t="s">
        <v>497</v>
      </c>
      <c r="L58" s="256" t="s">
        <v>497</v>
      </c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</row>
    <row r="59" spans="1:40" ht="12.75">
      <c r="A59" s="222"/>
      <c r="B59" s="222"/>
      <c r="C59" s="222"/>
      <c r="D59" s="222"/>
      <c r="E59" s="252" t="s">
        <v>200</v>
      </c>
      <c r="F59" s="250" t="s">
        <v>201</v>
      </c>
      <c r="G59" s="256" t="s">
        <v>497</v>
      </c>
      <c r="H59" s="256" t="s">
        <v>497</v>
      </c>
      <c r="I59" s="256" t="s">
        <v>497</v>
      </c>
      <c r="J59" s="256" t="s">
        <v>497</v>
      </c>
      <c r="K59" s="256" t="s">
        <v>497</v>
      </c>
      <c r="L59" s="256" t="s">
        <v>497</v>
      </c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</row>
    <row r="60" spans="1:40" ht="12.75">
      <c r="A60" s="222"/>
      <c r="B60" s="222"/>
      <c r="C60" s="222"/>
      <c r="D60" s="222"/>
      <c r="E60" s="252" t="s">
        <v>566</v>
      </c>
      <c r="F60" s="250" t="s">
        <v>567</v>
      </c>
      <c r="G60" s="256" t="s">
        <v>497</v>
      </c>
      <c r="H60" s="256" t="s">
        <v>497</v>
      </c>
      <c r="I60" s="256" t="s">
        <v>497</v>
      </c>
      <c r="J60" s="256" t="s">
        <v>497</v>
      </c>
      <c r="K60" s="256" t="s">
        <v>497</v>
      </c>
      <c r="L60" s="256" t="s">
        <v>497</v>
      </c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</row>
    <row r="61" spans="1:40" ht="12.75">
      <c r="A61" s="222"/>
      <c r="B61" s="222"/>
      <c r="C61" s="222"/>
      <c r="D61" s="222"/>
      <c r="E61" s="252" t="s">
        <v>564</v>
      </c>
      <c r="F61" s="250" t="s">
        <v>231</v>
      </c>
      <c r="G61" s="256" t="s">
        <v>497</v>
      </c>
      <c r="H61" s="256" t="s">
        <v>497</v>
      </c>
      <c r="I61" s="256" t="s">
        <v>497</v>
      </c>
      <c r="J61" s="256" t="s">
        <v>497</v>
      </c>
      <c r="K61" s="256" t="s">
        <v>497</v>
      </c>
      <c r="L61" s="256" t="s">
        <v>497</v>
      </c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</row>
    <row r="62" spans="1:40" ht="12.75">
      <c r="A62" s="222"/>
      <c r="B62" s="222"/>
      <c r="C62" s="222"/>
      <c r="D62" s="222"/>
      <c r="E62" s="252" t="s">
        <v>232</v>
      </c>
      <c r="F62" s="250" t="s">
        <v>233</v>
      </c>
      <c r="G62" s="256" t="s">
        <v>497</v>
      </c>
      <c r="H62" s="256" t="s">
        <v>497</v>
      </c>
      <c r="I62" s="256" t="s">
        <v>497</v>
      </c>
      <c r="J62" s="256" t="s">
        <v>497</v>
      </c>
      <c r="K62" s="256" t="s">
        <v>497</v>
      </c>
      <c r="L62" s="256" t="s">
        <v>497</v>
      </c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</row>
    <row r="63" spans="1:40" ht="12.75">
      <c r="A63" s="222"/>
      <c r="B63" s="222"/>
      <c r="C63" s="222"/>
      <c r="D63" s="222"/>
      <c r="E63" s="252" t="s">
        <v>247</v>
      </c>
      <c r="F63" s="250" t="s">
        <v>248</v>
      </c>
      <c r="G63" s="256" t="s">
        <v>497</v>
      </c>
      <c r="H63" s="256" t="s">
        <v>497</v>
      </c>
      <c r="I63" s="256" t="s">
        <v>497</v>
      </c>
      <c r="J63" s="256" t="s">
        <v>497</v>
      </c>
      <c r="K63" s="256" t="s">
        <v>497</v>
      </c>
      <c r="L63" s="256" t="s">
        <v>497</v>
      </c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</row>
    <row r="64" spans="5:12" ht="12.75">
      <c r="E64" s="218" t="s">
        <v>576</v>
      </c>
      <c r="F64" s="218" t="s">
        <v>577</v>
      </c>
      <c r="G64" s="256" t="s">
        <v>578</v>
      </c>
      <c r="H64" s="256" t="s">
        <v>578</v>
      </c>
      <c r="I64" s="256" t="s">
        <v>578</v>
      </c>
      <c r="J64" s="256" t="s">
        <v>578</v>
      </c>
      <c r="K64" s="256" t="s">
        <v>578</v>
      </c>
      <c r="L64" s="256" t="s">
        <v>578</v>
      </c>
    </row>
    <row r="65" spans="1:40" ht="12.75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</row>
    <row r="66" spans="1:40" ht="12.75">
      <c r="A66" s="222"/>
      <c r="B66" s="222"/>
      <c r="C66" s="222"/>
      <c r="D66" s="222"/>
      <c r="E66" s="222"/>
      <c r="F66" s="257" t="s">
        <v>582</v>
      </c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</row>
    <row r="67" spans="1:40" ht="12.75">
      <c r="A67" s="222"/>
      <c r="B67" s="222"/>
      <c r="C67" s="222"/>
      <c r="D67" s="222"/>
      <c r="E67" s="222"/>
      <c r="F67" s="257" t="s">
        <v>581</v>
      </c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</row>
    <row r="68" ht="12.75">
      <c r="F68" s="257" t="s">
        <v>580</v>
      </c>
    </row>
    <row r="69" ht="12.75">
      <c r="F69" s="218" t="s">
        <v>579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F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2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5" sqref="E6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4" width="6.7109375" style="0" customWidth="1"/>
    <col min="5" max="5" width="19.140625" style="0" customWidth="1"/>
    <col min="6" max="6" width="18.7109375" style="0" customWidth="1"/>
    <col min="7" max="37" width="6.7109375" style="0" customWidth="1"/>
    <col min="38" max="16384" width="5.7109375" style="25" customWidth="1"/>
  </cols>
  <sheetData>
    <row r="1" spans="1:39" s="13" customFormat="1" ht="138" customHeight="1">
      <c r="A1" s="50"/>
      <c r="B1" s="39" t="s">
        <v>14</v>
      </c>
      <c r="C1" s="104" t="s">
        <v>12</v>
      </c>
      <c r="D1" s="107" t="s">
        <v>473</v>
      </c>
      <c r="E1" s="107" t="s">
        <v>333</v>
      </c>
      <c r="F1" s="107" t="s">
        <v>334</v>
      </c>
      <c r="G1" s="107" t="s">
        <v>475</v>
      </c>
      <c r="H1" s="107" t="s">
        <v>344</v>
      </c>
      <c r="I1" s="107" t="s">
        <v>345</v>
      </c>
      <c r="J1" s="107" t="s">
        <v>347</v>
      </c>
      <c r="K1" s="107" t="s">
        <v>349</v>
      </c>
      <c r="L1" s="107" t="s">
        <v>351</v>
      </c>
      <c r="M1" s="107" t="s">
        <v>354</v>
      </c>
      <c r="N1" s="107" t="s">
        <v>363</v>
      </c>
      <c r="O1" s="107" t="s">
        <v>376</v>
      </c>
      <c r="P1" s="107" t="s">
        <v>378</v>
      </c>
      <c r="Q1" s="107" t="s">
        <v>380</v>
      </c>
      <c r="R1" s="107" t="s">
        <v>387</v>
      </c>
      <c r="S1" s="107" t="s">
        <v>388</v>
      </c>
      <c r="T1" s="107" t="s">
        <v>393</v>
      </c>
      <c r="U1" s="107" t="s">
        <v>395</v>
      </c>
      <c r="V1" s="107" t="s">
        <v>402</v>
      </c>
      <c r="W1" s="107" t="s">
        <v>404</v>
      </c>
      <c r="X1" s="107" t="s">
        <v>405</v>
      </c>
      <c r="Y1" s="107" t="s">
        <v>409</v>
      </c>
      <c r="Z1" s="107" t="s">
        <v>411</v>
      </c>
      <c r="AA1" s="107" t="s">
        <v>412</v>
      </c>
      <c r="AB1" s="107" t="s">
        <v>413</v>
      </c>
      <c r="AC1" s="107" t="s">
        <v>417</v>
      </c>
      <c r="AD1" s="107" t="s">
        <v>420</v>
      </c>
      <c r="AE1" s="107" t="s">
        <v>423</v>
      </c>
      <c r="AF1" s="107" t="s">
        <v>432</v>
      </c>
      <c r="AG1" s="107" t="s">
        <v>436</v>
      </c>
      <c r="AH1" s="107" t="s">
        <v>455</v>
      </c>
      <c r="AI1" s="107" t="s">
        <v>456</v>
      </c>
      <c r="AJ1" s="107" t="s">
        <v>457</v>
      </c>
      <c r="AK1" s="107" t="s">
        <v>484</v>
      </c>
      <c r="AL1" s="107"/>
      <c r="AM1" s="23"/>
    </row>
    <row r="2" spans="1:38" s="13" customFormat="1" ht="12.75" customHeight="1">
      <c r="A2" s="51" t="s">
        <v>48</v>
      </c>
      <c r="B2" s="49" t="s">
        <v>477</v>
      </c>
      <c r="C2" s="38"/>
      <c r="D2" s="4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s="13" customFormat="1" ht="12.75" customHeight="1">
      <c r="A3" s="51" t="s">
        <v>25</v>
      </c>
      <c r="B3" s="49" t="s">
        <v>478</v>
      </c>
      <c r="C3" s="3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13" customFormat="1" ht="12.75" customHeight="1">
      <c r="A4" s="51" t="s">
        <v>26</v>
      </c>
      <c r="B4" s="49">
        <v>2435800</v>
      </c>
      <c r="C4" s="38"/>
      <c r="D4" s="4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13" customFormat="1" ht="12.75" customHeight="1">
      <c r="A5" s="52" t="s">
        <v>39</v>
      </c>
      <c r="B5" s="56" t="s">
        <v>479</v>
      </c>
      <c r="C5" s="38"/>
      <c r="D5" s="4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2:38" s="13" customFormat="1" ht="15" customHeight="1">
      <c r="B6" s="12" t="s">
        <v>23</v>
      </c>
      <c r="C6" s="38"/>
      <c r="D6" s="3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9"/>
      <c r="AL6" s="29"/>
    </row>
    <row r="7" spans="1:38" s="71" customFormat="1" ht="12.75" customHeight="1">
      <c r="A7" s="45"/>
      <c r="B7" s="45" t="s">
        <v>13</v>
      </c>
      <c r="C7" s="42"/>
      <c r="D7" s="47">
        <v>0.7142857142857143</v>
      </c>
      <c r="E7" s="47">
        <v>8.214285714285714</v>
      </c>
      <c r="F7" s="47" t="s">
        <v>550</v>
      </c>
      <c r="G7" s="47">
        <v>12.142857142857142</v>
      </c>
      <c r="H7" s="47">
        <v>0.35714285714285715</v>
      </c>
      <c r="I7" s="47">
        <v>0.7142857142857143</v>
      </c>
      <c r="J7" s="47">
        <v>1.7857142857142856</v>
      </c>
      <c r="K7" s="47">
        <v>0.7142857142857143</v>
      </c>
      <c r="L7" s="47">
        <v>1.4285714285714286</v>
      </c>
      <c r="M7" s="47">
        <v>5.357142857142857</v>
      </c>
      <c r="N7" s="47">
        <v>2.5</v>
      </c>
      <c r="O7" s="47">
        <v>5.714285714285714</v>
      </c>
      <c r="P7" s="47">
        <v>43.92857142857143</v>
      </c>
      <c r="Q7" s="47">
        <v>4.642857142857143</v>
      </c>
      <c r="R7" s="47">
        <v>1.4285714285714286</v>
      </c>
      <c r="S7" s="47">
        <v>7.5</v>
      </c>
      <c r="T7" s="47">
        <v>1.7857142857142856</v>
      </c>
      <c r="U7" s="47">
        <v>15</v>
      </c>
      <c r="V7" s="47">
        <v>30</v>
      </c>
      <c r="W7" s="47">
        <v>0.35714285714285715</v>
      </c>
      <c r="X7" s="47">
        <v>3.571428571428571</v>
      </c>
      <c r="Y7" s="47">
        <v>11.428571428571429</v>
      </c>
      <c r="Z7" s="47" t="s">
        <v>550</v>
      </c>
      <c r="AA7" s="47">
        <v>0.35714285714285715</v>
      </c>
      <c r="AB7" s="47">
        <v>20.357142857142858</v>
      </c>
      <c r="AC7" s="47">
        <v>0.35714285714285715</v>
      </c>
      <c r="AD7" s="47">
        <v>0.35714285714285715</v>
      </c>
      <c r="AE7" s="47">
        <v>16.785714285714285</v>
      </c>
      <c r="AF7" s="47">
        <v>1.0714285714285714</v>
      </c>
      <c r="AG7" s="47">
        <v>0.35714285714285715</v>
      </c>
      <c r="AH7" s="47">
        <v>2.142857142857143</v>
      </c>
      <c r="AI7" s="47" t="s">
        <v>550</v>
      </c>
      <c r="AJ7" s="47">
        <v>5.714285714285714</v>
      </c>
      <c r="AK7" s="47">
        <v>0.7142857142857143</v>
      </c>
      <c r="AL7" s="47"/>
    </row>
    <row r="8" spans="1:38" s="71" customFormat="1" ht="11.25" customHeight="1">
      <c r="A8" s="45"/>
      <c r="B8" s="45" t="s">
        <v>20</v>
      </c>
      <c r="C8" s="44"/>
      <c r="D8" s="47">
        <v>0.45558086560364464</v>
      </c>
      <c r="E8" s="47">
        <v>5.239179954441914</v>
      </c>
      <c r="F8" s="47" t="s">
        <v>550</v>
      </c>
      <c r="G8" s="47">
        <v>7.744874715261959</v>
      </c>
      <c r="H8" s="47">
        <v>0.22779043280182232</v>
      </c>
      <c r="I8" s="47">
        <v>0.45558086560364464</v>
      </c>
      <c r="J8" s="47">
        <v>1.1389521640091116</v>
      </c>
      <c r="K8" s="47">
        <v>0.45558086560364464</v>
      </c>
      <c r="L8" s="47">
        <v>0.9111617312072893</v>
      </c>
      <c r="M8" s="47">
        <v>3.416856492027335</v>
      </c>
      <c r="N8" s="47">
        <v>1.5945330296127564</v>
      </c>
      <c r="O8" s="47">
        <v>3.644646924829157</v>
      </c>
      <c r="P8" s="47">
        <v>28.018223234624145</v>
      </c>
      <c r="Q8" s="47">
        <v>2.9612756264236904</v>
      </c>
      <c r="R8" s="47">
        <v>0.9111617312072893</v>
      </c>
      <c r="S8" s="47">
        <v>4.783599088838269</v>
      </c>
      <c r="T8" s="47">
        <v>1.1389521640091116</v>
      </c>
      <c r="U8" s="47">
        <v>9.567198177676538</v>
      </c>
      <c r="V8" s="47">
        <v>19.134396355353076</v>
      </c>
      <c r="W8" s="47">
        <v>0.22779043280182232</v>
      </c>
      <c r="X8" s="47">
        <v>2.277904328018223</v>
      </c>
      <c r="Y8" s="47">
        <v>7.289293849658314</v>
      </c>
      <c r="Z8" s="47" t="s">
        <v>550</v>
      </c>
      <c r="AA8" s="47">
        <v>0.22779043280182232</v>
      </c>
      <c r="AB8" s="47">
        <v>12.984054669703873</v>
      </c>
      <c r="AC8" s="47">
        <v>0.22779043280182232</v>
      </c>
      <c r="AD8" s="47">
        <v>0.22779043280182232</v>
      </c>
      <c r="AE8" s="47">
        <v>10.70615034168565</v>
      </c>
      <c r="AF8" s="47">
        <v>0.683371298405467</v>
      </c>
      <c r="AG8" s="47">
        <v>0.22779043280182232</v>
      </c>
      <c r="AH8" s="47">
        <v>1.366742596810934</v>
      </c>
      <c r="AI8" s="47" t="s">
        <v>550</v>
      </c>
      <c r="AJ8" s="47">
        <v>3.644646924829157</v>
      </c>
      <c r="AK8" s="47">
        <v>0.45558086560364464</v>
      </c>
      <c r="AL8" s="47"/>
    </row>
    <row r="9" spans="1:38" s="72" customFormat="1" ht="12.75" customHeight="1">
      <c r="A9" s="10"/>
      <c r="B9" s="9" t="s">
        <v>1</v>
      </c>
      <c r="C9" s="42"/>
      <c r="D9" s="36">
        <v>0.3442340791738382</v>
      </c>
      <c r="E9" s="36">
        <v>3.9586919104991396</v>
      </c>
      <c r="F9" s="36" t="s">
        <v>550</v>
      </c>
      <c r="G9" s="36">
        <v>5.851979345955249</v>
      </c>
      <c r="H9" s="36">
        <v>0.1721170395869191</v>
      </c>
      <c r="I9" s="36">
        <v>0.3442340791738382</v>
      </c>
      <c r="J9" s="36">
        <v>0.8605851979345954</v>
      </c>
      <c r="K9" s="36">
        <v>0.3442340791738382</v>
      </c>
      <c r="L9" s="36">
        <v>0.6884681583476764</v>
      </c>
      <c r="M9" s="36">
        <v>2.5817555938037864</v>
      </c>
      <c r="N9" s="36">
        <v>1.2048192771084338</v>
      </c>
      <c r="O9" s="36">
        <v>2.7538726333907055</v>
      </c>
      <c r="P9" s="36">
        <v>21.170395869191047</v>
      </c>
      <c r="Q9" s="36">
        <v>2.237521514629948</v>
      </c>
      <c r="R9" s="36">
        <v>0.6884681583476764</v>
      </c>
      <c r="S9" s="36">
        <v>3.614457831325301</v>
      </c>
      <c r="T9" s="36">
        <v>0.8605851979345954</v>
      </c>
      <c r="U9" s="36">
        <v>7.228915662650602</v>
      </c>
      <c r="V9" s="36">
        <v>14.457831325301203</v>
      </c>
      <c r="W9" s="36">
        <v>0.1721170395869191</v>
      </c>
      <c r="X9" s="36">
        <v>1.7211703958691909</v>
      </c>
      <c r="Y9" s="36">
        <v>5.507745266781411</v>
      </c>
      <c r="Z9" s="36" t="s">
        <v>550</v>
      </c>
      <c r="AA9" s="36">
        <v>0.1721170395869191</v>
      </c>
      <c r="AB9" s="36">
        <v>9.81067125645439</v>
      </c>
      <c r="AC9" s="36">
        <v>0.1721170395869191</v>
      </c>
      <c r="AD9" s="36">
        <v>0.1721170395869191</v>
      </c>
      <c r="AE9" s="36">
        <v>8.089500860585197</v>
      </c>
      <c r="AF9" s="36">
        <v>0.5163511187607572</v>
      </c>
      <c r="AG9" s="36">
        <v>0.1721170395869191</v>
      </c>
      <c r="AH9" s="36">
        <v>1.0327022375215145</v>
      </c>
      <c r="AI9" s="36" t="s">
        <v>550</v>
      </c>
      <c r="AJ9" s="36">
        <v>2.7538726333907055</v>
      </c>
      <c r="AK9" s="36">
        <v>0.3442340791738382</v>
      </c>
      <c r="AL9" s="36"/>
    </row>
    <row r="10" spans="1:38" s="73" customFormat="1" ht="12.75">
      <c r="A10" s="18"/>
      <c r="B10" s="18" t="s">
        <v>2</v>
      </c>
      <c r="C10" s="14">
        <v>0.1000145158949049</v>
      </c>
      <c r="D10" s="19">
        <v>1.184971012646603E-05</v>
      </c>
      <c r="E10" s="19">
        <v>0.0015671241642251329</v>
      </c>
      <c r="F10" s="19" t="s">
        <v>550</v>
      </c>
      <c r="G10" s="19">
        <v>0.003424566226548683</v>
      </c>
      <c r="H10" s="19">
        <v>2.9624275316165077E-06</v>
      </c>
      <c r="I10" s="19">
        <v>1.184971012646603E-05</v>
      </c>
      <c r="J10" s="19">
        <v>7.406068829041268E-05</v>
      </c>
      <c r="K10" s="19">
        <v>1.184971012646603E-05</v>
      </c>
      <c r="L10" s="19">
        <v>4.739884050586412E-05</v>
      </c>
      <c r="M10" s="19">
        <v>0.0006665461946137142</v>
      </c>
      <c r="N10" s="19">
        <v>0.00014515894904920893</v>
      </c>
      <c r="O10" s="19">
        <v>0.000758381448093826</v>
      </c>
      <c r="P10" s="19">
        <v>0.04481856612582613</v>
      </c>
      <c r="Q10" s="19">
        <v>0.0005006502528431897</v>
      </c>
      <c r="R10" s="19">
        <v>4.739884050586412E-05</v>
      </c>
      <c r="S10" s="19">
        <v>0.0013064305414428796</v>
      </c>
      <c r="T10" s="19">
        <v>7.406068829041268E-05</v>
      </c>
      <c r="U10" s="19">
        <v>0.005225722165771518</v>
      </c>
      <c r="V10" s="19">
        <v>0.020902888663086074</v>
      </c>
      <c r="W10" s="19">
        <v>2.9624275316165077E-06</v>
      </c>
      <c r="X10" s="19">
        <v>0.0002962427531616507</v>
      </c>
      <c r="Y10" s="19">
        <v>0.003033525792375304</v>
      </c>
      <c r="Z10" s="19" t="s">
        <v>550</v>
      </c>
      <c r="AA10" s="19">
        <v>2.9624275316165077E-06</v>
      </c>
      <c r="AB10" s="19">
        <v>0.009624927050222033</v>
      </c>
      <c r="AC10" s="19">
        <v>2.9624275316165077E-06</v>
      </c>
      <c r="AD10" s="19">
        <v>2.9624275316165077E-06</v>
      </c>
      <c r="AE10" s="19">
        <v>0.006544002417340864</v>
      </c>
      <c r="AF10" s="19">
        <v>2.6661847784548565E-05</v>
      </c>
      <c r="AG10" s="19">
        <v>2.9624275316165077E-06</v>
      </c>
      <c r="AH10" s="19">
        <v>0.00010664739113819426</v>
      </c>
      <c r="AI10" s="19" t="s">
        <v>550</v>
      </c>
      <c r="AJ10" s="19">
        <v>0.000758381448093826</v>
      </c>
      <c r="AK10" s="19">
        <v>1.184971012646603E-05</v>
      </c>
      <c r="AL10" s="19"/>
    </row>
    <row r="11" spans="2:38" ht="12.75">
      <c r="B11" s="1" t="s">
        <v>56</v>
      </c>
      <c r="C11" s="53"/>
      <c r="D11" s="35">
        <v>2</v>
      </c>
      <c r="E11" s="35">
        <v>23</v>
      </c>
      <c r="F11" s="35" t="s">
        <v>550</v>
      </c>
      <c r="G11" s="35">
        <v>34</v>
      </c>
      <c r="H11" s="35">
        <v>1</v>
      </c>
      <c r="I11" s="35">
        <v>2</v>
      </c>
      <c r="J11" s="35">
        <v>5</v>
      </c>
      <c r="K11" s="35">
        <v>2</v>
      </c>
      <c r="L11" s="35">
        <v>4</v>
      </c>
      <c r="M11" s="35">
        <v>15</v>
      </c>
      <c r="N11" s="35">
        <v>7</v>
      </c>
      <c r="O11" s="35">
        <v>16</v>
      </c>
      <c r="P11" s="35">
        <v>123</v>
      </c>
      <c r="Q11" s="35">
        <v>13</v>
      </c>
      <c r="R11" s="35">
        <v>4</v>
      </c>
      <c r="S11" s="35">
        <v>21</v>
      </c>
      <c r="T11" s="35">
        <v>5</v>
      </c>
      <c r="U11" s="35">
        <v>42</v>
      </c>
      <c r="V11" s="35">
        <v>84</v>
      </c>
      <c r="W11" s="35">
        <v>1</v>
      </c>
      <c r="X11" s="35">
        <v>10</v>
      </c>
      <c r="Y11" s="35">
        <v>32</v>
      </c>
      <c r="Z11" s="35" t="s">
        <v>550</v>
      </c>
      <c r="AA11" s="35">
        <v>1</v>
      </c>
      <c r="AB11" s="35">
        <v>57</v>
      </c>
      <c r="AC11" s="35">
        <v>1</v>
      </c>
      <c r="AD11" s="35">
        <v>1</v>
      </c>
      <c r="AE11" s="35">
        <v>47</v>
      </c>
      <c r="AF11" s="35">
        <v>3</v>
      </c>
      <c r="AG11" s="35">
        <v>1</v>
      </c>
      <c r="AH11" s="35">
        <v>6</v>
      </c>
      <c r="AI11" s="35" t="s">
        <v>550</v>
      </c>
      <c r="AJ11" s="35">
        <v>16</v>
      </c>
      <c r="AK11" s="35">
        <v>2</v>
      </c>
      <c r="AL11" s="35"/>
    </row>
    <row r="12" spans="1:38" s="70" customFormat="1" ht="12.75">
      <c r="A12" s="63"/>
      <c r="B12" s="45" t="s">
        <v>37</v>
      </c>
      <c r="C12" s="53">
        <v>1.6178571428571429</v>
      </c>
      <c r="D12" s="14">
        <v>1</v>
      </c>
      <c r="E12" s="14">
        <v>1.4782608695652173</v>
      </c>
      <c r="F12" s="14" t="s">
        <v>550</v>
      </c>
      <c r="G12" s="14">
        <v>1.1470588235294117</v>
      </c>
      <c r="H12" s="14">
        <v>1</v>
      </c>
      <c r="I12" s="14">
        <v>1</v>
      </c>
      <c r="J12" s="14">
        <v>1.2</v>
      </c>
      <c r="K12" s="14">
        <v>1</v>
      </c>
      <c r="L12" s="14">
        <v>1</v>
      </c>
      <c r="M12" s="14">
        <v>1.8</v>
      </c>
      <c r="N12" s="14">
        <v>1.4285714285714286</v>
      </c>
      <c r="O12" s="14">
        <v>1.1875</v>
      </c>
      <c r="P12" s="14">
        <v>1.1788617886178863</v>
      </c>
      <c r="Q12" s="14">
        <v>1.3076923076923077</v>
      </c>
      <c r="R12" s="14">
        <v>1.5</v>
      </c>
      <c r="S12" s="14">
        <v>1.5714285714285714</v>
      </c>
      <c r="T12" s="14">
        <v>1.2</v>
      </c>
      <c r="U12" s="14">
        <v>1.2380952380952381</v>
      </c>
      <c r="V12" s="14">
        <v>1.1428571428571428</v>
      </c>
      <c r="W12" s="14">
        <v>1</v>
      </c>
      <c r="X12" s="14">
        <v>1.3</v>
      </c>
      <c r="Y12" s="14">
        <v>1.34375</v>
      </c>
      <c r="Z12" s="14" t="s">
        <v>550</v>
      </c>
      <c r="AA12" s="14">
        <v>1</v>
      </c>
      <c r="AB12" s="14">
        <v>2.0526315789473686</v>
      </c>
      <c r="AC12" s="14">
        <v>1</v>
      </c>
      <c r="AD12" s="14">
        <v>1</v>
      </c>
      <c r="AE12" s="14">
        <v>1.425531914893617</v>
      </c>
      <c r="AF12" s="14">
        <v>1.6666666666666667</v>
      </c>
      <c r="AG12" s="14">
        <v>1</v>
      </c>
      <c r="AH12" s="14">
        <v>2</v>
      </c>
      <c r="AI12" s="14" t="s">
        <v>550</v>
      </c>
      <c r="AJ12" s="14">
        <v>1.25</v>
      </c>
      <c r="AK12" s="14">
        <v>2.5</v>
      </c>
      <c r="AL12" s="14"/>
    </row>
    <row r="13" spans="1:38" s="68" customFormat="1" ht="12.75">
      <c r="A13" s="26"/>
      <c r="B13" s="16" t="s">
        <v>35</v>
      </c>
      <c r="C13" s="54"/>
      <c r="D13" s="37">
        <v>1</v>
      </c>
      <c r="E13" s="37">
        <v>2</v>
      </c>
      <c r="F13" s="37">
        <v>1</v>
      </c>
      <c r="G13" s="37" t="s">
        <v>550</v>
      </c>
      <c r="H13" s="37" t="s">
        <v>550</v>
      </c>
      <c r="I13" s="37" t="s">
        <v>550</v>
      </c>
      <c r="J13" s="37" t="s">
        <v>550</v>
      </c>
      <c r="K13" s="37" t="s">
        <v>550</v>
      </c>
      <c r="L13" s="37" t="s">
        <v>550</v>
      </c>
      <c r="M13" s="37">
        <v>2</v>
      </c>
      <c r="N13" s="37" t="s">
        <v>550</v>
      </c>
      <c r="O13" s="37" t="s">
        <v>550</v>
      </c>
      <c r="P13" s="37">
        <v>3</v>
      </c>
      <c r="Q13" s="37" t="s">
        <v>550</v>
      </c>
      <c r="R13" s="37">
        <v>2</v>
      </c>
      <c r="S13" s="37">
        <v>8</v>
      </c>
      <c r="T13" s="37">
        <v>2</v>
      </c>
      <c r="U13" s="37">
        <v>13</v>
      </c>
      <c r="V13" s="37">
        <v>16</v>
      </c>
      <c r="W13" s="37" t="s">
        <v>550</v>
      </c>
      <c r="X13" s="37">
        <v>3</v>
      </c>
      <c r="Y13" s="37">
        <v>6</v>
      </c>
      <c r="Z13" s="37">
        <v>1</v>
      </c>
      <c r="AA13" s="37" t="s">
        <v>550</v>
      </c>
      <c r="AB13" s="37" t="s">
        <v>550</v>
      </c>
      <c r="AC13" s="37" t="s">
        <v>550</v>
      </c>
      <c r="AD13" s="37" t="s">
        <v>550</v>
      </c>
      <c r="AE13" s="37">
        <v>4</v>
      </c>
      <c r="AF13" s="37">
        <v>1</v>
      </c>
      <c r="AG13" s="37" t="s">
        <v>550</v>
      </c>
      <c r="AH13" s="37" t="s">
        <v>550</v>
      </c>
      <c r="AI13" s="37">
        <v>1</v>
      </c>
      <c r="AJ13" s="37" t="s">
        <v>550</v>
      </c>
      <c r="AK13" s="37" t="s">
        <v>550</v>
      </c>
      <c r="AL13" s="37"/>
    </row>
    <row r="14" spans="2:38" s="68" customFormat="1" ht="12.75">
      <c r="B14" s="69" t="s">
        <v>36</v>
      </c>
      <c r="C14" s="67"/>
      <c r="D14" s="19" t="s">
        <v>551</v>
      </c>
      <c r="E14" s="19" t="s">
        <v>551</v>
      </c>
      <c r="F14" s="19" t="s">
        <v>551</v>
      </c>
      <c r="G14" s="19" t="s">
        <v>551</v>
      </c>
      <c r="H14" s="19" t="s">
        <v>551</v>
      </c>
      <c r="I14" s="19" t="s">
        <v>551</v>
      </c>
      <c r="J14" s="19" t="s">
        <v>551</v>
      </c>
      <c r="K14" s="19" t="s">
        <v>551</v>
      </c>
      <c r="L14" s="19" t="s">
        <v>551</v>
      </c>
      <c r="M14" s="19" t="s">
        <v>551</v>
      </c>
      <c r="N14" s="19" t="s">
        <v>551</v>
      </c>
      <c r="O14" s="19" t="s">
        <v>551</v>
      </c>
      <c r="P14" s="19" t="s">
        <v>551</v>
      </c>
      <c r="Q14" s="19" t="s">
        <v>551</v>
      </c>
      <c r="R14" s="19" t="s">
        <v>551</v>
      </c>
      <c r="S14" s="19" t="s">
        <v>551</v>
      </c>
      <c r="T14" s="19" t="s">
        <v>551</v>
      </c>
      <c r="U14" s="19" t="s">
        <v>551</v>
      </c>
      <c r="V14" s="19" t="s">
        <v>551</v>
      </c>
      <c r="W14" s="19" t="s">
        <v>551</v>
      </c>
      <c r="X14" s="19" t="s">
        <v>551</v>
      </c>
      <c r="Y14" s="19" t="s">
        <v>551</v>
      </c>
      <c r="Z14" s="19" t="s">
        <v>551</v>
      </c>
      <c r="AA14" s="19" t="s">
        <v>551</v>
      </c>
      <c r="AB14" s="19" t="s">
        <v>551</v>
      </c>
      <c r="AC14" s="19" t="s">
        <v>551</v>
      </c>
      <c r="AD14" s="19" t="s">
        <v>551</v>
      </c>
      <c r="AE14" s="19" t="s">
        <v>551</v>
      </c>
      <c r="AF14" s="19" t="s">
        <v>551</v>
      </c>
      <c r="AG14" s="19" t="s">
        <v>551</v>
      </c>
      <c r="AH14" s="19" t="s">
        <v>551</v>
      </c>
      <c r="AI14" s="19" t="s">
        <v>551</v>
      </c>
      <c r="AJ14" s="19" t="s">
        <v>551</v>
      </c>
      <c r="AK14" s="19" t="s">
        <v>551</v>
      </c>
      <c r="AL14" s="19"/>
    </row>
    <row r="15" spans="2:37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ht="18">
      <c r="B16" s="15" t="s">
        <v>24</v>
      </c>
      <c r="C16" s="74"/>
      <c r="D16" s="25"/>
      <c r="E16" s="119"/>
      <c r="F16" s="119"/>
      <c r="G16" s="120" t="s">
        <v>56</v>
      </c>
      <c r="H16" s="120" t="s">
        <v>1</v>
      </c>
      <c r="I16" s="120" t="s">
        <v>13</v>
      </c>
      <c r="J16" s="120" t="s">
        <v>20</v>
      </c>
      <c r="K16" s="120" t="s">
        <v>37</v>
      </c>
      <c r="L16" s="120" t="s">
        <v>35</v>
      </c>
      <c r="M16" s="120"/>
      <c r="N16" s="120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2:37" ht="12.75">
      <c r="B17" s="11" t="s">
        <v>321</v>
      </c>
      <c r="C17" s="41">
        <v>453</v>
      </c>
      <c r="D17" s="25"/>
      <c r="E17" s="121" t="s">
        <v>128</v>
      </c>
      <c r="F17" s="120" t="s">
        <v>302</v>
      </c>
      <c r="G17" s="120">
        <v>123</v>
      </c>
      <c r="H17" s="122">
        <v>21.170395869191047</v>
      </c>
      <c r="I17" s="122">
        <v>43.92857142857143</v>
      </c>
      <c r="J17" s="122">
        <v>28.018223234624145</v>
      </c>
      <c r="K17" s="122">
        <v>1.1788617886178863</v>
      </c>
      <c r="L17" s="123">
        <v>3</v>
      </c>
      <c r="M17" s="120"/>
      <c r="N17" s="12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2:37" ht="12.75">
      <c r="B18" s="1" t="s">
        <v>51</v>
      </c>
      <c r="C18" s="41">
        <v>280</v>
      </c>
      <c r="D18" s="25"/>
      <c r="E18" s="124" t="s">
        <v>162</v>
      </c>
      <c r="F18" s="125" t="s">
        <v>279</v>
      </c>
      <c r="G18" s="125">
        <v>84</v>
      </c>
      <c r="H18" s="126">
        <v>14.457831325301203</v>
      </c>
      <c r="I18" s="126">
        <v>30</v>
      </c>
      <c r="J18" s="126">
        <v>19.134396355353076</v>
      </c>
      <c r="K18" s="126">
        <v>1.1428571428571428</v>
      </c>
      <c r="L18" s="127">
        <v>16</v>
      </c>
      <c r="M18" s="120"/>
      <c r="N18" s="1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2:37" ht="12.75">
      <c r="B19" s="1" t="s">
        <v>52</v>
      </c>
      <c r="C19" s="41">
        <v>439</v>
      </c>
      <c r="D19" s="25"/>
      <c r="E19" s="124" t="s">
        <v>180</v>
      </c>
      <c r="F19" s="125" t="s">
        <v>305</v>
      </c>
      <c r="G19" s="125">
        <v>57</v>
      </c>
      <c r="H19" s="126">
        <v>9.81067125645439</v>
      </c>
      <c r="I19" s="126">
        <v>20.357142857142858</v>
      </c>
      <c r="J19" s="126">
        <v>12.984054669703873</v>
      </c>
      <c r="K19" s="126">
        <v>2.0526315789473686</v>
      </c>
      <c r="L19" s="127">
        <v>0</v>
      </c>
      <c r="M19" s="120"/>
      <c r="N19" s="1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2:37" ht="12.75">
      <c r="B20" s="9" t="s">
        <v>20</v>
      </c>
      <c r="C20" s="42">
        <v>63.781321184510254</v>
      </c>
      <c r="D20" s="25"/>
      <c r="E20" s="124" t="s">
        <v>466</v>
      </c>
      <c r="F20" s="125" t="s">
        <v>467</v>
      </c>
      <c r="G20" s="125">
        <v>47</v>
      </c>
      <c r="H20" s="126">
        <v>8.089500860585197</v>
      </c>
      <c r="I20" s="126">
        <v>16.785714285714285</v>
      </c>
      <c r="J20" s="126">
        <v>10.70615034168565</v>
      </c>
      <c r="K20" s="126">
        <v>1.425531914893617</v>
      </c>
      <c r="L20" s="127">
        <v>4</v>
      </c>
      <c r="M20" s="120"/>
      <c r="N20" s="1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7" ht="12.75">
      <c r="B21" s="1" t="s">
        <v>3</v>
      </c>
      <c r="C21" s="42">
        <v>0.8999854841050952</v>
      </c>
      <c r="D21" s="25"/>
      <c r="E21" s="124" t="s">
        <v>152</v>
      </c>
      <c r="F21" s="125" t="s">
        <v>153</v>
      </c>
      <c r="G21" s="125">
        <v>42</v>
      </c>
      <c r="H21" s="126">
        <v>7.228915662650602</v>
      </c>
      <c r="I21" s="126">
        <v>15</v>
      </c>
      <c r="J21" s="126">
        <v>9.567198177676538</v>
      </c>
      <c r="K21" s="126">
        <v>1.2380952380952381</v>
      </c>
      <c r="L21" s="127">
        <v>13</v>
      </c>
      <c r="M21" s="120"/>
      <c r="N21" s="12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7" ht="15" customHeight="1">
      <c r="B22" s="1" t="s">
        <v>269</v>
      </c>
      <c r="C22" s="42">
        <v>18</v>
      </c>
      <c r="D22" s="25"/>
      <c r="E22" s="121" t="s">
        <v>568</v>
      </c>
      <c r="F22" s="120" t="s">
        <v>486</v>
      </c>
      <c r="G22" s="120">
        <v>34</v>
      </c>
      <c r="H22" s="122">
        <v>5.851979345955249</v>
      </c>
      <c r="I22" s="122">
        <v>12.142857142857142</v>
      </c>
      <c r="J22" s="122">
        <v>7.744874715261959</v>
      </c>
      <c r="K22" s="122">
        <v>1.1470588235294117</v>
      </c>
      <c r="L22" s="123">
        <v>0</v>
      </c>
      <c r="M22" s="120"/>
      <c r="N22" s="120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7" ht="12.75">
      <c r="B23" s="1" t="s">
        <v>53</v>
      </c>
      <c r="C23" s="43">
        <v>20</v>
      </c>
      <c r="D23" s="25"/>
      <c r="E23" s="124" t="s">
        <v>262</v>
      </c>
      <c r="F23" s="125" t="s">
        <v>173</v>
      </c>
      <c r="G23" s="125">
        <v>32</v>
      </c>
      <c r="H23" s="126">
        <v>5.507745266781411</v>
      </c>
      <c r="I23" s="126">
        <v>11.428571428571429</v>
      </c>
      <c r="J23" s="126">
        <v>7.289293849658314</v>
      </c>
      <c r="K23" s="126">
        <v>1.34375</v>
      </c>
      <c r="L23" s="127">
        <v>6</v>
      </c>
      <c r="M23" s="120"/>
      <c r="N23" s="12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7" ht="12.75">
      <c r="B24" s="1" t="s">
        <v>27</v>
      </c>
      <c r="C24" s="43">
        <v>433</v>
      </c>
      <c r="D24" s="25"/>
      <c r="E24" s="121" t="s">
        <v>64</v>
      </c>
      <c r="F24" s="120" t="s">
        <v>65</v>
      </c>
      <c r="G24" s="120">
        <v>23</v>
      </c>
      <c r="H24" s="122">
        <v>3.9586919104991396</v>
      </c>
      <c r="I24" s="122">
        <v>8.214285714285714</v>
      </c>
      <c r="J24" s="122">
        <v>5.239179954441914</v>
      </c>
      <c r="K24" s="122">
        <v>1.4782608695652173</v>
      </c>
      <c r="L24" s="123">
        <v>2</v>
      </c>
      <c r="M24" s="120"/>
      <c r="N24" s="12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7" ht="12.75">
      <c r="B25" s="1" t="s">
        <v>32</v>
      </c>
      <c r="C25" s="44">
        <v>1.3234624145785876</v>
      </c>
      <c r="D25" s="25"/>
      <c r="E25" s="121" t="s">
        <v>140</v>
      </c>
      <c r="F25" s="120" t="s">
        <v>141</v>
      </c>
      <c r="G25" s="120">
        <v>21</v>
      </c>
      <c r="H25" s="122">
        <v>3.614457831325301</v>
      </c>
      <c r="I25" s="122">
        <v>7.5</v>
      </c>
      <c r="J25" s="122">
        <v>4.783599088838269</v>
      </c>
      <c r="K25" s="122">
        <v>1.5714285714285714</v>
      </c>
      <c r="L25" s="123">
        <v>8</v>
      </c>
      <c r="M25" s="120"/>
      <c r="N25" s="12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7" ht="12.75">
      <c r="B26" s="1" t="s">
        <v>54</v>
      </c>
      <c r="C26" s="44">
        <v>2.075</v>
      </c>
      <c r="D26" s="25"/>
      <c r="E26" s="121" t="s">
        <v>124</v>
      </c>
      <c r="F26" s="120" t="s">
        <v>125</v>
      </c>
      <c r="G26" s="120">
        <v>16</v>
      </c>
      <c r="H26" s="122">
        <v>2.7538726333907055</v>
      </c>
      <c r="I26" s="122">
        <v>5.714285714285714</v>
      </c>
      <c r="J26" s="122">
        <v>3.644646924829157</v>
      </c>
      <c r="K26" s="122">
        <v>1.1875</v>
      </c>
      <c r="L26" s="123">
        <v>0</v>
      </c>
      <c r="M26" s="120"/>
      <c r="N26" s="120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7" ht="12.75">
      <c r="B27" s="1" t="s">
        <v>28</v>
      </c>
      <c r="C27" s="44">
        <v>1.3234624145785876</v>
      </c>
      <c r="D27" s="25"/>
      <c r="E27" s="124" t="s">
        <v>249</v>
      </c>
      <c r="F27" s="125" t="s">
        <v>250</v>
      </c>
      <c r="G27" s="125">
        <v>16</v>
      </c>
      <c r="H27" s="126">
        <v>2.7538726333907055</v>
      </c>
      <c r="I27" s="126">
        <v>5.714285714285714</v>
      </c>
      <c r="J27" s="126">
        <v>3.644646924829157</v>
      </c>
      <c r="K27" s="126">
        <v>1.25</v>
      </c>
      <c r="L27" s="127">
        <v>0</v>
      </c>
      <c r="M27" s="120"/>
      <c r="N27" s="12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7" ht="12.75">
      <c r="B28" s="1" t="s">
        <v>55</v>
      </c>
      <c r="C28" s="44">
        <v>2.075</v>
      </c>
      <c r="D28" s="25"/>
      <c r="E28" s="121" t="s">
        <v>94</v>
      </c>
      <c r="F28" s="120" t="s">
        <v>95</v>
      </c>
      <c r="G28" s="120">
        <v>15</v>
      </c>
      <c r="H28" s="122">
        <v>2.5817555938037864</v>
      </c>
      <c r="I28" s="122">
        <v>5.357142857142857</v>
      </c>
      <c r="J28" s="122">
        <v>3.416856492027335</v>
      </c>
      <c r="K28" s="122">
        <v>1.8</v>
      </c>
      <c r="L28" s="123">
        <v>2</v>
      </c>
      <c r="M28" s="120"/>
      <c r="N28" s="12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7" ht="12.75">
      <c r="B29" s="1" t="s">
        <v>34</v>
      </c>
      <c r="C29" s="41">
        <v>31</v>
      </c>
      <c r="D29" s="25"/>
      <c r="E29" s="128" t="s">
        <v>130</v>
      </c>
      <c r="F29" s="129" t="s">
        <v>300</v>
      </c>
      <c r="G29" s="129">
        <v>13</v>
      </c>
      <c r="H29" s="130">
        <v>2.237521514629948</v>
      </c>
      <c r="I29" s="130">
        <v>4.642857142857143</v>
      </c>
      <c r="J29" s="130">
        <v>2.9612756264236904</v>
      </c>
      <c r="K29" s="130">
        <v>1.3076923076923077</v>
      </c>
      <c r="L29" s="131">
        <v>0</v>
      </c>
      <c r="M29" s="120"/>
      <c r="N29" s="120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7" ht="12.75">
      <c r="B30" s="1" t="s">
        <v>33</v>
      </c>
      <c r="C30" s="41">
        <v>34</v>
      </c>
      <c r="D30" s="32"/>
      <c r="E30" s="124" t="s">
        <v>167</v>
      </c>
      <c r="F30" s="125" t="s">
        <v>287</v>
      </c>
      <c r="G30" s="125">
        <v>10</v>
      </c>
      <c r="H30" s="126">
        <v>1.7211703958691909</v>
      </c>
      <c r="I30" s="126">
        <v>3.571428571428571</v>
      </c>
      <c r="J30" s="126">
        <v>2.277904328018223</v>
      </c>
      <c r="K30" s="126">
        <v>1.3</v>
      </c>
      <c r="L30" s="127">
        <v>3</v>
      </c>
      <c r="M30" s="129"/>
      <c r="N30" s="129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25"/>
    </row>
    <row r="31" spans="2:37" ht="12.75">
      <c r="B31" s="1" t="s">
        <v>470</v>
      </c>
      <c r="C31" s="41">
        <v>46</v>
      </c>
      <c r="D31" s="32"/>
      <c r="E31" s="121" t="s">
        <v>263</v>
      </c>
      <c r="F31" s="120" t="s">
        <v>104</v>
      </c>
      <c r="G31" s="120">
        <v>7</v>
      </c>
      <c r="H31" s="122">
        <v>1.2048192771084338</v>
      </c>
      <c r="I31" s="122">
        <v>2.5</v>
      </c>
      <c r="J31" s="122">
        <v>1.5945330296127564</v>
      </c>
      <c r="K31" s="122">
        <v>1.4285714285714286</v>
      </c>
      <c r="L31" s="123">
        <v>0</v>
      </c>
      <c r="M31" s="129"/>
      <c r="N31" s="129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5"/>
    </row>
    <row r="32" spans="2:37" ht="15" customHeight="1">
      <c r="B32" s="1" t="s">
        <v>468</v>
      </c>
      <c r="C32" s="42">
        <v>5.5928571428571425</v>
      </c>
      <c r="D32" s="25"/>
      <c r="E32" s="124" t="s">
        <v>245</v>
      </c>
      <c r="F32" s="125" t="s">
        <v>246</v>
      </c>
      <c r="G32" s="125">
        <v>6</v>
      </c>
      <c r="H32" s="126">
        <v>1.0327022375215145</v>
      </c>
      <c r="I32" s="126">
        <v>2.142857142857143</v>
      </c>
      <c r="J32" s="126">
        <v>1.366742596810934</v>
      </c>
      <c r="K32" s="126">
        <v>2</v>
      </c>
      <c r="L32" s="127">
        <v>0</v>
      </c>
      <c r="M32" s="120"/>
      <c r="N32" s="120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ht="15" customHeight="1">
      <c r="B33" s="1" t="s">
        <v>469</v>
      </c>
      <c r="C33" s="42">
        <v>6</v>
      </c>
      <c r="D33" s="25"/>
      <c r="E33" s="121" t="s">
        <v>83</v>
      </c>
      <c r="F33" s="120" t="s">
        <v>84</v>
      </c>
      <c r="G33" s="120">
        <v>5</v>
      </c>
      <c r="H33" s="122">
        <v>0.8605851979345954</v>
      </c>
      <c r="I33" s="122">
        <v>1.7857142857142856</v>
      </c>
      <c r="J33" s="122">
        <v>1.1389521640091116</v>
      </c>
      <c r="K33" s="122">
        <v>1.2</v>
      </c>
      <c r="L33" s="123">
        <v>0</v>
      </c>
      <c r="M33" s="120"/>
      <c r="N33" s="120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ht="12.75">
      <c r="B34" s="1" t="s">
        <v>474</v>
      </c>
      <c r="C34" s="42">
        <v>1.6178571428571429</v>
      </c>
      <c r="E34" s="121" t="s">
        <v>148</v>
      </c>
      <c r="F34" s="120" t="s">
        <v>149</v>
      </c>
      <c r="G34" s="120">
        <v>5</v>
      </c>
      <c r="H34" s="122">
        <v>0.8605851979345954</v>
      </c>
      <c r="I34" s="122">
        <v>1.7857142857142856</v>
      </c>
      <c r="J34" s="122">
        <v>1.1389521640091116</v>
      </c>
      <c r="K34" s="122">
        <v>1.2</v>
      </c>
      <c r="L34" s="123">
        <v>2</v>
      </c>
      <c r="M34" s="125"/>
      <c r="N34" s="125"/>
      <c r="AK34" s="25"/>
    </row>
    <row r="35" spans="2:37" ht="15.75">
      <c r="B35" s="85" t="s">
        <v>268</v>
      </c>
      <c r="E35" s="121" t="s">
        <v>88</v>
      </c>
      <c r="F35" s="120" t="s">
        <v>89</v>
      </c>
      <c r="G35" s="120">
        <v>4</v>
      </c>
      <c r="H35" s="122">
        <v>0.6884681583476764</v>
      </c>
      <c r="I35" s="122">
        <v>1.4285714285714286</v>
      </c>
      <c r="J35" s="122">
        <v>0.9111617312072893</v>
      </c>
      <c r="K35" s="122">
        <v>1</v>
      </c>
      <c r="L35" s="123">
        <v>0</v>
      </c>
      <c r="M35" s="125"/>
      <c r="N35" s="125"/>
      <c r="AK35" s="25"/>
    </row>
    <row r="36" spans="5:37" ht="12.75">
      <c r="E36" s="128" t="s">
        <v>138</v>
      </c>
      <c r="F36" s="129" t="s">
        <v>139</v>
      </c>
      <c r="G36" s="129">
        <v>4</v>
      </c>
      <c r="H36" s="130">
        <v>0.6884681583476764</v>
      </c>
      <c r="I36" s="130">
        <v>1.4285714285714286</v>
      </c>
      <c r="J36" s="130">
        <v>0.9111617312072893</v>
      </c>
      <c r="K36" s="130">
        <v>1.5</v>
      </c>
      <c r="L36" s="131">
        <v>2</v>
      </c>
      <c r="M36" s="125"/>
      <c r="N36" s="125"/>
      <c r="AK36" s="25"/>
    </row>
    <row r="37" spans="5:37" ht="12.75">
      <c r="E37" s="124" t="s">
        <v>208</v>
      </c>
      <c r="F37" s="125" t="s">
        <v>209</v>
      </c>
      <c r="G37" s="125">
        <v>3</v>
      </c>
      <c r="H37" s="126">
        <v>0.5163511187607572</v>
      </c>
      <c r="I37" s="126">
        <v>1.0714285714285714</v>
      </c>
      <c r="J37" s="126">
        <v>0.683371298405467</v>
      </c>
      <c r="K37" s="126">
        <v>1.6666666666666667</v>
      </c>
      <c r="L37" s="127">
        <v>1</v>
      </c>
      <c r="M37" s="125"/>
      <c r="N37" s="125"/>
      <c r="AK37" s="25"/>
    </row>
    <row r="38" spans="5:37" ht="12.75">
      <c r="E38" s="121" t="s">
        <v>315</v>
      </c>
      <c r="F38" s="120" t="s">
        <v>116</v>
      </c>
      <c r="G38" s="120">
        <v>2</v>
      </c>
      <c r="H38" s="122">
        <v>0.3442340791738382</v>
      </c>
      <c r="I38" s="122">
        <v>0.7142857142857143</v>
      </c>
      <c r="J38" s="122">
        <v>0.45558086560364464</v>
      </c>
      <c r="K38" s="122">
        <v>1</v>
      </c>
      <c r="L38" s="123">
        <v>1</v>
      </c>
      <c r="M38" s="125"/>
      <c r="N38" s="125"/>
      <c r="AK38" s="25"/>
    </row>
    <row r="39" spans="5:37" ht="12.75">
      <c r="E39" s="124" t="s">
        <v>488</v>
      </c>
      <c r="F39" s="125" t="s">
        <v>498</v>
      </c>
      <c r="G39" s="125">
        <v>2</v>
      </c>
      <c r="H39" s="126">
        <v>0.3442340791738382</v>
      </c>
      <c r="I39" s="126">
        <v>0.7142857142857143</v>
      </c>
      <c r="J39" s="126">
        <v>0.45558086560364464</v>
      </c>
      <c r="K39" s="126">
        <v>2.5</v>
      </c>
      <c r="L39" s="127">
        <v>0</v>
      </c>
      <c r="M39" s="125"/>
      <c r="N39" s="125"/>
      <c r="AK39" s="25"/>
    </row>
    <row r="40" spans="5:37" ht="12.75">
      <c r="E40" s="121" t="s">
        <v>80</v>
      </c>
      <c r="F40" s="120" t="s">
        <v>81</v>
      </c>
      <c r="G40" s="120">
        <v>2</v>
      </c>
      <c r="H40" s="122">
        <v>0.3442340791738382</v>
      </c>
      <c r="I40" s="122">
        <v>0.7142857142857143</v>
      </c>
      <c r="J40" s="122">
        <v>0.45558086560364464</v>
      </c>
      <c r="K40" s="122">
        <v>1</v>
      </c>
      <c r="L40" s="123">
        <v>0</v>
      </c>
      <c r="M40" s="125"/>
      <c r="N40" s="125"/>
      <c r="AK40" s="25"/>
    </row>
    <row r="41" spans="5:37" ht="12.75">
      <c r="E41" s="121" t="s">
        <v>86</v>
      </c>
      <c r="F41" s="120" t="s">
        <v>87</v>
      </c>
      <c r="G41" s="120">
        <v>2</v>
      </c>
      <c r="H41" s="122">
        <v>0.3442340791738382</v>
      </c>
      <c r="I41" s="122">
        <v>0.7142857142857143</v>
      </c>
      <c r="J41" s="122">
        <v>0.45558086560364464</v>
      </c>
      <c r="K41" s="122">
        <v>1</v>
      </c>
      <c r="L41" s="123">
        <v>0</v>
      </c>
      <c r="M41" s="125"/>
      <c r="N41" s="125"/>
      <c r="AK41" s="25"/>
    </row>
    <row r="42" spans="5:37" ht="12.75">
      <c r="E42" s="121" t="s">
        <v>78</v>
      </c>
      <c r="F42" s="120" t="s">
        <v>79</v>
      </c>
      <c r="G42" s="120">
        <v>1</v>
      </c>
      <c r="H42" s="122">
        <v>0.1721170395869191</v>
      </c>
      <c r="I42" s="122">
        <v>0.35714285714285715</v>
      </c>
      <c r="J42" s="122">
        <v>0.22779043280182232</v>
      </c>
      <c r="K42" s="122">
        <v>1</v>
      </c>
      <c r="L42" s="123">
        <v>0</v>
      </c>
      <c r="M42" s="125"/>
      <c r="N42" s="125"/>
      <c r="AK42" s="25"/>
    </row>
    <row r="43" spans="5:37" ht="12.75">
      <c r="E43" s="124" t="s">
        <v>165</v>
      </c>
      <c r="F43" s="125" t="s">
        <v>166</v>
      </c>
      <c r="G43" s="125">
        <v>1</v>
      </c>
      <c r="H43" s="126">
        <v>0.1721170395869191</v>
      </c>
      <c r="I43" s="126">
        <v>0.35714285714285715</v>
      </c>
      <c r="J43" s="126">
        <v>0.22779043280182232</v>
      </c>
      <c r="K43" s="126">
        <v>1</v>
      </c>
      <c r="L43" s="127">
        <v>0</v>
      </c>
      <c r="M43" s="125"/>
      <c r="N43" s="125"/>
      <c r="AK43" s="25"/>
    </row>
    <row r="44" spans="5:37" ht="12.75">
      <c r="E44" s="124" t="s">
        <v>178</v>
      </c>
      <c r="F44" s="125" t="s">
        <v>179</v>
      </c>
      <c r="G44" s="125">
        <v>1</v>
      </c>
      <c r="H44" s="126">
        <v>0.1721170395869191</v>
      </c>
      <c r="I44" s="126">
        <v>0.35714285714285715</v>
      </c>
      <c r="J44" s="126">
        <v>0.22779043280182232</v>
      </c>
      <c r="K44" s="126">
        <v>1</v>
      </c>
      <c r="L44" s="127">
        <v>0</v>
      </c>
      <c r="M44" s="125"/>
      <c r="N44" s="125"/>
      <c r="AK44" s="25"/>
    </row>
    <row r="45" spans="5:37" ht="12.75">
      <c r="E45" s="124" t="s">
        <v>187</v>
      </c>
      <c r="F45" s="125" t="s">
        <v>188</v>
      </c>
      <c r="G45" s="125">
        <v>1</v>
      </c>
      <c r="H45" s="126">
        <v>0.1721170395869191</v>
      </c>
      <c r="I45" s="126">
        <v>0.35714285714285715</v>
      </c>
      <c r="J45" s="126">
        <v>0.22779043280182232</v>
      </c>
      <c r="K45" s="126">
        <v>1</v>
      </c>
      <c r="L45" s="127">
        <v>0</v>
      </c>
      <c r="M45" s="125"/>
      <c r="N45" s="125"/>
      <c r="AK45" s="25"/>
    </row>
    <row r="46" spans="5:37" ht="12.75">
      <c r="E46" s="124" t="s">
        <v>191</v>
      </c>
      <c r="F46" s="125" t="s">
        <v>192</v>
      </c>
      <c r="G46" s="125">
        <v>1</v>
      </c>
      <c r="H46" s="126">
        <v>0.1721170395869191</v>
      </c>
      <c r="I46" s="126">
        <v>0.35714285714285715</v>
      </c>
      <c r="J46" s="126">
        <v>0.22779043280182232</v>
      </c>
      <c r="K46" s="126">
        <v>1</v>
      </c>
      <c r="L46" s="127">
        <v>0</v>
      </c>
      <c r="M46" s="125"/>
      <c r="N46" s="125"/>
      <c r="AK46" s="25"/>
    </row>
    <row r="47" spans="5:37" ht="12.75">
      <c r="E47" s="124" t="s">
        <v>216</v>
      </c>
      <c r="F47" s="125" t="s">
        <v>487</v>
      </c>
      <c r="G47" s="125">
        <v>1</v>
      </c>
      <c r="H47" s="126">
        <v>0.1721170395869191</v>
      </c>
      <c r="I47" s="126">
        <v>0.35714285714285715</v>
      </c>
      <c r="J47" s="126">
        <v>0.22779043280182232</v>
      </c>
      <c r="K47" s="126">
        <v>1</v>
      </c>
      <c r="L47" s="127">
        <v>0</v>
      </c>
      <c r="M47" s="125"/>
      <c r="N47" s="125"/>
      <c r="AK47" s="25"/>
    </row>
    <row r="48" spans="5:37" ht="12.75">
      <c r="E48" s="121" t="s">
        <v>66</v>
      </c>
      <c r="F48" s="120" t="s">
        <v>276</v>
      </c>
      <c r="G48" s="132" t="s">
        <v>489</v>
      </c>
      <c r="H48" s="132" t="s">
        <v>489</v>
      </c>
      <c r="I48" s="132" t="s">
        <v>489</v>
      </c>
      <c r="J48" s="132" t="s">
        <v>489</v>
      </c>
      <c r="K48" s="132" t="s">
        <v>489</v>
      </c>
      <c r="L48" s="123">
        <v>1</v>
      </c>
      <c r="M48" s="125"/>
      <c r="N48" s="125"/>
      <c r="AK48" s="25"/>
    </row>
    <row r="49" spans="5:37" ht="12.75">
      <c r="E49" s="124" t="s">
        <v>176</v>
      </c>
      <c r="F49" s="125" t="s">
        <v>177</v>
      </c>
      <c r="G49" s="132" t="s">
        <v>489</v>
      </c>
      <c r="H49" s="132" t="s">
        <v>489</v>
      </c>
      <c r="I49" s="132" t="s">
        <v>489</v>
      </c>
      <c r="J49" s="132" t="s">
        <v>489</v>
      </c>
      <c r="K49" s="132" t="s">
        <v>489</v>
      </c>
      <c r="L49" s="127">
        <v>1</v>
      </c>
      <c r="M49" s="125"/>
      <c r="N49" s="125"/>
      <c r="AK49" s="25"/>
    </row>
    <row r="50" spans="5:37" ht="12.75">
      <c r="E50" s="124" t="s">
        <v>247</v>
      </c>
      <c r="F50" s="125" t="s">
        <v>248</v>
      </c>
      <c r="G50" s="132" t="s">
        <v>489</v>
      </c>
      <c r="H50" s="132" t="s">
        <v>489</v>
      </c>
      <c r="I50" s="132" t="s">
        <v>489</v>
      </c>
      <c r="J50" s="132" t="s">
        <v>489</v>
      </c>
      <c r="K50" s="132" t="s">
        <v>489</v>
      </c>
      <c r="L50" s="127">
        <v>1</v>
      </c>
      <c r="M50" s="125"/>
      <c r="N50" s="125"/>
      <c r="AK50" s="25"/>
    </row>
    <row r="51" spans="5:14" ht="12.75">
      <c r="E51" s="124" t="s">
        <v>541</v>
      </c>
      <c r="F51" s="125" t="s">
        <v>494</v>
      </c>
      <c r="G51" s="132" t="s">
        <v>497</v>
      </c>
      <c r="H51" s="132" t="s">
        <v>497</v>
      </c>
      <c r="I51" s="132" t="s">
        <v>497</v>
      </c>
      <c r="J51" s="132" t="s">
        <v>497</v>
      </c>
      <c r="K51" s="132" t="s">
        <v>497</v>
      </c>
      <c r="L51" s="132" t="s">
        <v>497</v>
      </c>
      <c r="M51" s="125"/>
      <c r="N51" s="125"/>
    </row>
    <row r="52" spans="5:14" ht="12.75">
      <c r="E52" s="124" t="s">
        <v>70</v>
      </c>
      <c r="F52" s="125" t="s">
        <v>71</v>
      </c>
      <c r="G52" s="132" t="s">
        <v>497</v>
      </c>
      <c r="H52" s="132" t="s">
        <v>497</v>
      </c>
      <c r="I52" s="132" t="s">
        <v>497</v>
      </c>
      <c r="J52" s="132" t="s">
        <v>497</v>
      </c>
      <c r="K52" s="132" t="s">
        <v>497</v>
      </c>
      <c r="L52" s="132" t="s">
        <v>497</v>
      </c>
      <c r="M52" s="125"/>
      <c r="N52" s="125"/>
    </row>
    <row r="53" spans="5:14" ht="12.75">
      <c r="E53" s="124" t="s">
        <v>491</v>
      </c>
      <c r="F53" s="125" t="s">
        <v>492</v>
      </c>
      <c r="G53" s="132" t="s">
        <v>497</v>
      </c>
      <c r="H53" s="132" t="s">
        <v>497</v>
      </c>
      <c r="I53" s="132" t="s">
        <v>497</v>
      </c>
      <c r="J53" s="132" t="s">
        <v>497</v>
      </c>
      <c r="K53" s="132" t="s">
        <v>497</v>
      </c>
      <c r="L53" s="132" t="s">
        <v>497</v>
      </c>
      <c r="M53" s="125"/>
      <c r="N53" s="125"/>
    </row>
    <row r="54" spans="5:14" ht="12.75">
      <c r="E54" s="124" t="s">
        <v>92</v>
      </c>
      <c r="F54" s="125" t="s">
        <v>93</v>
      </c>
      <c r="G54" s="132" t="s">
        <v>497</v>
      </c>
      <c r="H54" s="132" t="s">
        <v>497</v>
      </c>
      <c r="I54" s="132" t="s">
        <v>497</v>
      </c>
      <c r="J54" s="132" t="s">
        <v>497</v>
      </c>
      <c r="K54" s="132" t="s">
        <v>497</v>
      </c>
      <c r="L54" s="132" t="s">
        <v>497</v>
      </c>
      <c r="M54" s="125"/>
      <c r="N54" s="125"/>
    </row>
    <row r="55" spans="5:14" ht="12.75">
      <c r="E55" s="124" t="s">
        <v>103</v>
      </c>
      <c r="F55" s="125" t="s">
        <v>298</v>
      </c>
      <c r="G55" s="132" t="s">
        <v>497</v>
      </c>
      <c r="H55" s="132" t="s">
        <v>497</v>
      </c>
      <c r="I55" s="132" t="s">
        <v>497</v>
      </c>
      <c r="J55" s="132" t="s">
        <v>497</v>
      </c>
      <c r="K55" s="132" t="s">
        <v>497</v>
      </c>
      <c r="L55" s="132" t="s">
        <v>497</v>
      </c>
      <c r="M55" s="125"/>
      <c r="N55" s="125"/>
    </row>
    <row r="56" spans="5:14" ht="12.75">
      <c r="E56" s="124" t="s">
        <v>495</v>
      </c>
      <c r="F56" s="125" t="s">
        <v>496</v>
      </c>
      <c r="G56" s="132" t="s">
        <v>497</v>
      </c>
      <c r="H56" s="132" t="s">
        <v>497</v>
      </c>
      <c r="I56" s="132" t="s">
        <v>497</v>
      </c>
      <c r="J56" s="132" t="s">
        <v>497</v>
      </c>
      <c r="K56" s="132" t="s">
        <v>497</v>
      </c>
      <c r="L56" s="132" t="s">
        <v>497</v>
      </c>
      <c r="M56" s="125"/>
      <c r="N56" s="125"/>
    </row>
    <row r="57" spans="5:14" ht="12.75">
      <c r="E57" s="124" t="s">
        <v>493</v>
      </c>
      <c r="F57" s="125" t="s">
        <v>542</v>
      </c>
      <c r="G57" s="132" t="s">
        <v>497</v>
      </c>
      <c r="H57" s="132" t="s">
        <v>497</v>
      </c>
      <c r="I57" s="132" t="s">
        <v>497</v>
      </c>
      <c r="J57" s="132" t="s">
        <v>497</v>
      </c>
      <c r="K57" s="132" t="s">
        <v>497</v>
      </c>
      <c r="L57" s="132" t="s">
        <v>497</v>
      </c>
      <c r="M57" s="125"/>
      <c r="N57" s="125"/>
    </row>
    <row r="58" spans="5:14" ht="12.75">
      <c r="E58" s="124" t="s">
        <v>267</v>
      </c>
      <c r="F58" s="125" t="s">
        <v>490</v>
      </c>
      <c r="G58" s="132" t="s">
        <v>497</v>
      </c>
      <c r="H58" s="132" t="s">
        <v>497</v>
      </c>
      <c r="I58" s="132" t="s">
        <v>497</v>
      </c>
      <c r="J58" s="132" t="s">
        <v>497</v>
      </c>
      <c r="K58" s="132" t="s">
        <v>497</v>
      </c>
      <c r="L58" s="132" t="s">
        <v>497</v>
      </c>
      <c r="M58" s="125"/>
      <c r="N58" s="125"/>
    </row>
    <row r="59" spans="5:14" ht="12.75">
      <c r="E59" s="124" t="s">
        <v>157</v>
      </c>
      <c r="F59" s="125" t="s">
        <v>158</v>
      </c>
      <c r="G59" s="132" t="s">
        <v>497</v>
      </c>
      <c r="H59" s="132" t="s">
        <v>497</v>
      </c>
      <c r="I59" s="132" t="s">
        <v>497</v>
      </c>
      <c r="J59" s="132" t="s">
        <v>497</v>
      </c>
      <c r="K59" s="132" t="s">
        <v>497</v>
      </c>
      <c r="L59" s="132" t="s">
        <v>497</v>
      </c>
      <c r="M59" s="125"/>
      <c r="N59" s="125"/>
    </row>
    <row r="60" spans="5:14" ht="12.75">
      <c r="E60" s="124" t="s">
        <v>200</v>
      </c>
      <c r="F60" s="125" t="s">
        <v>201</v>
      </c>
      <c r="G60" s="132" t="s">
        <v>497</v>
      </c>
      <c r="H60" s="132" t="s">
        <v>497</v>
      </c>
      <c r="I60" s="132" t="s">
        <v>497</v>
      </c>
      <c r="J60" s="132" t="s">
        <v>497</v>
      </c>
      <c r="K60" s="132" t="s">
        <v>497</v>
      </c>
      <c r="L60" s="132" t="s">
        <v>497</v>
      </c>
      <c r="M60" s="125"/>
      <c r="N60" s="125"/>
    </row>
    <row r="61" spans="5:14" ht="12.75">
      <c r="E61" s="124" t="s">
        <v>210</v>
      </c>
      <c r="F61" s="125" t="s">
        <v>211</v>
      </c>
      <c r="G61" s="132" t="s">
        <v>497</v>
      </c>
      <c r="H61" s="132" t="s">
        <v>497</v>
      </c>
      <c r="I61" s="132" t="s">
        <v>497</v>
      </c>
      <c r="J61" s="132" t="s">
        <v>497</v>
      </c>
      <c r="K61" s="132" t="s">
        <v>497</v>
      </c>
      <c r="L61" s="132" t="s">
        <v>497</v>
      </c>
      <c r="M61" s="125"/>
      <c r="N61" s="125"/>
    </row>
    <row r="62" spans="5:12" ht="12.75">
      <c r="E62" s="124" t="s">
        <v>232</v>
      </c>
      <c r="F62" s="125" t="s">
        <v>233</v>
      </c>
      <c r="G62" s="132" t="s">
        <v>497</v>
      </c>
      <c r="H62" s="132" t="s">
        <v>497</v>
      </c>
      <c r="I62" s="132" t="s">
        <v>497</v>
      </c>
      <c r="J62" s="132" t="s">
        <v>497</v>
      </c>
      <c r="K62" s="132" t="s">
        <v>497</v>
      </c>
      <c r="L62" s="132" t="s">
        <v>497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J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265</v>
      </c>
      <c r="B1" s="1" t="s">
        <v>266</v>
      </c>
    </row>
    <row r="2" spans="1:2" ht="12.75">
      <c r="A2">
        <v>1</v>
      </c>
      <c r="B2">
        <f>COUNTIF('ENTRY '!G2:G455,"&lt;=1")</f>
        <v>4</v>
      </c>
    </row>
    <row r="3" spans="1:2" ht="12.75">
      <c r="A3">
        <v>2</v>
      </c>
      <c r="B3">
        <f>COUNTIF('ENTRY '!G2:G455,"&lt;=2")-(B2)</f>
        <v>16</v>
      </c>
    </row>
    <row r="4" spans="1:2" ht="12.75">
      <c r="A4">
        <v>3</v>
      </c>
      <c r="B4">
        <f>COUNTIF('ENTRY '!G2:G455,"&lt;=3")-(B2+B3)</f>
        <v>18</v>
      </c>
    </row>
    <row r="5" spans="1:2" ht="12.75">
      <c r="A5">
        <v>4</v>
      </c>
      <c r="B5">
        <f>COUNTIF('ENTRY '!G2:G455,"&lt;=4")-(SUM(B2:B4))</f>
        <v>25</v>
      </c>
    </row>
    <row r="6" spans="1:2" ht="12.75">
      <c r="A6">
        <v>5</v>
      </c>
      <c r="B6">
        <f>COUNTIF('ENTRY '!G2:G455,"&lt;=5")-(SUM(B2:B5))</f>
        <v>40</v>
      </c>
    </row>
    <row r="7" spans="1:2" ht="12.75">
      <c r="A7">
        <v>6</v>
      </c>
      <c r="B7">
        <f>COUNTIF('ENTRY '!G2:G455,"&lt;=6")-(SUM(B2:B6))</f>
        <v>75</v>
      </c>
    </row>
    <row r="8" spans="1:2" ht="12.75">
      <c r="A8">
        <v>7</v>
      </c>
      <c r="B8">
        <f>COUNTIF('ENTRY '!G2:G455,"&lt;=7")-(SUM(B2:B7))</f>
        <v>28</v>
      </c>
    </row>
    <row r="9" spans="1:2" ht="12.75">
      <c r="A9">
        <v>8</v>
      </c>
      <c r="B9">
        <f>COUNTIF('ENTRY '!G2:G455,"&lt;=8")-(SUM(B2:B8))</f>
        <v>6</v>
      </c>
    </row>
    <row r="10" spans="1:2" ht="12.75">
      <c r="A10">
        <v>9</v>
      </c>
      <c r="B10">
        <f>COUNTIF('ENTRY '!G2:G455,"&lt;=9")-(SUM(B2:B9))</f>
        <v>2</v>
      </c>
    </row>
    <row r="11" spans="1:2" ht="12.75">
      <c r="A11">
        <v>10</v>
      </c>
      <c r="B11">
        <f>COUNTIF('ENTRY '!G2:G455,"&lt;=10")-(SUM(B2:B10))</f>
        <v>0</v>
      </c>
    </row>
    <row r="12" spans="1:2" ht="12.75">
      <c r="A12">
        <v>11</v>
      </c>
      <c r="B12">
        <f>COUNTIF('ENTRY '!G2:G455,"&lt;=11")-(SUM(B2:B11))</f>
        <v>1</v>
      </c>
    </row>
    <row r="13" spans="1:2" ht="12.75">
      <c r="A13">
        <v>12</v>
      </c>
      <c r="B13">
        <f>COUNTIF('ENTRY '!G2:G455,"&lt;=12")-(SUM(B2:B12))</f>
        <v>0</v>
      </c>
    </row>
    <row r="14" spans="1:2" ht="12.75">
      <c r="A14">
        <v>13</v>
      </c>
      <c r="B14">
        <f>COUNTIF('ENTRY '!G2:G455,"&lt;=13")-(SUM(B2:B13))</f>
        <v>3</v>
      </c>
    </row>
    <row r="15" spans="1:2" ht="12.75">
      <c r="A15">
        <v>14</v>
      </c>
      <c r="B15">
        <f>COUNTIF('ENTRY '!G2:G455,"&lt;=14")-(SUM(B2:B14))</f>
        <v>0</v>
      </c>
    </row>
    <row r="16" spans="1:2" ht="12.75">
      <c r="A16">
        <v>15</v>
      </c>
      <c r="B16">
        <f>COUNTIF('ENTRY '!G2:G455,"&lt;=15")-(SUM(B2:B15))</f>
        <v>1</v>
      </c>
    </row>
    <row r="17" spans="1:2" ht="12.75">
      <c r="A17">
        <v>16</v>
      </c>
      <c r="B17">
        <f>COUNTIF('ENTRY '!G2:G455,"&lt;=16")-(SUM(B2:B16))</f>
        <v>0</v>
      </c>
    </row>
    <row r="18" spans="1:2" ht="12.75">
      <c r="A18">
        <v>17</v>
      </c>
      <c r="B18">
        <f>COUNTIF('ENTRY '!G2:G455,"&lt;=17")-(SUM(B2:B17))</f>
        <v>1</v>
      </c>
    </row>
    <row r="19" spans="1:2" ht="12.75">
      <c r="A19">
        <v>18</v>
      </c>
      <c r="B19">
        <f>COUNTIF('ENTRY '!G2:G455,"&lt;=18")-(SUM(B2:B18))</f>
        <v>2</v>
      </c>
    </row>
    <row r="20" spans="1:2" ht="12.75">
      <c r="A20">
        <v>19</v>
      </c>
      <c r="B20">
        <f>COUNTIF('ENTRY '!G2:G455,"&lt;=19")-(SUM(B2:B19))</f>
        <v>4</v>
      </c>
    </row>
    <row r="21" spans="1:2" ht="12.75">
      <c r="A21">
        <v>20</v>
      </c>
      <c r="B21">
        <f>COUNTIF('ENTRY '!G2:G455,"&lt;=20")-(SUM(B2:B20))</f>
        <v>0</v>
      </c>
    </row>
    <row r="22" spans="1:2" ht="12.75">
      <c r="A22">
        <v>21</v>
      </c>
      <c r="B22">
        <f>COUNTIF('ENTRY '!G2:G455,"&lt;=21")-(SUM(B2:B21))</f>
        <v>1</v>
      </c>
    </row>
    <row r="23" spans="1:2" ht="12.75">
      <c r="A23">
        <v>22</v>
      </c>
      <c r="B23">
        <f>COUNTIF('ENTRY '!G2:G455,"&lt;=22")-(SUM(B2:B22))</f>
        <v>1</v>
      </c>
    </row>
    <row r="24" spans="1:2" ht="12.75">
      <c r="A24">
        <v>23</v>
      </c>
      <c r="B24">
        <f>COUNTIF('ENTRY '!G2:G455,"&lt;=23")-(SUM(B2:B23))</f>
        <v>0</v>
      </c>
    </row>
    <row r="25" spans="1:2" ht="12.75">
      <c r="A25">
        <v>24</v>
      </c>
      <c r="B25">
        <f>COUNTIF('ENTRY '!G2:G455,"&lt;=24")-(SUM(B2:B24))</f>
        <v>0</v>
      </c>
    </row>
    <row r="26" spans="1:2" ht="12.75">
      <c r="A26">
        <v>25</v>
      </c>
      <c r="B26">
        <f>COUNTIF('ENTRY '!G2:G455,"&lt;=25")-(SUM(B2:B25))</f>
        <v>0</v>
      </c>
    </row>
    <row r="27" spans="1:2" ht="12.75">
      <c r="A27">
        <v>26</v>
      </c>
      <c r="B27">
        <f>COUNTIF('ENTRY '!G2:G455,"&lt;=26")-(SUM(B2:B26))</f>
        <v>0</v>
      </c>
    </row>
    <row r="28" spans="1:2" ht="12.75">
      <c r="A28">
        <v>27</v>
      </c>
      <c r="B28">
        <f>COUNTIF('ENTRY '!G2:G455,"&lt;=27")-(SUM(B2:B27))</f>
        <v>0</v>
      </c>
    </row>
    <row r="29" spans="1:2" ht="12.75">
      <c r="A29">
        <v>28</v>
      </c>
      <c r="B29">
        <f>COUNTIF('ENTRY '!G2:G455,"&lt;=28")-(SUM(B2:B28))</f>
        <v>0</v>
      </c>
    </row>
    <row r="30" spans="1:2" ht="12.75">
      <c r="A30">
        <v>29</v>
      </c>
      <c r="B30">
        <f>COUNTIF('ENTRY '!G2:G455,"&lt;=29")-(SUM(B2:B29))</f>
        <v>0</v>
      </c>
    </row>
    <row r="31" spans="1:2" ht="12.75">
      <c r="A31">
        <v>30</v>
      </c>
      <c r="B31">
        <f>COUNTIF('ENTRY '!G2:G455,"&lt;=30")-(SUM(B2:B30))</f>
        <v>0</v>
      </c>
    </row>
    <row r="32" spans="1:2" ht="12.75">
      <c r="A32">
        <v>31</v>
      </c>
      <c r="B32">
        <f>COUNTIF('ENTRY '!G2:G455,"&lt;=31")-(SUM(B2:B31))</f>
        <v>0</v>
      </c>
    </row>
    <row r="33" spans="1:2" ht="12.75">
      <c r="A33">
        <v>32</v>
      </c>
      <c r="B33">
        <f>COUNTIF('ENTRY '!G2:G455,"&lt;=32")-(SUM(B2:B32))</f>
        <v>0</v>
      </c>
    </row>
    <row r="34" spans="1:2" ht="12.75">
      <c r="A34">
        <v>33</v>
      </c>
      <c r="B34">
        <f>COUNTIF('ENTRY '!G2:G455,"&lt;=33")-(SUM(B2:B33))</f>
        <v>0</v>
      </c>
    </row>
    <row r="35" spans="1:2" ht="12.75">
      <c r="A35">
        <v>34</v>
      </c>
      <c r="B35">
        <f>COUNTIF('ENTRY '!G2:G455,"&lt;=34")-(SUM(B2:B34))</f>
        <v>0</v>
      </c>
    </row>
    <row r="36" spans="1:2" ht="12.75">
      <c r="A36">
        <v>35</v>
      </c>
      <c r="B36">
        <f>COUNTIF('ENTRY '!G2:G455,"&lt;=35")-(SUM(B2:B35))</f>
        <v>0</v>
      </c>
    </row>
    <row r="37" spans="1:2" ht="12.75">
      <c r="A37">
        <v>36</v>
      </c>
      <c r="B37">
        <f>COUNTIF('ENTRY '!G2:G455,"&lt;=36")-(SUM(B2:B36))</f>
        <v>0</v>
      </c>
    </row>
    <row r="38" spans="1:2" ht="12.75">
      <c r="A38">
        <v>37</v>
      </c>
      <c r="B38">
        <f>COUNTIF('ENTRY '!G2:G455,"&lt;=37")-(SUM(B2:B37))</f>
        <v>0</v>
      </c>
    </row>
    <row r="39" spans="1:2" ht="12.75">
      <c r="A39">
        <v>38</v>
      </c>
      <c r="B39">
        <f>COUNTIF('ENTRY '!G2:G455,"&lt;=38")-(SUM(B2:B38))</f>
        <v>0</v>
      </c>
    </row>
    <row r="40" spans="1:2" ht="12.75">
      <c r="A40">
        <v>39</v>
      </c>
      <c r="B40">
        <f>COUNTIF('ENTRY '!G2:G455,"&lt;=39")-(SUM(B2:B39))</f>
        <v>0</v>
      </c>
    </row>
    <row r="41" spans="1:2" ht="12.75">
      <c r="A41">
        <v>40</v>
      </c>
      <c r="B41">
        <f>COUNTIF('ENTRY '!G2:G455,"&lt;=40")-(SUM(B2:B40))</f>
        <v>0</v>
      </c>
    </row>
    <row r="43" ht="13.5" thickBot="1">
      <c r="G43" s="84"/>
    </row>
    <row r="44" spans="1:7" ht="15">
      <c r="A44" s="87" t="s">
        <v>317</v>
      </c>
      <c r="B44" s="88"/>
      <c r="C44" s="88"/>
      <c r="D44" s="88"/>
      <c r="E44" s="88"/>
      <c r="F44" s="89"/>
      <c r="G44" s="93"/>
    </row>
    <row r="45" spans="1:7" ht="15" thickBot="1">
      <c r="A45" s="90" t="s">
        <v>316</v>
      </c>
      <c r="B45" s="91"/>
      <c r="C45" s="91"/>
      <c r="D45" s="91"/>
      <c r="E45" s="91"/>
      <c r="F45" s="92"/>
      <c r="G45" s="9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1">
      <selection activeCell="A23" sqref="A23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tr">
        <f>IF('ENTRY '!I2="","",'ENTRY '!I2)</f>
        <v>Clear Lake (Spider Chain)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tr">
        <f>IF('ENTRY '!I3="","",'ENTRY '!I3)</f>
        <v>Sawyer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tr">
        <f>IF('ENTRY '!I5="","",'ENTRY '!I5)</f>
        <v>8 4 2017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59" t="s">
        <v>293</v>
      </c>
      <c r="B9" s="160" t="s">
        <v>292</v>
      </c>
      <c r="C9" s="161">
        <v>7</v>
      </c>
      <c r="D9" s="162">
        <f>IF(STATS!F11&lt;&gt;"",1,0)</f>
        <v>0</v>
      </c>
      <c r="E9" s="163">
        <f aca="true" t="shared" si="0" ref="E9:E72">C9*D9</f>
        <v>0</v>
      </c>
    </row>
    <row r="10" spans="1:5" ht="14.25" customHeight="1">
      <c r="A10" s="164" t="s">
        <v>62</v>
      </c>
      <c r="B10" s="165" t="s">
        <v>274</v>
      </c>
      <c r="C10" s="166">
        <v>4</v>
      </c>
      <c r="D10" s="162">
        <f>IF(STATS!G11&lt;&gt;"",1,0)</f>
        <v>0</v>
      </c>
      <c r="E10" s="163">
        <f t="shared" si="0"/>
        <v>0</v>
      </c>
    </row>
    <row r="11" spans="1:5" ht="14.25" customHeight="1">
      <c r="A11" s="167" t="s">
        <v>315</v>
      </c>
      <c r="B11" s="165" t="s">
        <v>116</v>
      </c>
      <c r="C11" s="166">
        <v>8</v>
      </c>
      <c r="D11" s="168">
        <f>IF(STATS!H11&lt;&gt;"",1,0)</f>
        <v>1</v>
      </c>
      <c r="E11" s="163">
        <f t="shared" si="0"/>
        <v>8</v>
      </c>
    </row>
    <row r="12" spans="1:5" ht="14.25" customHeight="1">
      <c r="A12" s="164" t="s">
        <v>63</v>
      </c>
      <c r="B12" s="169" t="s">
        <v>275</v>
      </c>
      <c r="C12" s="166">
        <v>6</v>
      </c>
      <c r="D12" s="168">
        <f>IF(STATS!I11&lt;&gt;"",1,0)</f>
        <v>0</v>
      </c>
      <c r="E12" s="163">
        <f t="shared" si="0"/>
        <v>0</v>
      </c>
    </row>
    <row r="13" spans="1:5" ht="14.25" customHeight="1">
      <c r="A13" s="167" t="s">
        <v>64</v>
      </c>
      <c r="B13" s="165" t="s">
        <v>65</v>
      </c>
      <c r="C13" s="170">
        <v>6</v>
      </c>
      <c r="D13" s="168">
        <f>IF(STATS!J11&lt;&gt;"",1,0)</f>
        <v>1</v>
      </c>
      <c r="E13" s="163">
        <f t="shared" si="0"/>
        <v>6</v>
      </c>
    </row>
    <row r="14" spans="1:5" ht="14.25" customHeight="1">
      <c r="A14" s="167" t="s">
        <v>66</v>
      </c>
      <c r="B14" s="165" t="s">
        <v>276</v>
      </c>
      <c r="C14" s="170">
        <v>9</v>
      </c>
      <c r="D14" s="168">
        <f>IF(STATS!K11&lt;&gt;"",1,0)</f>
        <v>0</v>
      </c>
      <c r="E14" s="163">
        <f t="shared" si="0"/>
        <v>0</v>
      </c>
    </row>
    <row r="15" spans="1:5" ht="14.25" customHeight="1">
      <c r="A15" s="164" t="s">
        <v>67</v>
      </c>
      <c r="B15" s="165" t="s">
        <v>294</v>
      </c>
      <c r="C15" s="166">
        <v>9</v>
      </c>
      <c r="D15" s="168">
        <f>IF(STATS!L11&lt;&gt;"",1,0)</f>
        <v>0</v>
      </c>
      <c r="E15" s="163">
        <f t="shared" si="0"/>
        <v>0</v>
      </c>
    </row>
    <row r="16" spans="1:5" ht="14.25" customHeight="1">
      <c r="A16" s="164" t="s">
        <v>68</v>
      </c>
      <c r="B16" s="165" t="s">
        <v>295</v>
      </c>
      <c r="C16" s="166">
        <v>9</v>
      </c>
      <c r="D16" s="168">
        <f>IF(STATS!M11&lt;&gt;"",1,0)</f>
        <v>0</v>
      </c>
      <c r="E16" s="163">
        <f t="shared" si="0"/>
        <v>0</v>
      </c>
    </row>
    <row r="17" spans="1:5" ht="14.25" customHeight="1">
      <c r="A17" s="167" t="s">
        <v>69</v>
      </c>
      <c r="B17" s="165" t="s">
        <v>296</v>
      </c>
      <c r="C17" s="170">
        <v>8</v>
      </c>
      <c r="D17" s="168">
        <f>IF(STATS!N11&lt;&gt;"",1,0)</f>
        <v>0</v>
      </c>
      <c r="E17" s="163">
        <f t="shared" si="0"/>
        <v>0</v>
      </c>
    </row>
    <row r="18" spans="1:5" ht="14.25" customHeight="1">
      <c r="A18" s="167" t="s">
        <v>70</v>
      </c>
      <c r="B18" s="165" t="s">
        <v>71</v>
      </c>
      <c r="C18" s="170">
        <v>5</v>
      </c>
      <c r="D18" s="168">
        <f>IF(STATS!O11&lt;&gt;"",1,0)</f>
        <v>0</v>
      </c>
      <c r="E18" s="163">
        <f t="shared" si="0"/>
        <v>0</v>
      </c>
    </row>
    <row r="19" spans="1:5" ht="14.25" customHeight="1">
      <c r="A19" s="167" t="s">
        <v>72</v>
      </c>
      <c r="B19" s="171" t="s">
        <v>73</v>
      </c>
      <c r="C19" s="170">
        <v>10</v>
      </c>
      <c r="D19" s="168">
        <f>IF(STATS!P11&lt;&gt;"",1,0)</f>
        <v>0</v>
      </c>
      <c r="E19" s="163">
        <f t="shared" si="0"/>
        <v>0</v>
      </c>
    </row>
    <row r="20" spans="1:5" ht="14.25" customHeight="1">
      <c r="A20" s="167" t="s">
        <v>74</v>
      </c>
      <c r="B20" s="165" t="s">
        <v>75</v>
      </c>
      <c r="C20" s="170">
        <v>3</v>
      </c>
      <c r="D20" s="168">
        <f>IF(STATS!Q11&lt;&gt;"",1,0)</f>
        <v>0</v>
      </c>
      <c r="E20" s="163">
        <f t="shared" si="0"/>
        <v>0</v>
      </c>
    </row>
    <row r="21" spans="1:5" ht="14.25" customHeight="1">
      <c r="A21" s="164" t="s">
        <v>76</v>
      </c>
      <c r="B21" s="165" t="s">
        <v>272</v>
      </c>
      <c r="C21" s="166">
        <v>10</v>
      </c>
      <c r="D21" s="168">
        <f>IF(STATS!R11&lt;&gt;"",1,0)</f>
        <v>0</v>
      </c>
      <c r="E21" s="163">
        <f t="shared" si="0"/>
        <v>0</v>
      </c>
    </row>
    <row r="22" spans="1:5" ht="14.25" customHeight="1">
      <c r="A22" s="167" t="s">
        <v>575</v>
      </c>
      <c r="B22" s="165" t="s">
        <v>486</v>
      </c>
      <c r="C22" s="170">
        <v>7</v>
      </c>
      <c r="D22" s="168">
        <f>IF(STATS!S11&lt;&gt;"",1,0)</f>
        <v>1</v>
      </c>
      <c r="E22" s="163">
        <f t="shared" si="0"/>
        <v>7</v>
      </c>
    </row>
    <row r="23" spans="1:5" ht="14.25" customHeight="1">
      <c r="A23" s="167" t="s">
        <v>78</v>
      </c>
      <c r="B23" s="172" t="s">
        <v>79</v>
      </c>
      <c r="C23" s="170">
        <v>9</v>
      </c>
      <c r="D23" s="168">
        <f>IF(STATS!V11&lt;&gt;"",1,0)</f>
        <v>0</v>
      </c>
      <c r="E23" s="163">
        <f t="shared" si="0"/>
        <v>0</v>
      </c>
    </row>
    <row r="24" spans="1:5" ht="14.25" customHeight="1">
      <c r="A24" s="167" t="s">
        <v>80</v>
      </c>
      <c r="B24" s="165" t="s">
        <v>81</v>
      </c>
      <c r="C24" s="170">
        <v>9</v>
      </c>
      <c r="D24" s="168">
        <f>IF(STATS!W11&lt;&gt;"",1,0)</f>
        <v>0</v>
      </c>
      <c r="E24" s="163">
        <f t="shared" si="0"/>
        <v>0</v>
      </c>
    </row>
    <row r="25" spans="1:5" ht="14.25" customHeight="1">
      <c r="A25" s="164" t="s">
        <v>82</v>
      </c>
      <c r="B25" s="165" t="s">
        <v>277</v>
      </c>
      <c r="C25" s="166">
        <v>9</v>
      </c>
      <c r="D25" s="168">
        <f>IF(STATS!X11&lt;&gt;"",1,0)</f>
        <v>0</v>
      </c>
      <c r="E25" s="163">
        <f t="shared" si="0"/>
        <v>0</v>
      </c>
    </row>
    <row r="26" spans="1:5" ht="14.25" customHeight="1">
      <c r="A26" s="167" t="s">
        <v>83</v>
      </c>
      <c r="B26" s="165" t="s">
        <v>84</v>
      </c>
      <c r="C26" s="170">
        <v>5</v>
      </c>
      <c r="D26" s="168">
        <f>IF(STATS!Y11&lt;&gt;"",1,0)</f>
        <v>1</v>
      </c>
      <c r="E26" s="163">
        <f t="shared" si="0"/>
        <v>5</v>
      </c>
    </row>
    <row r="27" spans="1:5" ht="14.25" customHeight="1">
      <c r="A27" s="167" t="s">
        <v>85</v>
      </c>
      <c r="B27" s="171" t="s">
        <v>278</v>
      </c>
      <c r="C27" s="170">
        <v>3</v>
      </c>
      <c r="D27" s="168">
        <f>IF(STATS!Z11&lt;&gt;"",1,0)</f>
        <v>0</v>
      </c>
      <c r="E27" s="163">
        <f t="shared" si="0"/>
        <v>0</v>
      </c>
    </row>
    <row r="28" spans="1:5" ht="14.25" customHeight="1">
      <c r="A28" s="167" t="s">
        <v>86</v>
      </c>
      <c r="B28" s="165" t="s">
        <v>87</v>
      </c>
      <c r="C28" s="170">
        <v>6</v>
      </c>
      <c r="D28" s="168">
        <f>IF(STATS!AA11&lt;&gt;"",1,0)</f>
        <v>1</v>
      </c>
      <c r="E28" s="163">
        <f t="shared" si="0"/>
        <v>6</v>
      </c>
    </row>
    <row r="29" spans="1:5" ht="14.25" customHeight="1">
      <c r="A29" s="167" t="s">
        <v>88</v>
      </c>
      <c r="B29" s="165" t="s">
        <v>89</v>
      </c>
      <c r="C29" s="170">
        <v>3</v>
      </c>
      <c r="D29" s="168">
        <f>IF(STATS!AC11&lt;&gt;"",1,0)</f>
        <v>0</v>
      </c>
      <c r="E29" s="163">
        <f t="shared" si="0"/>
        <v>0</v>
      </c>
    </row>
    <row r="30" spans="1:5" ht="14.25" customHeight="1">
      <c r="A30" s="164" t="s">
        <v>90</v>
      </c>
      <c r="B30" s="165" t="s">
        <v>91</v>
      </c>
      <c r="C30" s="166">
        <v>7</v>
      </c>
      <c r="D30" s="168">
        <f>IF(STATS!AD11&lt;&gt;"",1,0)</f>
        <v>0</v>
      </c>
      <c r="E30" s="163">
        <f t="shared" si="0"/>
        <v>0</v>
      </c>
    </row>
    <row r="31" spans="1:5" ht="14.25" customHeight="1">
      <c r="A31" s="167" t="s">
        <v>92</v>
      </c>
      <c r="B31" s="165" t="s">
        <v>93</v>
      </c>
      <c r="C31" s="170">
        <v>7</v>
      </c>
      <c r="D31" s="168">
        <f>IF(STATS!AE11&lt;&gt;"",1,0)</f>
        <v>0</v>
      </c>
      <c r="E31" s="163">
        <f t="shared" si="0"/>
        <v>0</v>
      </c>
    </row>
    <row r="32" spans="1:5" ht="14.25" customHeight="1">
      <c r="A32" s="167" t="s">
        <v>94</v>
      </c>
      <c r="B32" s="165" t="s">
        <v>95</v>
      </c>
      <c r="C32" s="170">
        <v>9</v>
      </c>
      <c r="D32" s="168">
        <f>IF(STATS!AF11&lt;&gt;"",1,0)</f>
        <v>1</v>
      </c>
      <c r="E32" s="163">
        <f t="shared" si="0"/>
        <v>9</v>
      </c>
    </row>
    <row r="33" spans="1:5" ht="14.25" customHeight="1">
      <c r="A33" s="164" t="s">
        <v>96</v>
      </c>
      <c r="B33" s="165" t="s">
        <v>97</v>
      </c>
      <c r="C33" s="166">
        <v>8</v>
      </c>
      <c r="D33" s="168">
        <f>IF(STATS!AG11&lt;&gt;"",1,0)</f>
        <v>0</v>
      </c>
      <c r="E33" s="163">
        <f t="shared" si="0"/>
        <v>0</v>
      </c>
    </row>
    <row r="34" spans="1:5" ht="14.25" customHeight="1">
      <c r="A34" s="167" t="s">
        <v>98</v>
      </c>
      <c r="B34" s="165" t="s">
        <v>297</v>
      </c>
      <c r="C34" s="170">
        <v>10</v>
      </c>
      <c r="D34" s="168">
        <f>IF(STATS!AH11&lt;&gt;"",1,0)</f>
        <v>0</v>
      </c>
      <c r="E34" s="163">
        <f t="shared" si="0"/>
        <v>0</v>
      </c>
    </row>
    <row r="35" spans="1:5" ht="14.25" customHeight="1">
      <c r="A35" s="167" t="s">
        <v>99</v>
      </c>
      <c r="B35" s="165" t="s">
        <v>100</v>
      </c>
      <c r="C35" s="170">
        <v>6</v>
      </c>
      <c r="D35" s="168">
        <f>IF(STATS!AI11&lt;&gt;"",1,0)</f>
        <v>0</v>
      </c>
      <c r="E35" s="163">
        <f t="shared" si="0"/>
        <v>0</v>
      </c>
    </row>
    <row r="36" spans="1:5" ht="14.25" customHeight="1">
      <c r="A36" s="167" t="s">
        <v>101</v>
      </c>
      <c r="B36" s="165" t="s">
        <v>102</v>
      </c>
      <c r="C36" s="170">
        <v>8</v>
      </c>
      <c r="D36" s="168">
        <f>IF(STATS!AL11&lt;&gt;"",1,0)</f>
        <v>0</v>
      </c>
      <c r="E36" s="163">
        <f t="shared" si="0"/>
        <v>0</v>
      </c>
    </row>
    <row r="37" spans="1:5" ht="14.25" customHeight="1">
      <c r="A37" s="167" t="s">
        <v>103</v>
      </c>
      <c r="B37" s="165" t="s">
        <v>298</v>
      </c>
      <c r="C37" s="170">
        <v>8</v>
      </c>
      <c r="D37" s="168">
        <f>IF(STATS!AM11&lt;&gt;"",1,0)</f>
        <v>0</v>
      </c>
      <c r="E37" s="163">
        <f t="shared" si="0"/>
        <v>0</v>
      </c>
    </row>
    <row r="38" spans="1:5" ht="14.25" customHeight="1">
      <c r="A38" s="167" t="s">
        <v>569</v>
      </c>
      <c r="B38" s="165" t="s">
        <v>313</v>
      </c>
      <c r="C38" s="170">
        <v>8</v>
      </c>
      <c r="D38" s="168">
        <f>IF(STATS!AN11&lt;&gt;"",1,0)</f>
        <v>0</v>
      </c>
      <c r="E38" s="163">
        <f t="shared" si="0"/>
        <v>0</v>
      </c>
    </row>
    <row r="39" spans="1:5" ht="14.25" customHeight="1">
      <c r="A39" s="167" t="s">
        <v>263</v>
      </c>
      <c r="B39" s="165" t="s">
        <v>104</v>
      </c>
      <c r="C39" s="170">
        <v>8</v>
      </c>
      <c r="D39" s="168">
        <f>IF(STATS!AO11&lt;&gt;"",1,0)</f>
        <v>1</v>
      </c>
      <c r="E39" s="163">
        <f t="shared" si="0"/>
        <v>8</v>
      </c>
    </row>
    <row r="40" spans="1:5" ht="14.25" customHeight="1">
      <c r="A40" s="167" t="s">
        <v>105</v>
      </c>
      <c r="B40" s="171" t="s">
        <v>106</v>
      </c>
      <c r="C40" s="170">
        <v>4</v>
      </c>
      <c r="D40" s="168">
        <f>IF(STATS!AP11&lt;&gt;"",1,0)</f>
        <v>0</v>
      </c>
      <c r="E40" s="163">
        <f t="shared" si="0"/>
        <v>0</v>
      </c>
    </row>
    <row r="41" spans="1:5" ht="14.25" customHeight="1">
      <c r="A41" s="164" t="s">
        <v>107</v>
      </c>
      <c r="B41" s="165" t="s">
        <v>108</v>
      </c>
      <c r="C41" s="166">
        <v>4</v>
      </c>
      <c r="D41" s="168">
        <f>IF(STATS!AQ11&lt;&gt;"",1,0)</f>
        <v>0</v>
      </c>
      <c r="E41" s="163">
        <f t="shared" si="0"/>
        <v>0</v>
      </c>
    </row>
    <row r="42" spans="1:5" ht="14.25" customHeight="1">
      <c r="A42" s="164" t="s">
        <v>109</v>
      </c>
      <c r="B42" s="173" t="s">
        <v>110</v>
      </c>
      <c r="C42" s="166">
        <v>10</v>
      </c>
      <c r="D42" s="168">
        <f>IF(STATS!AR11&lt;&gt;"",1,0)</f>
        <v>0</v>
      </c>
      <c r="E42" s="163">
        <f t="shared" si="0"/>
        <v>0</v>
      </c>
    </row>
    <row r="43" spans="1:5" ht="14.25" customHeight="1">
      <c r="A43" s="164" t="s">
        <v>111</v>
      </c>
      <c r="B43" s="165" t="s">
        <v>281</v>
      </c>
      <c r="C43" s="166">
        <v>6</v>
      </c>
      <c r="D43" s="168">
        <f>IF(STATS!AS11&lt;&gt;"",1,0)</f>
        <v>0</v>
      </c>
      <c r="E43" s="163">
        <f t="shared" si="0"/>
        <v>0</v>
      </c>
    </row>
    <row r="44" spans="1:5" ht="14.25" customHeight="1">
      <c r="A44" s="164" t="s">
        <v>299</v>
      </c>
      <c r="B44" s="165" t="s">
        <v>112</v>
      </c>
      <c r="C44" s="166">
        <v>10</v>
      </c>
      <c r="D44" s="168">
        <f>IF(STATS!AT11&lt;&gt;"",1,0)</f>
        <v>0</v>
      </c>
      <c r="E44" s="163">
        <f t="shared" si="0"/>
        <v>0</v>
      </c>
    </row>
    <row r="45" spans="1:5" ht="14.25" customHeight="1">
      <c r="A45" s="167" t="s">
        <v>113</v>
      </c>
      <c r="B45" s="165" t="s">
        <v>114</v>
      </c>
      <c r="C45" s="170">
        <v>10</v>
      </c>
      <c r="D45" s="168">
        <f>IF(STATS!AU11&lt;&gt;"",1,0)</f>
        <v>0</v>
      </c>
      <c r="E45" s="163">
        <f t="shared" si="0"/>
        <v>0</v>
      </c>
    </row>
    <row r="46" spans="1:5" ht="14.25" customHeight="1">
      <c r="A46" s="167" t="s">
        <v>115</v>
      </c>
      <c r="B46" s="173" t="s">
        <v>282</v>
      </c>
      <c r="C46" s="170">
        <v>4</v>
      </c>
      <c r="D46" s="168">
        <f>IF(STATS!AV11&lt;&gt;"",1,0)</f>
        <v>0</v>
      </c>
      <c r="E46" s="163">
        <f t="shared" si="0"/>
        <v>0</v>
      </c>
    </row>
    <row r="47" spans="1:5" ht="14.25" customHeight="1">
      <c r="A47" s="164" t="s">
        <v>117</v>
      </c>
      <c r="B47" s="165" t="s">
        <v>118</v>
      </c>
      <c r="C47" s="166">
        <v>10</v>
      </c>
      <c r="D47" s="168">
        <f>IF(STATS!AX11&lt;&gt;"",1,0)</f>
        <v>0</v>
      </c>
      <c r="E47" s="163">
        <f t="shared" si="0"/>
        <v>0</v>
      </c>
    </row>
    <row r="48" spans="1:5" ht="14.25" customHeight="1">
      <c r="A48" s="167" t="s">
        <v>119</v>
      </c>
      <c r="B48" s="165" t="s">
        <v>120</v>
      </c>
      <c r="C48" s="170">
        <v>8</v>
      </c>
      <c r="D48" s="168">
        <f>IF(STATS!AY11&lt;&gt;"",1,0)</f>
        <v>0</v>
      </c>
      <c r="E48" s="163">
        <f t="shared" si="0"/>
        <v>0</v>
      </c>
    </row>
    <row r="49" spans="1:5" ht="14.25" customHeight="1">
      <c r="A49" s="164" t="s">
        <v>121</v>
      </c>
      <c r="B49" s="165" t="s">
        <v>122</v>
      </c>
      <c r="C49" s="166">
        <v>7</v>
      </c>
      <c r="D49" s="168">
        <f>IF(STATS!AZ11&lt;&gt;"",1,0)</f>
        <v>0</v>
      </c>
      <c r="E49" s="163">
        <f t="shared" si="0"/>
        <v>0</v>
      </c>
    </row>
    <row r="50" spans="1:5" ht="14.25" customHeight="1">
      <c r="A50" s="164" t="s">
        <v>267</v>
      </c>
      <c r="B50" s="165" t="s">
        <v>123</v>
      </c>
      <c r="C50" s="166">
        <v>6</v>
      </c>
      <c r="D50" s="168">
        <f>IF(STATS!BA11&lt;&gt;"",1,0)</f>
        <v>1</v>
      </c>
      <c r="E50" s="163">
        <f t="shared" si="0"/>
        <v>6</v>
      </c>
    </row>
    <row r="51" spans="1:5" ht="14.25" customHeight="1">
      <c r="A51" s="167" t="s">
        <v>124</v>
      </c>
      <c r="B51" s="165" t="s">
        <v>125</v>
      </c>
      <c r="C51" s="170">
        <v>10</v>
      </c>
      <c r="D51" s="168">
        <f>IF(STATS!BB11&lt;&gt;"",1,0)</f>
        <v>1</v>
      </c>
      <c r="E51" s="163">
        <f t="shared" si="0"/>
        <v>10</v>
      </c>
    </row>
    <row r="52" spans="1:5" ht="14.25" customHeight="1">
      <c r="A52" s="167" t="s">
        <v>126</v>
      </c>
      <c r="B52" s="165" t="s">
        <v>127</v>
      </c>
      <c r="C52" s="170">
        <v>8</v>
      </c>
      <c r="D52" s="168">
        <f>IF(STATS!BC11&lt;&gt;"",1,0)</f>
        <v>0</v>
      </c>
      <c r="E52" s="163">
        <f t="shared" si="0"/>
        <v>0</v>
      </c>
    </row>
    <row r="53" spans="1:5" ht="14.25" customHeight="1">
      <c r="A53" s="167" t="s">
        <v>128</v>
      </c>
      <c r="B53" s="165" t="s">
        <v>302</v>
      </c>
      <c r="C53" s="170">
        <v>6</v>
      </c>
      <c r="D53" s="168">
        <f>IF(STATS!BD11&lt;&gt;"",1,0)</f>
        <v>1</v>
      </c>
      <c r="E53" s="163">
        <f t="shared" si="0"/>
        <v>6</v>
      </c>
    </row>
    <row r="54" spans="1:5" ht="14.25" customHeight="1">
      <c r="A54" s="167" t="s">
        <v>129</v>
      </c>
      <c r="B54" s="171" t="s">
        <v>301</v>
      </c>
      <c r="C54" s="170">
        <v>7</v>
      </c>
      <c r="D54" s="168">
        <f>IF(STATS!BE11&lt;&gt;"",1,0)</f>
        <v>0</v>
      </c>
      <c r="E54" s="163">
        <f t="shared" si="0"/>
        <v>0</v>
      </c>
    </row>
    <row r="55" spans="1:5" ht="14.25" customHeight="1">
      <c r="A55" s="167" t="s">
        <v>130</v>
      </c>
      <c r="B55" s="171" t="s">
        <v>300</v>
      </c>
      <c r="C55" s="170">
        <v>8</v>
      </c>
      <c r="D55" s="168">
        <f>IF(STATS!BF11&lt;&gt;"",1,0)</f>
        <v>1</v>
      </c>
      <c r="E55" s="163">
        <f t="shared" si="0"/>
        <v>8</v>
      </c>
    </row>
    <row r="56" spans="1:5" ht="14.25" customHeight="1">
      <c r="A56" s="164" t="s">
        <v>131</v>
      </c>
      <c r="B56" s="173" t="s">
        <v>283</v>
      </c>
      <c r="C56" s="166">
        <v>7</v>
      </c>
      <c r="D56" s="168">
        <f>IF(STATS!BH11&lt;&gt;"",1,0)</f>
        <v>0</v>
      </c>
      <c r="E56" s="163">
        <f t="shared" si="0"/>
        <v>0</v>
      </c>
    </row>
    <row r="57" spans="1:5" ht="14.25" customHeight="1">
      <c r="A57" s="167" t="s">
        <v>602</v>
      </c>
      <c r="B57" s="165" t="s">
        <v>132</v>
      </c>
      <c r="C57" s="170">
        <v>7</v>
      </c>
      <c r="D57" s="168">
        <f>IF(STATS!BI11&lt;&gt;"",1,0)</f>
        <v>0</v>
      </c>
      <c r="E57" s="163">
        <f t="shared" si="0"/>
        <v>0</v>
      </c>
    </row>
    <row r="58" spans="1:5" ht="14.25" customHeight="1">
      <c r="A58" s="164" t="s">
        <v>133</v>
      </c>
      <c r="B58" s="165" t="s">
        <v>134</v>
      </c>
      <c r="C58" s="166">
        <v>8</v>
      </c>
      <c r="D58" s="168">
        <f>IF(STATS!BJ11&lt;&gt;"",1,0)</f>
        <v>0</v>
      </c>
      <c r="E58" s="163">
        <f t="shared" si="0"/>
        <v>0</v>
      </c>
    </row>
    <row r="59" spans="1:5" ht="14.25" customHeight="1">
      <c r="A59" s="167" t="s">
        <v>135</v>
      </c>
      <c r="B59" s="165" t="s">
        <v>136</v>
      </c>
      <c r="C59" s="170">
        <v>9</v>
      </c>
      <c r="D59" s="168">
        <f>IF(STATS!BK11&lt;&gt;"",1,0)</f>
        <v>0</v>
      </c>
      <c r="E59" s="163">
        <f t="shared" si="0"/>
        <v>0</v>
      </c>
    </row>
    <row r="60" spans="1:5" ht="14.25" customHeight="1">
      <c r="A60" s="167" t="s">
        <v>570</v>
      </c>
      <c r="B60" s="165" t="s">
        <v>137</v>
      </c>
      <c r="C60" s="170">
        <v>9</v>
      </c>
      <c r="D60" s="168">
        <f>IF(STATS!BL11&lt;&gt;"",1,0)</f>
        <v>0</v>
      </c>
      <c r="E60" s="163">
        <f t="shared" si="0"/>
        <v>0</v>
      </c>
    </row>
    <row r="61" spans="1:5" ht="14.25" customHeight="1">
      <c r="A61" s="167" t="s">
        <v>138</v>
      </c>
      <c r="B61" s="165" t="s">
        <v>139</v>
      </c>
      <c r="C61" s="170">
        <v>6</v>
      </c>
      <c r="D61" s="168">
        <f>IF(STATS!BM11&lt;&gt;"",1,0)</f>
        <v>1</v>
      </c>
      <c r="E61" s="163">
        <f t="shared" si="0"/>
        <v>6</v>
      </c>
    </row>
    <row r="62" spans="1:5" ht="14.25" customHeight="1">
      <c r="A62" s="167" t="s">
        <v>140</v>
      </c>
      <c r="B62" s="165" t="s">
        <v>141</v>
      </c>
      <c r="C62" s="170">
        <v>6</v>
      </c>
      <c r="D62" s="168">
        <f>IF(STATS!BN11&lt;&gt;"",1,0)</f>
        <v>1</v>
      </c>
      <c r="E62" s="163">
        <f t="shared" si="0"/>
        <v>6</v>
      </c>
    </row>
    <row r="63" spans="1:5" ht="14.25" customHeight="1">
      <c r="A63" s="164" t="s">
        <v>142</v>
      </c>
      <c r="B63" s="165" t="s">
        <v>143</v>
      </c>
      <c r="C63" s="166">
        <v>1</v>
      </c>
      <c r="D63" s="168">
        <f>IF(STATS!BP11&lt;&gt;"",1,0)</f>
        <v>0</v>
      </c>
      <c r="E63" s="163">
        <f t="shared" si="0"/>
        <v>0</v>
      </c>
    </row>
    <row r="64" spans="1:5" ht="14.25" customHeight="1">
      <c r="A64" s="167" t="s">
        <v>144</v>
      </c>
      <c r="B64" s="165" t="s">
        <v>145</v>
      </c>
      <c r="C64" s="170">
        <v>5</v>
      </c>
      <c r="D64" s="168">
        <f>IF(STATS!BQ11&lt;&gt;"",1,0)</f>
        <v>0</v>
      </c>
      <c r="E64" s="163">
        <f t="shared" si="0"/>
        <v>0</v>
      </c>
    </row>
    <row r="65" spans="1:5" ht="14.25" customHeight="1">
      <c r="A65" s="167" t="s">
        <v>146</v>
      </c>
      <c r="B65" s="171" t="s">
        <v>147</v>
      </c>
      <c r="C65" s="170">
        <v>5</v>
      </c>
      <c r="D65" s="168">
        <f>IF(STATS!BR11&lt;&gt;"",1,0)</f>
        <v>0</v>
      </c>
      <c r="E65" s="163">
        <f t="shared" si="0"/>
        <v>0</v>
      </c>
    </row>
    <row r="66" spans="1:5" ht="14.25" customHeight="1">
      <c r="A66" s="167" t="s">
        <v>148</v>
      </c>
      <c r="B66" s="165" t="s">
        <v>149</v>
      </c>
      <c r="C66" s="170">
        <v>8</v>
      </c>
      <c r="D66" s="168">
        <f>IF(STATS!BS11&lt;&gt;"",1,0)</f>
        <v>1</v>
      </c>
      <c r="E66" s="163">
        <f t="shared" si="0"/>
        <v>8</v>
      </c>
    </row>
    <row r="67" spans="1:5" ht="14.25" customHeight="1">
      <c r="A67" s="167" t="s">
        <v>150</v>
      </c>
      <c r="B67" s="165" t="s">
        <v>151</v>
      </c>
      <c r="C67" s="170">
        <v>9</v>
      </c>
      <c r="D67" s="168">
        <f>IF(STATS!BT11&lt;&gt;"",1,0)</f>
        <v>0</v>
      </c>
      <c r="E67" s="163">
        <f t="shared" si="0"/>
        <v>0</v>
      </c>
    </row>
    <row r="68" spans="1:5" ht="14.25" customHeight="1">
      <c r="A68" s="167" t="s">
        <v>152</v>
      </c>
      <c r="B68" s="165" t="s">
        <v>153</v>
      </c>
      <c r="C68" s="170">
        <v>7</v>
      </c>
      <c r="D68" s="168">
        <f>IF(STATS!BU11&lt;&gt;"",1,0)</f>
        <v>1</v>
      </c>
      <c r="E68" s="163">
        <f t="shared" si="0"/>
        <v>7</v>
      </c>
    </row>
    <row r="69" spans="1:5" ht="14.25" customHeight="1">
      <c r="A69" s="167" t="s">
        <v>284</v>
      </c>
      <c r="B69" s="165" t="s">
        <v>285</v>
      </c>
      <c r="C69" s="170">
        <v>9</v>
      </c>
      <c r="D69" s="168">
        <f>IF(STATS!BV11&lt;&gt;"",1,0)</f>
        <v>0</v>
      </c>
      <c r="E69" s="163">
        <f t="shared" si="0"/>
        <v>0</v>
      </c>
    </row>
    <row r="70" spans="1:5" ht="14.25" customHeight="1">
      <c r="A70" s="167" t="s">
        <v>154</v>
      </c>
      <c r="B70" s="165" t="s">
        <v>155</v>
      </c>
      <c r="C70" s="170">
        <v>10</v>
      </c>
      <c r="D70" s="168">
        <f>IF(STATS!BW11&lt;&gt;"",1,0)</f>
        <v>0</v>
      </c>
      <c r="E70" s="163">
        <f t="shared" si="0"/>
        <v>0</v>
      </c>
    </row>
    <row r="71" spans="1:5" ht="14.25" customHeight="1">
      <c r="A71" s="164" t="s">
        <v>156</v>
      </c>
      <c r="B71" s="171" t="s">
        <v>286</v>
      </c>
      <c r="C71" s="166">
        <v>8</v>
      </c>
      <c r="D71" s="168">
        <f>IF(STATS!BX11&lt;&gt;"",1,0)</f>
        <v>0</v>
      </c>
      <c r="E71" s="163">
        <f t="shared" si="0"/>
        <v>0</v>
      </c>
    </row>
    <row r="72" spans="1:5" ht="14.25" customHeight="1">
      <c r="A72" s="167" t="s">
        <v>157</v>
      </c>
      <c r="B72" s="165" t="s">
        <v>158</v>
      </c>
      <c r="C72" s="170">
        <v>8</v>
      </c>
      <c r="D72" s="168">
        <f>IF(STATS!BY11&lt;&gt;"",1,0)</f>
        <v>0</v>
      </c>
      <c r="E72" s="163">
        <f t="shared" si="0"/>
        <v>0</v>
      </c>
    </row>
    <row r="73" spans="1:5" ht="14.25" customHeight="1">
      <c r="A73" s="164" t="s">
        <v>159</v>
      </c>
      <c r="B73" s="165" t="s">
        <v>160</v>
      </c>
      <c r="C73" s="166">
        <v>6</v>
      </c>
      <c r="D73" s="168">
        <f>IF(STATS!BZ11&lt;&gt;"",1,0)</f>
        <v>0</v>
      </c>
      <c r="E73" s="163">
        <f aca="true" t="shared" si="1" ref="E73:E135">C73*D73</f>
        <v>0</v>
      </c>
    </row>
    <row r="74" spans="1:5" ht="14.25" customHeight="1">
      <c r="A74" s="164" t="s">
        <v>161</v>
      </c>
      <c r="B74" s="165" t="s">
        <v>303</v>
      </c>
      <c r="C74" s="166">
        <v>8</v>
      </c>
      <c r="D74" s="168">
        <f>IF(STATS!CA11&lt;&gt;"",1,0)</f>
        <v>0</v>
      </c>
      <c r="E74" s="163">
        <f t="shared" si="1"/>
        <v>0</v>
      </c>
    </row>
    <row r="75" spans="1:5" ht="14.25" customHeight="1">
      <c r="A75" s="167" t="s">
        <v>162</v>
      </c>
      <c r="B75" s="165" t="s">
        <v>279</v>
      </c>
      <c r="C75" s="170">
        <v>7</v>
      </c>
      <c r="D75" s="168">
        <f>IF(STATS!CB11&lt;&gt;"",1,0)</f>
        <v>1</v>
      </c>
      <c r="E75" s="163">
        <f t="shared" si="1"/>
        <v>7</v>
      </c>
    </row>
    <row r="76" spans="1:5" ht="14.25" customHeight="1">
      <c r="A76" s="164" t="s">
        <v>163</v>
      </c>
      <c r="B76" s="165" t="s">
        <v>164</v>
      </c>
      <c r="C76" s="166">
        <v>9</v>
      </c>
      <c r="D76" s="168">
        <f>IF(STATS!CC11&lt;&gt;"",1,0)</f>
        <v>0</v>
      </c>
      <c r="E76" s="163">
        <f t="shared" si="1"/>
        <v>0</v>
      </c>
    </row>
    <row r="77" spans="1:5" ht="14.25" customHeight="1">
      <c r="A77" s="164" t="s">
        <v>165</v>
      </c>
      <c r="B77" s="165" t="s">
        <v>166</v>
      </c>
      <c r="C77" s="166">
        <v>6</v>
      </c>
      <c r="D77" s="168">
        <f>IF(STATS!CD11&lt;&gt;"",1,0)</f>
        <v>1</v>
      </c>
      <c r="E77" s="163">
        <f t="shared" si="1"/>
        <v>6</v>
      </c>
    </row>
    <row r="78" spans="1:5" ht="14.25" customHeight="1">
      <c r="A78" s="167" t="s">
        <v>167</v>
      </c>
      <c r="B78" s="165" t="s">
        <v>287</v>
      </c>
      <c r="C78" s="170">
        <v>5</v>
      </c>
      <c r="D78" s="168">
        <f>IF(STATS!CE11&lt;&gt;"",1,0)</f>
        <v>1</v>
      </c>
      <c r="E78" s="163">
        <f t="shared" si="1"/>
        <v>5</v>
      </c>
    </row>
    <row r="79" spans="1:5" ht="14.25" customHeight="1">
      <c r="A79" s="164" t="s">
        <v>168</v>
      </c>
      <c r="B79" s="165" t="s">
        <v>169</v>
      </c>
      <c r="C79" s="166">
        <v>7</v>
      </c>
      <c r="D79" s="168">
        <f>IF(STATS!CF11&lt;&gt;"",1,0)</f>
        <v>0</v>
      </c>
      <c r="E79" s="163">
        <f t="shared" si="1"/>
        <v>0</v>
      </c>
    </row>
    <row r="80" spans="1:5" ht="14.25" customHeight="1">
      <c r="A80" s="167" t="s">
        <v>170</v>
      </c>
      <c r="B80" s="165" t="s">
        <v>304</v>
      </c>
      <c r="C80" s="170">
        <v>10</v>
      </c>
      <c r="D80" s="168">
        <f>IF(STATS!CG11&lt;&gt;"",1,0)</f>
        <v>0</v>
      </c>
      <c r="E80" s="163">
        <f t="shared" si="1"/>
        <v>0</v>
      </c>
    </row>
    <row r="81" spans="1:5" ht="14.25" customHeight="1">
      <c r="A81" s="164" t="s">
        <v>171</v>
      </c>
      <c r="B81" s="165" t="s">
        <v>172</v>
      </c>
      <c r="C81" s="166">
        <v>9</v>
      </c>
      <c r="D81" s="168">
        <f>IF(STATS!CH11&lt;&gt;"",1,0)</f>
        <v>0</v>
      </c>
      <c r="E81" s="163">
        <f t="shared" si="1"/>
        <v>0</v>
      </c>
    </row>
    <row r="82" spans="1:5" ht="14.25" customHeight="1">
      <c r="A82" s="167" t="s">
        <v>262</v>
      </c>
      <c r="B82" s="165" t="s">
        <v>173</v>
      </c>
      <c r="C82" s="170">
        <v>8</v>
      </c>
      <c r="D82" s="168">
        <f>IF(STATS!CI11&lt;&gt;"",1,0)</f>
        <v>1</v>
      </c>
      <c r="E82" s="163">
        <f t="shared" si="1"/>
        <v>8</v>
      </c>
    </row>
    <row r="83" spans="1:5" ht="14.25" customHeight="1">
      <c r="A83" s="164" t="s">
        <v>174</v>
      </c>
      <c r="B83" s="165" t="s">
        <v>175</v>
      </c>
      <c r="C83" s="166">
        <v>10</v>
      </c>
      <c r="D83" s="168">
        <f>IF(STATS!CJ11&lt;&gt;"",1,0)</f>
        <v>0</v>
      </c>
      <c r="E83" s="163">
        <f t="shared" si="1"/>
        <v>0</v>
      </c>
    </row>
    <row r="84" spans="1:5" ht="14.25" customHeight="1">
      <c r="A84" s="167" t="s">
        <v>176</v>
      </c>
      <c r="B84" s="165" t="s">
        <v>177</v>
      </c>
      <c r="C84" s="170">
        <v>7</v>
      </c>
      <c r="D84" s="168">
        <f>IF(STATS!CK11&lt;&gt;"",1,0)</f>
        <v>1</v>
      </c>
      <c r="E84" s="163">
        <f t="shared" si="1"/>
        <v>7</v>
      </c>
    </row>
    <row r="85" spans="1:5" ht="14.25" customHeight="1">
      <c r="A85" s="167" t="s">
        <v>178</v>
      </c>
      <c r="B85" s="165" t="s">
        <v>179</v>
      </c>
      <c r="C85" s="170">
        <v>5</v>
      </c>
      <c r="D85" s="168">
        <f>IF(STATS!CL11&lt;&gt;"",1,0)</f>
        <v>0</v>
      </c>
      <c r="E85" s="163">
        <f t="shared" si="1"/>
        <v>0</v>
      </c>
    </row>
    <row r="86" spans="1:5" ht="14.25" customHeight="1">
      <c r="A86" s="167" t="s">
        <v>180</v>
      </c>
      <c r="B86" s="165" t="s">
        <v>305</v>
      </c>
      <c r="C86" s="170">
        <v>8</v>
      </c>
      <c r="D86" s="168">
        <f>IF(STATS!CM11&lt;&gt;"",1,0)</f>
        <v>1</v>
      </c>
      <c r="E86" s="163">
        <f t="shared" si="1"/>
        <v>8</v>
      </c>
    </row>
    <row r="87" spans="1:5" ht="14.25" customHeight="1">
      <c r="A87" s="167" t="s">
        <v>181</v>
      </c>
      <c r="B87" s="165" t="s">
        <v>182</v>
      </c>
      <c r="C87" s="170">
        <v>8</v>
      </c>
      <c r="D87" s="168">
        <f>IF(STATS!CN11&lt;&gt;"",1,0)</f>
        <v>0</v>
      </c>
      <c r="E87" s="163">
        <f t="shared" si="1"/>
        <v>0</v>
      </c>
    </row>
    <row r="88" spans="1:5" ht="14.25" customHeight="1">
      <c r="A88" s="164" t="s">
        <v>183</v>
      </c>
      <c r="B88" s="165" t="s">
        <v>184</v>
      </c>
      <c r="C88" s="166">
        <v>8</v>
      </c>
      <c r="D88" s="168">
        <f>IF(STATS!CO11&lt;&gt;"",1,0)</f>
        <v>0</v>
      </c>
      <c r="E88" s="163">
        <f t="shared" si="1"/>
        <v>0</v>
      </c>
    </row>
    <row r="89" spans="1:5" ht="14.25" customHeight="1">
      <c r="A89" s="164" t="s">
        <v>185</v>
      </c>
      <c r="B89" s="165" t="s">
        <v>186</v>
      </c>
      <c r="C89" s="166">
        <v>10</v>
      </c>
      <c r="D89" s="168">
        <f>IF(STATS!CP11&lt;&gt;"",1,0)</f>
        <v>0</v>
      </c>
      <c r="E89" s="163">
        <f t="shared" si="1"/>
        <v>0</v>
      </c>
    </row>
    <row r="90" spans="1:5" ht="14.25" customHeight="1">
      <c r="A90" s="167" t="s">
        <v>187</v>
      </c>
      <c r="B90" s="165" t="s">
        <v>188</v>
      </c>
      <c r="C90" s="170">
        <v>6</v>
      </c>
      <c r="D90" s="168">
        <f>IF(STATS!CQ11&lt;&gt;"",1,0)</f>
        <v>1</v>
      </c>
      <c r="E90" s="163">
        <f t="shared" si="1"/>
        <v>6</v>
      </c>
    </row>
    <row r="91" spans="1:5" ht="14.25" customHeight="1">
      <c r="A91" s="167" t="s">
        <v>189</v>
      </c>
      <c r="B91" s="165" t="s">
        <v>306</v>
      </c>
      <c r="C91" s="170">
        <v>8</v>
      </c>
      <c r="D91" s="168">
        <f>IF(STATS!CR11&lt;&gt;"",1,0)</f>
        <v>0</v>
      </c>
      <c r="E91" s="163">
        <f t="shared" si="1"/>
        <v>0</v>
      </c>
    </row>
    <row r="92" spans="1:5" ht="14.25" customHeight="1">
      <c r="A92" s="167" t="s">
        <v>190</v>
      </c>
      <c r="B92" s="171" t="s">
        <v>307</v>
      </c>
      <c r="C92" s="170">
        <v>8</v>
      </c>
      <c r="D92" s="168">
        <f>IF(STATS!CS11&lt;&gt;"",1,0)</f>
        <v>0</v>
      </c>
      <c r="E92" s="163">
        <f t="shared" si="1"/>
        <v>0</v>
      </c>
    </row>
    <row r="93" spans="1:5" ht="14.25" customHeight="1">
      <c r="A93" s="167" t="s">
        <v>191</v>
      </c>
      <c r="B93" s="165" t="s">
        <v>192</v>
      </c>
      <c r="C93" s="170">
        <v>9</v>
      </c>
      <c r="D93" s="168">
        <f>IF(STATS!CT11&lt;&gt;"",1,0)</f>
        <v>0</v>
      </c>
      <c r="E93" s="163">
        <f t="shared" si="1"/>
        <v>0</v>
      </c>
    </row>
    <row r="94" spans="1:5" ht="14.25" customHeight="1">
      <c r="A94" s="164" t="s">
        <v>193</v>
      </c>
      <c r="B94" s="165" t="s">
        <v>194</v>
      </c>
      <c r="C94" s="166">
        <v>7</v>
      </c>
      <c r="D94" s="168">
        <f>IF(STATS!EO11&lt;&gt;"",1,0)</f>
        <v>0</v>
      </c>
      <c r="E94" s="163">
        <f t="shared" si="1"/>
        <v>0</v>
      </c>
    </row>
    <row r="95" spans="1:5" ht="14.25" customHeight="1">
      <c r="A95" s="164" t="s">
        <v>259</v>
      </c>
      <c r="B95" s="165" t="s">
        <v>195</v>
      </c>
      <c r="C95" s="166">
        <v>8</v>
      </c>
      <c r="D95" s="168">
        <f>IF(STATS!CU11&lt;&gt;"",1,0)</f>
        <v>0</v>
      </c>
      <c r="E95" s="163">
        <f t="shared" si="1"/>
        <v>0</v>
      </c>
    </row>
    <row r="96" spans="1:5" ht="14.25" customHeight="1">
      <c r="A96" s="164" t="s">
        <v>308</v>
      </c>
      <c r="B96" s="165" t="s">
        <v>198</v>
      </c>
      <c r="C96" s="166">
        <v>9</v>
      </c>
      <c r="D96" s="168">
        <f>IF(STATS!CV11&lt;&gt;"",1,0)</f>
        <v>0</v>
      </c>
      <c r="E96" s="163">
        <f t="shared" si="1"/>
        <v>0</v>
      </c>
    </row>
    <row r="97" spans="1:5" ht="14.25" customHeight="1">
      <c r="A97" s="164" t="s">
        <v>466</v>
      </c>
      <c r="B97" s="165" t="s">
        <v>467</v>
      </c>
      <c r="C97" s="166">
        <v>9</v>
      </c>
      <c r="D97" s="168">
        <f>IF(STATS!CW10&lt;&gt;"",1,0)</f>
        <v>1</v>
      </c>
      <c r="E97" s="163">
        <f t="shared" si="1"/>
        <v>9</v>
      </c>
    </row>
    <row r="98" spans="1:5" ht="14.25" customHeight="1">
      <c r="A98" s="164" t="s">
        <v>197</v>
      </c>
      <c r="B98" s="165" t="s">
        <v>196</v>
      </c>
      <c r="C98" s="166">
        <v>7</v>
      </c>
      <c r="D98" s="168">
        <f>IF(STATS!CX11&lt;&gt;"",1,0)</f>
        <v>0</v>
      </c>
      <c r="E98" s="163">
        <f t="shared" si="1"/>
        <v>0</v>
      </c>
    </row>
    <row r="99" spans="1:5" ht="14.25" customHeight="1">
      <c r="A99" s="167" t="s">
        <v>199</v>
      </c>
      <c r="B99" s="165" t="s">
        <v>290</v>
      </c>
      <c r="C99" s="170">
        <v>9</v>
      </c>
      <c r="D99" s="168">
        <f>IF(STATS!CY11&lt;&gt;"",1,0)</f>
        <v>0</v>
      </c>
      <c r="E99" s="163">
        <f t="shared" si="1"/>
        <v>0</v>
      </c>
    </row>
    <row r="100" spans="1:5" ht="14.25" customHeight="1">
      <c r="A100" s="167" t="s">
        <v>200</v>
      </c>
      <c r="B100" s="165" t="s">
        <v>201</v>
      </c>
      <c r="C100" s="170">
        <v>3</v>
      </c>
      <c r="D100" s="168">
        <f>IF(STATS!CZ11&lt;&gt;"",1,0)</f>
        <v>0</v>
      </c>
      <c r="E100" s="163">
        <f t="shared" si="1"/>
        <v>0</v>
      </c>
    </row>
    <row r="101" spans="1:5" ht="14.25" customHeight="1">
      <c r="A101" s="167" t="s">
        <v>202</v>
      </c>
      <c r="B101" s="165" t="s">
        <v>291</v>
      </c>
      <c r="C101" s="170">
        <v>8</v>
      </c>
      <c r="D101" s="168">
        <f>IF(STATS!DA11&lt;&gt;"",1,0)</f>
        <v>0</v>
      </c>
      <c r="E101" s="163">
        <f t="shared" si="1"/>
        <v>0</v>
      </c>
    </row>
    <row r="102" spans="1:5" ht="14.25" customHeight="1">
      <c r="A102" s="164" t="s">
        <v>203</v>
      </c>
      <c r="B102" s="165" t="s">
        <v>204</v>
      </c>
      <c r="C102" s="166">
        <v>6</v>
      </c>
      <c r="D102" s="168">
        <f>IF(STATS!DC11&lt;&gt;"",1,0)</f>
        <v>0</v>
      </c>
      <c r="E102" s="163">
        <f t="shared" si="1"/>
        <v>0</v>
      </c>
    </row>
    <row r="103" spans="1:5" ht="14.25" customHeight="1">
      <c r="A103" s="164" t="s">
        <v>205</v>
      </c>
      <c r="B103" s="171" t="s">
        <v>206</v>
      </c>
      <c r="C103" s="166">
        <v>10</v>
      </c>
      <c r="D103" s="168">
        <f>IF(STATS!DD11&lt;&gt;"",1,0)</f>
        <v>0</v>
      </c>
      <c r="E103" s="163">
        <f t="shared" si="1"/>
        <v>0</v>
      </c>
    </row>
    <row r="104" spans="1:5" ht="14.25" customHeight="1">
      <c r="A104" s="164" t="s">
        <v>207</v>
      </c>
      <c r="B104" s="165" t="s">
        <v>310</v>
      </c>
      <c r="C104" s="166">
        <v>5</v>
      </c>
      <c r="D104" s="168">
        <f>IF(STATS!DE11&lt;&gt;"",1,0)</f>
        <v>0</v>
      </c>
      <c r="E104" s="163">
        <f t="shared" si="1"/>
        <v>0</v>
      </c>
    </row>
    <row r="105" spans="1:5" ht="14.25" customHeight="1">
      <c r="A105" s="167" t="s">
        <v>208</v>
      </c>
      <c r="B105" s="165" t="s">
        <v>209</v>
      </c>
      <c r="C105" s="170">
        <v>9</v>
      </c>
      <c r="D105" s="168">
        <f>IF(STATS!DF11&lt;&gt;"",1,0)</f>
        <v>1</v>
      </c>
      <c r="E105" s="163">
        <f t="shared" si="1"/>
        <v>9</v>
      </c>
    </row>
    <row r="106" spans="1:5" ht="14.25" customHeight="1">
      <c r="A106" s="167" t="s">
        <v>210</v>
      </c>
      <c r="B106" s="165" t="s">
        <v>211</v>
      </c>
      <c r="C106" s="170">
        <v>4</v>
      </c>
      <c r="D106" s="168">
        <f>IF(STATS!DG11&lt;&gt;"",1,0)</f>
        <v>0</v>
      </c>
      <c r="E106" s="163">
        <f t="shared" si="1"/>
        <v>0</v>
      </c>
    </row>
    <row r="107" spans="1:5" ht="14.25" customHeight="1">
      <c r="A107" s="167" t="s">
        <v>212</v>
      </c>
      <c r="B107" s="173" t="s">
        <v>213</v>
      </c>
      <c r="C107" s="170">
        <v>8</v>
      </c>
      <c r="D107" s="168">
        <f>IF(STATS!DH11&lt;&gt;"",1,0)</f>
        <v>0</v>
      </c>
      <c r="E107" s="163">
        <f t="shared" si="1"/>
        <v>0</v>
      </c>
    </row>
    <row r="108" spans="1:5" ht="14.25" customHeight="1">
      <c r="A108" s="164" t="s">
        <v>214</v>
      </c>
      <c r="B108" s="173" t="s">
        <v>215</v>
      </c>
      <c r="C108" s="166">
        <v>8</v>
      </c>
      <c r="D108" s="168">
        <f>IF(STATS!DI11&lt;&gt;"",1,0)</f>
        <v>0</v>
      </c>
      <c r="E108" s="163">
        <f t="shared" si="1"/>
        <v>0</v>
      </c>
    </row>
    <row r="109" spans="1:5" ht="14.25" customHeight="1">
      <c r="A109" s="167" t="s">
        <v>216</v>
      </c>
      <c r="B109" s="174" t="s">
        <v>217</v>
      </c>
      <c r="C109" s="170">
        <v>9</v>
      </c>
      <c r="D109" s="168">
        <f>IF(STATS!DJ11&lt;&gt;"",1,0)</f>
        <v>1</v>
      </c>
      <c r="E109" s="163">
        <f t="shared" si="1"/>
        <v>9</v>
      </c>
    </row>
    <row r="110" spans="1:5" ht="14.25" customHeight="1">
      <c r="A110" s="164" t="s">
        <v>218</v>
      </c>
      <c r="B110" s="173" t="s">
        <v>219</v>
      </c>
      <c r="C110" s="166">
        <v>8</v>
      </c>
      <c r="D110" s="168">
        <f>IF(STATS!DK11&lt;&gt;"",1,0)</f>
        <v>0</v>
      </c>
      <c r="E110" s="163">
        <f t="shared" si="1"/>
        <v>0</v>
      </c>
    </row>
    <row r="111" spans="1:5" ht="14.25" customHeight="1">
      <c r="A111" s="164" t="s">
        <v>220</v>
      </c>
      <c r="B111" s="165" t="s">
        <v>221</v>
      </c>
      <c r="C111" s="166">
        <v>5</v>
      </c>
      <c r="D111" s="168">
        <f>IF(STATS!DL11&lt;&gt;"",1,0)</f>
        <v>0</v>
      </c>
      <c r="E111" s="163">
        <f t="shared" si="1"/>
        <v>0</v>
      </c>
    </row>
    <row r="112" spans="1:5" ht="14.25" customHeight="1">
      <c r="A112" s="167" t="s">
        <v>222</v>
      </c>
      <c r="B112" s="172" t="s">
        <v>309</v>
      </c>
      <c r="C112" s="170">
        <v>10</v>
      </c>
      <c r="D112" s="168">
        <f>IF(STATS!DM11&lt;&gt;"",1,0)</f>
        <v>0</v>
      </c>
      <c r="E112" s="163">
        <f t="shared" si="1"/>
        <v>0</v>
      </c>
    </row>
    <row r="113" spans="1:5" s="178" customFormat="1" ht="14.25" customHeight="1">
      <c r="A113" s="175" t="s">
        <v>223</v>
      </c>
      <c r="B113" s="176" t="s">
        <v>224</v>
      </c>
      <c r="C113" s="177">
        <v>9</v>
      </c>
      <c r="D113" s="168">
        <f>IF(STATS!DN11&lt;&gt;"",1,0)</f>
        <v>0</v>
      </c>
      <c r="E113" s="163">
        <f t="shared" si="1"/>
        <v>0</v>
      </c>
    </row>
    <row r="114" spans="1:5" ht="14.25" customHeight="1">
      <c r="A114" s="167" t="s">
        <v>225</v>
      </c>
      <c r="B114" s="165" t="s">
        <v>289</v>
      </c>
      <c r="C114" s="170">
        <v>5</v>
      </c>
      <c r="D114" s="168">
        <f>IF(STATS!DP11&lt;&gt;"",1,0)</f>
        <v>0</v>
      </c>
      <c r="E114" s="163">
        <f t="shared" si="1"/>
        <v>0</v>
      </c>
    </row>
    <row r="115" spans="1:5" ht="14.25" customHeight="1">
      <c r="A115" s="164" t="s">
        <v>226</v>
      </c>
      <c r="B115" s="165" t="s">
        <v>288</v>
      </c>
      <c r="C115" s="166">
        <v>8</v>
      </c>
      <c r="D115" s="168">
        <f>IF(STATS!DQ11&lt;&gt;"",1,0)</f>
        <v>0</v>
      </c>
      <c r="E115" s="163">
        <f t="shared" si="1"/>
        <v>0</v>
      </c>
    </row>
    <row r="116" spans="1:5" ht="14.25" customHeight="1">
      <c r="A116" s="167" t="s">
        <v>227</v>
      </c>
      <c r="B116" s="165" t="s">
        <v>261</v>
      </c>
      <c r="C116" s="170">
        <v>3</v>
      </c>
      <c r="D116" s="168">
        <f>IF(STATS!DR11&lt;&gt;"",1,0)</f>
        <v>0</v>
      </c>
      <c r="E116" s="163">
        <f t="shared" si="1"/>
        <v>0</v>
      </c>
    </row>
    <row r="117" spans="1:5" ht="14.25" customHeight="1">
      <c r="A117" s="164" t="s">
        <v>228</v>
      </c>
      <c r="B117" s="165" t="s">
        <v>229</v>
      </c>
      <c r="C117" s="166">
        <v>9</v>
      </c>
      <c r="D117" s="168">
        <f>IF(STATS!DS11&lt;&gt;"",1,0)</f>
        <v>0</v>
      </c>
      <c r="E117" s="163">
        <f t="shared" si="1"/>
        <v>0</v>
      </c>
    </row>
    <row r="118" spans="1:5" ht="14.25" customHeight="1">
      <c r="A118" s="164" t="s">
        <v>230</v>
      </c>
      <c r="B118" s="165" t="s">
        <v>231</v>
      </c>
      <c r="C118" s="166">
        <v>1</v>
      </c>
      <c r="D118" s="168">
        <f>IF(STATS!DT11&lt;&gt;"",1,0)</f>
        <v>0</v>
      </c>
      <c r="E118" s="163">
        <f t="shared" si="1"/>
        <v>0</v>
      </c>
    </row>
    <row r="119" spans="1:5" ht="14.25" customHeight="1">
      <c r="A119" s="167" t="s">
        <v>232</v>
      </c>
      <c r="B119" s="165" t="s">
        <v>233</v>
      </c>
      <c r="C119" s="170">
        <v>1</v>
      </c>
      <c r="D119" s="168">
        <f>IF(STATS!DU11&lt;&gt;"",1,0)</f>
        <v>0</v>
      </c>
      <c r="E119" s="163">
        <f t="shared" si="1"/>
        <v>0</v>
      </c>
    </row>
    <row r="120" spans="1:5" ht="14.25" customHeight="1">
      <c r="A120" s="167" t="s">
        <v>571</v>
      </c>
      <c r="B120" s="165" t="s">
        <v>312</v>
      </c>
      <c r="C120" s="170">
        <v>1</v>
      </c>
      <c r="D120" s="168">
        <f>IF(STATS!DV11&lt;&gt;"",1,0)</f>
        <v>0</v>
      </c>
      <c r="E120" s="163">
        <f t="shared" si="1"/>
        <v>0</v>
      </c>
    </row>
    <row r="121" spans="1:5" ht="14.25" customHeight="1">
      <c r="A121" s="167" t="s">
        <v>234</v>
      </c>
      <c r="B121" s="165" t="s">
        <v>235</v>
      </c>
      <c r="C121" s="170">
        <v>10</v>
      </c>
      <c r="D121" s="168">
        <f>IF(STATS!DW11&lt;&gt;"",1,0)</f>
        <v>0</v>
      </c>
      <c r="E121" s="163">
        <f t="shared" si="1"/>
        <v>0</v>
      </c>
    </row>
    <row r="122" spans="1:5" ht="14.25" customHeight="1">
      <c r="A122" s="167" t="s">
        <v>236</v>
      </c>
      <c r="B122" s="165" t="s">
        <v>237</v>
      </c>
      <c r="C122" s="170">
        <v>9</v>
      </c>
      <c r="D122" s="168">
        <f>IF(STATS!DX11&lt;&gt;"",1,0)</f>
        <v>0</v>
      </c>
      <c r="E122" s="163">
        <f t="shared" si="1"/>
        <v>0</v>
      </c>
    </row>
    <row r="123" spans="1:5" ht="14.25" customHeight="1">
      <c r="A123" s="167" t="s">
        <v>238</v>
      </c>
      <c r="B123" s="165" t="s">
        <v>239</v>
      </c>
      <c r="C123" s="170">
        <v>9</v>
      </c>
      <c r="D123" s="168">
        <f>IF(STATS!DY11&lt;&gt;"",1,0)</f>
        <v>0</v>
      </c>
      <c r="E123" s="163">
        <f t="shared" si="1"/>
        <v>0</v>
      </c>
    </row>
    <row r="124" spans="1:5" ht="14.25" customHeight="1">
      <c r="A124" s="167" t="s">
        <v>240</v>
      </c>
      <c r="B124" s="165" t="s">
        <v>241</v>
      </c>
      <c r="C124" s="170">
        <v>9</v>
      </c>
      <c r="D124" s="168">
        <f>IF(STATS!DZ11&lt;&gt;"",1,0)</f>
        <v>0</v>
      </c>
      <c r="E124" s="163">
        <f t="shared" si="1"/>
        <v>0</v>
      </c>
    </row>
    <row r="125" spans="1:5" ht="14.25" customHeight="1">
      <c r="A125" s="164" t="s">
        <v>242</v>
      </c>
      <c r="B125" s="165" t="s">
        <v>280</v>
      </c>
      <c r="C125" s="166">
        <v>10</v>
      </c>
      <c r="D125" s="168">
        <f>IF(STATS!EA11&lt;&gt;"",1,0)</f>
        <v>0</v>
      </c>
      <c r="E125" s="163">
        <f t="shared" si="1"/>
        <v>0</v>
      </c>
    </row>
    <row r="126" spans="1:5" ht="14.25" customHeight="1">
      <c r="A126" s="167" t="s">
        <v>243</v>
      </c>
      <c r="B126" s="165" t="s">
        <v>244</v>
      </c>
      <c r="C126" s="170">
        <v>9</v>
      </c>
      <c r="D126" s="168">
        <f>IF(STATS!EB11&lt;&gt;"",1,0)</f>
        <v>0</v>
      </c>
      <c r="E126" s="163">
        <f t="shared" si="1"/>
        <v>0</v>
      </c>
    </row>
    <row r="127" spans="1:5" ht="14.25" customHeight="1">
      <c r="A127" s="167" t="s">
        <v>245</v>
      </c>
      <c r="B127" s="165" t="s">
        <v>246</v>
      </c>
      <c r="C127" s="170">
        <v>9</v>
      </c>
      <c r="D127" s="168">
        <f>IF(STATS!EC11&lt;&gt;"",1,0)</f>
        <v>1</v>
      </c>
      <c r="E127" s="163">
        <f t="shared" si="1"/>
        <v>9</v>
      </c>
    </row>
    <row r="128" spans="1:5" ht="14.25" customHeight="1">
      <c r="A128" s="167" t="s">
        <v>247</v>
      </c>
      <c r="B128" s="165" t="s">
        <v>248</v>
      </c>
      <c r="C128" s="170">
        <v>7</v>
      </c>
      <c r="D128" s="168">
        <f>IF(STATS!ED11&lt;&gt;"",1,0)</f>
        <v>0</v>
      </c>
      <c r="E128" s="163">
        <f t="shared" si="1"/>
        <v>0</v>
      </c>
    </row>
    <row r="129" spans="1:5" ht="14.25" customHeight="1">
      <c r="A129" s="167" t="s">
        <v>249</v>
      </c>
      <c r="B129" s="165" t="s">
        <v>250</v>
      </c>
      <c r="C129" s="170">
        <v>6</v>
      </c>
      <c r="D129" s="168">
        <f>IF(STATS!EE11&lt;&gt;"",1,0)</f>
        <v>1</v>
      </c>
      <c r="E129" s="163">
        <f t="shared" si="1"/>
        <v>6</v>
      </c>
    </row>
    <row r="130" spans="1:5" ht="14.25" customHeight="1">
      <c r="A130" s="164" t="s">
        <v>314</v>
      </c>
      <c r="B130" s="165" t="s">
        <v>271</v>
      </c>
      <c r="C130" s="166">
        <v>6</v>
      </c>
      <c r="D130" s="168">
        <f>IF(STATS!EF11&lt;&gt;"",1,0)</f>
        <v>0</v>
      </c>
      <c r="E130" s="163">
        <f t="shared" si="1"/>
        <v>0</v>
      </c>
    </row>
    <row r="131" spans="1:5" ht="14.25" customHeight="1">
      <c r="A131" s="164" t="s">
        <v>251</v>
      </c>
      <c r="B131" s="173" t="s">
        <v>252</v>
      </c>
      <c r="C131" s="166">
        <v>5</v>
      </c>
      <c r="D131" s="168">
        <f>IF(STATS!EG11&lt;&gt;"",1,0)</f>
        <v>0</v>
      </c>
      <c r="E131" s="163">
        <f t="shared" si="1"/>
        <v>0</v>
      </c>
    </row>
    <row r="132" spans="1:5" ht="14.25" customHeight="1">
      <c r="A132" s="164" t="s">
        <v>253</v>
      </c>
      <c r="B132" s="173" t="s">
        <v>260</v>
      </c>
      <c r="C132" s="166">
        <v>7</v>
      </c>
      <c r="D132" s="168">
        <f>IF(STATS!EH11&lt;&gt;"",1,0)</f>
        <v>0</v>
      </c>
      <c r="E132" s="163">
        <f t="shared" si="1"/>
        <v>0</v>
      </c>
    </row>
    <row r="133" spans="1:5" ht="14.25" customHeight="1">
      <c r="A133" s="167" t="s">
        <v>254</v>
      </c>
      <c r="B133" s="172" t="s">
        <v>264</v>
      </c>
      <c r="C133" s="166">
        <v>8</v>
      </c>
      <c r="D133" s="168">
        <f>IF(STATS!EI11&lt;&gt;"",1,0)</f>
        <v>0</v>
      </c>
      <c r="E133" s="163">
        <f t="shared" si="1"/>
        <v>0</v>
      </c>
    </row>
    <row r="134" spans="1:5" ht="14.25" customHeight="1">
      <c r="A134" s="167" t="s">
        <v>255</v>
      </c>
      <c r="B134" s="165" t="s">
        <v>256</v>
      </c>
      <c r="C134" s="170">
        <v>8</v>
      </c>
      <c r="D134" s="168">
        <f>IF(STATS!EJ11&lt;&gt;"",1,0)</f>
        <v>0</v>
      </c>
      <c r="E134" s="163">
        <f t="shared" si="1"/>
        <v>0</v>
      </c>
    </row>
    <row r="135" spans="1:5" ht="14.25" customHeight="1" thickBot="1">
      <c r="A135" s="179" t="s">
        <v>572</v>
      </c>
      <c r="B135" s="180" t="s">
        <v>311</v>
      </c>
      <c r="C135" s="181">
        <v>8</v>
      </c>
      <c r="D135" s="182">
        <f>IF(STATS!EK11&lt;&gt;"",1,0)</f>
        <v>0</v>
      </c>
      <c r="E135" s="163">
        <f t="shared" si="1"/>
        <v>0</v>
      </c>
    </row>
    <row r="136" spans="1:5" ht="15">
      <c r="A136" s="183"/>
      <c r="B136" s="183"/>
      <c r="C136" s="184"/>
      <c r="D136" s="185"/>
      <c r="E136" s="186"/>
    </row>
    <row r="137" spans="1:5" ht="15">
      <c r="A137" s="187" t="s">
        <v>257</v>
      </c>
      <c r="B137" s="183"/>
      <c r="C137" s="140"/>
      <c r="D137" s="188">
        <f>SUM(D9:D135)</f>
        <v>27</v>
      </c>
      <c r="E137" s="189"/>
    </row>
    <row r="138" spans="1:5" ht="15.75" thickBot="1">
      <c r="A138" s="187" t="s">
        <v>258</v>
      </c>
      <c r="B138" s="183"/>
      <c r="C138" s="190"/>
      <c r="D138" s="140"/>
      <c r="E138" s="191">
        <f>(SUM(E9:E135)/D137)</f>
        <v>7.222222222222222</v>
      </c>
    </row>
    <row r="139" spans="1:5" ht="15.75" thickBot="1">
      <c r="A139" s="192" t="s">
        <v>270</v>
      </c>
      <c r="B139" s="193"/>
      <c r="C139" s="194"/>
      <c r="D139" s="195"/>
      <c r="E139" s="196">
        <f>(SUM(E9:E135)/D137)*SQRT(D137)</f>
        <v>37.52776749732568</v>
      </c>
    </row>
    <row r="141" spans="1:3" ht="12.75">
      <c r="A141" s="197"/>
      <c r="B141" s="197"/>
      <c r="C141" s="198"/>
    </row>
    <row r="142" spans="1:5" ht="51" customHeight="1">
      <c r="A142" s="258" t="s">
        <v>573</v>
      </c>
      <c r="B142" s="258"/>
      <c r="C142" s="258"/>
      <c r="D142" s="258"/>
      <c r="E142" s="258"/>
    </row>
    <row r="143" spans="1:3" ht="12.75">
      <c r="A143" s="197"/>
      <c r="B143" s="197"/>
      <c r="C143" s="198"/>
    </row>
    <row r="144" spans="1:5" ht="51" customHeight="1">
      <c r="A144" s="258" t="s">
        <v>574</v>
      </c>
      <c r="B144" s="258"/>
      <c r="C144" s="258"/>
      <c r="D144" s="258"/>
      <c r="E144" s="258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2018-02-24T15:29:37Z</dcterms:modified>
  <cp:category/>
  <cp:version/>
  <cp:contentType/>
  <cp:contentStatus/>
</cp:coreProperties>
</file>