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28" i="9" s="1"/>
  <c r="D94" i="4" s="1"/>
  <c r="C11" i="9"/>
  <c r="C13" i="9"/>
  <c r="C24" i="9"/>
  <c r="D90" i="4" s="1"/>
  <c r="C19" i="9"/>
  <c r="D85" i="4" s="1"/>
  <c r="C22" i="9" l="1"/>
  <c r="C17" i="9"/>
  <c r="D83" i="4" s="1"/>
  <c r="C25" i="9"/>
  <c r="D91"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C30" i="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R45" i="1"/>
  <c r="R51" i="1"/>
  <c r="R49" i="1"/>
  <c r="R33" i="1"/>
  <c r="R31" i="1"/>
  <c r="M50" i="1"/>
  <c r="F50" i="1" s="1"/>
  <c r="M46" i="1"/>
  <c r="F46" i="1" s="1"/>
  <c r="M42" i="1"/>
  <c r="F42" i="1" s="1"/>
  <c r="M26" i="1"/>
  <c r="F26" i="1" s="1"/>
  <c r="R48" i="1"/>
  <c r="M49" i="1"/>
  <c r="F49" i="1" s="1"/>
  <c r="M37" i="1"/>
  <c r="F37" i="1" s="1"/>
  <c r="R34" i="1"/>
  <c r="M52" i="1"/>
  <c r="F52" i="1" s="1"/>
  <c r="M48" i="1"/>
  <c r="F48" i="1" s="1"/>
  <c r="M24" i="1"/>
  <c r="F24" i="1" s="1"/>
  <c r="R26" i="1"/>
  <c r="R30" i="1"/>
  <c r="O30" i="1"/>
  <c r="H30" i="1"/>
  <c r="R29" i="1"/>
  <c r="N29" i="1"/>
  <c r="P29" i="1"/>
  <c r="G29" i="1"/>
  <c r="Q29" i="1" s="1"/>
  <c r="H29" i="1"/>
  <c r="K29" i="1"/>
  <c r="R28" i="1"/>
  <c r="H28" i="1"/>
  <c r="P30" i="1"/>
  <c r="M28" i="1" l="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Q25" i="1" l="1"/>
  <c r="L27"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<sst xmlns="http://schemas.openxmlformats.org/spreadsheetml/2006/main" count="1910" uniqueCount="919">
  <si>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</si>
  <si>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</si>
  <si>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</si>
  <si>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</si>
  <si>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</si>
  <si>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</si>
  <si>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</si>
  <si>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</si>
  <si>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</si>
  <si>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</si>
  <si>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</si>
  <si>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</si>
  <si>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</si>
  <si>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</si>
  <si>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</si>
  <si>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</si>
  <si>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</si>
  <si>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</si>
  <si>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</si>
  <si>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</si>
  <si>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</si>
  <si>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</si>
  <si>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</si>
  <si>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</si>
  <si>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</si>
  <si>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</si>
  <si>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</si>
  <si>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</si>
  <si>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</si>
  <si>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</si>
  <si>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</si>
  <si>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</si>
  <si>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</si>
  <si>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</si>
  <si>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</si>
  <si>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</si>
  <si>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</si>
  <si>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</si>
  <si>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</si>
  <si>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</si>
  <si>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</si>
  <si>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</si>
  <si>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</si>
  <si>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</si>
  <si>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</si>
  <si>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</si>
  <si>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</si>
  <si>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</si>
  <si>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</si>
  <si>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</si>
  <si>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</si>
  <si>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</si>
  <si>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</si>
  <si>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</si>
  <si>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</si>
  <si>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</si>
  <si>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</si>
  <si>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</si>
  <si>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</si>
  <si>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</si>
  <si>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</si>
  <si>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</si>
  <si>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</si>
  <si>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</si>
  <si>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</si>
  <si>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</si>
  <si>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</si>
  <si>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</si>
  <si>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</si>
  <si>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</si>
  <si>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</si>
  <si>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</si>
  <si>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</si>
  <si>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</si>
  <si>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</si>
  <si>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</si>
  <si>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</si>
  <si>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</si>
  <si>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</si>
  <si>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</si>
  <si>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</si>
  <si>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</si>
  <si>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</si>
  <si>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</si>
  <si>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</si>
  <si>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</si>
  <si>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</si>
  <si>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</si>
  <si>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</si>
  <si>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</si>
  <si>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</si>
  <si>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</si>
  <si>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</si>
  <si>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</si>
  <si>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</si>
  <si>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</si>
  <si>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</si>
  <si>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</si>
  <si>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</si>
  <si>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</si>
  <si>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</si>
  <si>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</si>
  <si>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</si>
  <si>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</si>
  <si>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</si>
  <si>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</si>
  <si>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</si>
  <si>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</si>
  <si>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</si>
  <si>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</si>
  <si>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</si>
  <si>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</si>
  <si>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</si>
  <si>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</si>
  <si>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</si>
  <si>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</si>
  <si>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</si>
  <si>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</si>
  <si>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</si>
  <si>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</si>
  <si>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</si>
  <si>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</si>
  <si>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</si>
  <si>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</si>
  <si>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</si>
  <si>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</si>
  <si>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</si>
  <si>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</si>
  <si>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</si>
  <si>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</si>
  <si>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</si>
  <si>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</si>
  <si>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</si>
  <si>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</si>
  <si>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</si>
  <si>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</si>
  <si>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</si>
  <si>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</si>
  <si>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</si>
  <si>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</si>
  <si>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</si>
  <si>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</si>
  <si>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</si>
  <si>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</si>
  <si>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</si>
  <si>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</si>
  <si>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</si>
  <si>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</si>
  <si>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</si>
  <si>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</si>
  <si>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</si>
  <si>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</si>
  <si>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</si>
  <si>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</si>
  <si>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</si>
  <si>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</si>
  <si>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</si>
  <si>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</si>
  <si>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</si>
  <si>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</si>
  <si>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</si>
  <si>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</si>
  <si>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</si>
  <si>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</si>
  <si>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</si>
  <si>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</si>
  <si>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</si>
  <si>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</si>
  <si>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</si>
  <si>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</si>
  <si>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</si>
  <si>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</si>
  <si>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</si>
  <si>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</si>
  <si>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</si>
  <si>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</si>
  <si>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</si>
  <si>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</si>
  <si>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</si>
  <si>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</si>
  <si>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</si>
  <si>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</si>
  <si>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</si>
  <si>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</si>
  <si>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</si>
  <si>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</si>
  <si>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</si>
  <si>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</si>
  <si>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</si>
  <si>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</si>
  <si>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</si>
  <si>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</si>
  <si>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</si>
  <si>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</si>
  <si>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</si>
  <si>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</si>
  <si>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</si>
  <si>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</si>
  <si>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</si>
  <si>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</si>
  <si>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</si>
  <si>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</si>
  <si>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</si>
  <si>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</si>
  <si>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</si>
  <si>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</si>
  <si>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</si>
  <si>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</si>
  <si>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</si>
  <si>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</si>
  <si>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</si>
  <si>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</si>
  <si>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</si>
  <si>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</si>
  <si>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</si>
  <si>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</si>
  <si>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</si>
  <si>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</si>
  <si>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</si>
  <si>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</si>
  <si>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</si>
  <si>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</si>
  <si>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</si>
  <si>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</si>
  <si>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</si>
  <si>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</si>
  <si>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</si>
  <si>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</si>
  <si>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</si>
  <si>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</si>
  <si>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</si>
  <si>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</si>
  <si>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</si>
  <si>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</si>
  <si>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</si>
  <si>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</si>
  <si>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</si>
  <si>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</si>
  <si>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</si>
  <si>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</si>
  <si>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</si>
  <si>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</si>
  <si>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</si>
  <si>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</si>
  <si>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</si>
  <si>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</si>
  <si>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</si>
  <si>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</si>
  <si>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</si>
  <si>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</si>
  <si>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</si>
  <si>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</si>
  <si>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</si>
  <si>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</si>
  <si>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</si>
  <si>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</si>
  <si>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</si>
  <si>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</si>
  <si>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</si>
  <si>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</si>
  <si>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</si>
  <si>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</si>
  <si>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</si>
  <si>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</si>
  <si>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</si>
  <si>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</si>
  <si>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</si>
  <si>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</si>
  <si>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</si>
  <si>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</si>
  <si>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</si>
  <si>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</si>
  <si>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</si>
  <si>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</si>
  <si>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</si>
  <si>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</si>
  <si>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</si>
  <si>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</si>
  <si>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</si>
  <si>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</si>
  <si>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</si>
  <si>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</si>
  <si>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</si>
  <si>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</si>
  <si>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</si>
  <si>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</si>
  <si>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</si>
  <si>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</si>
  <si>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</si>
  <si>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</si>
  <si>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</si>
  <si>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</si>
  <si>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</si>
  <si>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</si>
  <si>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</si>
  <si>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</si>
  <si>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</si>
  <si>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</si>
  <si>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</si>
  <si>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</si>
  <si>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</si>
  <si>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</si>
  <si>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</si>
  <si>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</si>
  <si>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</si>
  <si>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</si>
  <si>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</si>
  <si>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</si>
  <si>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</si>
  <si>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</si>
  <si>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</si>
  <si>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</si>
  <si>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</si>
  <si>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</si>
  <si>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</si>
  <si>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</si>
  <si>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</si>
  <si>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</si>
  <si>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</si>
  <si>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</si>
  <si>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</si>
  <si>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</si>
  <si>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</si>
  <si>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</si>
  <si>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</si>
  <si>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</si>
  <si>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</si>
  <si>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</si>
  <si>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</si>
  <si>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</si>
  <si>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</si>
  <si>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</si>
  <si>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</si>
  <si>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</si>
  <si>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</si>
  <si>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</si>
  <si>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</si>
  <si>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</si>
  <si>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</si>
  <si>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</si>
  <si>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</si>
  <si>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</si>
  <si>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</si>
  <si>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</si>
  <si>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</si>
  <si>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</si>
  <si>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</si>
  <si>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</si>
  <si>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</si>
  <si>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</si>
  <si>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</si>
  <si>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</si>
  <si>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</si>
  <si>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</si>
  <si>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</si>
  <si>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</si>
  <si>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</si>
  <si>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</si>
  <si>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</si>
  <si>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</si>
  <si>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</si>
  <si>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</si>
  <si>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</si>
  <si>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</si>
  <si>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</si>
  <si>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</si>
  <si>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</si>
  <si>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</si>
  <si>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</si>
  <si>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</si>
  <si>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</si>
  <si>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</si>
  <si>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</si>
  <si>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</si>
  <si>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</si>
  <si>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</si>
  <si>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</si>
  <si>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</si>
  <si>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</si>
  <si>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</si>
  <si>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</si>
  <si>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</si>
  <si>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</si>
  <si>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</si>
  <si>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</si>
  <si>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</si>
  <si>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</si>
  <si>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</si>
  <si>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</si>
  <si>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</si>
  <si>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</si>
  <si>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</si>
  <si>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</si>
  <si>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</si>
  <si>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</si>
  <si>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</si>
  <si>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</si>
  <si>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</si>
  <si>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</si>
  <si>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</si>
  <si>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</si>
  <si>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</si>
  <si>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</si>
  <si>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</si>
  <si>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</si>
  <si>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</si>
  <si>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</si>
  <si>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</si>
  <si>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</si>
  <si>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</si>
  <si>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</si>
  <si>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</si>
  <si>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</si>
  <si>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</si>
  <si>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</si>
  <si>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</si>
  <si>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</si>
  <si>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</si>
  <si>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</si>
  <si>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</si>
  <si>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</si>
  <si>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</si>
  <si>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</si>
  <si>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</si>
  <si>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</si>
  <si>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</si>
  <si>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</si>
  <si>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</si>
  <si>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</si>
  <si>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</si>
  <si>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</si>
  <si>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</si>
  <si>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</si>
  <si>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</si>
  <si>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</si>
  <si>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</si>
  <si>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</si>
  <si>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</si>
  <si>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</si>
  <si>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</si>
  <si>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</si>
  <si>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</si>
  <si>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</si>
  <si>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</si>
  <si>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</si>
  <si>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</si>
  <si>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</si>
  <si>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</si>
  <si>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</si>
  <si>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</si>
  <si>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</si>
  <si>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</si>
  <si>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</si>
  <si>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</si>
  <si>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</si>
  <si>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</si>
  <si>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</si>
  <si>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</si>
  <si>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</si>
  <si>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</si>
  <si>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</si>
  <si>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</si>
  <si>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</si>
  <si>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</si>
  <si>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</si>
  <si>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</si>
  <si>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</si>
  <si>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</si>
  <si>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</si>
  <si>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</si>
  <si>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</si>
  <si>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</si>
  <si>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</si>
  <si>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</si>
  <si>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</si>
  <si>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</si>
  <si>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</si>
  <si>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</si>
  <si>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</si>
  <si>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</si>
  <si>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</si>
  <si>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</si>
  <si>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</si>
  <si>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</si>
  <si>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</si>
  <si>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</si>
  <si>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</si>
  <si>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</si>
  <si>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</si>
  <si>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</si>
  <si>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</si>
  <si>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</si>
  <si>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</si>
  <si>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</si>
  <si>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</si>
  <si>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</si>
  <si>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</si>
  <si>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</si>
  <si>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</si>
  <si>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</si>
  <si>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</si>
  <si>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</si>
  <si>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</si>
  <si>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</si>
  <si>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</si>
  <si>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</si>
  <si>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</si>
  <si>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</si>
  <si>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</si>
  <si>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</si>
  <si>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</si>
  <si>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</si>
  <si>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</si>
  <si>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</si>
  <si>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</si>
  <si>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</si>
  <si>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</si>
  <si>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</si>
  <si>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</si>
  <si>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</si>
  <si>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</si>
  <si>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</si>
  <si>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</si>
  <si>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</si>
  <si>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</si>
  <si>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</si>
  <si>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</si>
  <si>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</si>
  <si>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</si>
  <si>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</si>
  <si>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</si>
  <si>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</si>
  <si>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</si>
  <si>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</si>
  <si>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</si>
  <si>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</si>
  <si>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</si>
  <si>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</si>
  <si>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</si>
  <si>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</si>
  <si>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</si>
  <si>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</si>
  <si>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</si>
  <si>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</si>
  <si>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</si>
  <si>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</si>
  <si>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</si>
  <si>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</si>
  <si>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</si>
  <si>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</si>
  <si>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</si>
  <si>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</si>
  <si>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</si>
  <si>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</si>
  <si>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</si>
  <si>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</si>
  <si>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</si>
  <si>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</si>
  <si>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</si>
  <si>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</si>
  <si>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</si>
  <si>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</si>
  <si>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</si>
  <si>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</si>
  <si>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</si>
  <si>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</si>
  <si>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</si>
  <si>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</si>
  <si>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</si>
  <si>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</si>
  <si>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</si>
  <si>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</si>
  <si>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</si>
  <si>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</si>
  <si>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</si>
  <si>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</si>
  <si>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</si>
  <si>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</si>
  <si>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</si>
  <si>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</si>
  <si>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</si>
  <si>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</si>
  <si>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</si>
  <si>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</si>
  <si>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</si>
  <si>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</si>
  <si>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</si>
  <si>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</si>
  <si>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</si>
  <si>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</si>
  <si>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</si>
  <si>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</si>
  <si>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</si>
  <si>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</si>
  <si>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</si>
  <si>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</si>
  <si>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</si>
  <si>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</si>
  <si>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</si>
  <si>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</si>
  <si>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</si>
  <si>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</si>
  <si>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</si>
  <si>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</si>
  <si>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</si>
  <si>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</si>
  <si>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</si>
  <si>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</si>
  <si>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</si>
  <si>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</si>
  <si>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</si>
  <si>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</si>
  <si>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</si>
  <si>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</si>
  <si>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</si>
  <si>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</si>
  <si>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</si>
  <si>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</si>
  <si>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</si>
  <si>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</si>
  <si>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</si>
  <si>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</si>
  <si>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</si>
  <si>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</si>
  <si>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</si>
  <si>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</si>
  <si>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</si>
  <si>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</si>
  <si>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</si>
  <si>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</si>
  <si>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</si>
  <si>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</si>
  <si>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</si>
  <si>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</si>
  <si>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</si>
  <si>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</si>
  <si>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</si>
  <si>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</si>
  <si>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</si>
  <si>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</si>
  <si>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</si>
  <si>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</si>
  <si>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</si>
  <si>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</si>
  <si>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</si>
  <si>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</si>
  <si>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</si>
  <si>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</si>
  <si>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</si>
  <si>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</si>
  <si>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</si>
  <si>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</si>
  <si>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</si>
  <si>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</si>
  <si>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</si>
  <si>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</si>
  <si>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</si>
  <si>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</si>
  <si>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</si>
  <si>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</si>
  <si>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</si>
  <si>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</si>
  <si>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</si>
  <si>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</si>
  <si>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</si>
  <si>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</si>
  <si>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</si>
  <si>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</si>
  <si>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</si>
  <si>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</si>
  <si>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</si>
  <si>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</si>
  <si>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</si>
  <si>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</si>
  <si>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</si>
  <si>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</si>
  <si>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</si>
  <si>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</si>
  <si>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</si>
  <si>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</si>
  <si>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</si>
  <si>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</si>
  <si>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</si>
  <si>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</si>
  <si>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</si>
  <si>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</si>
  <si>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</si>
  <si>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</si>
  <si>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</si>
  <si>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</si>
  <si>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</si>
  <si>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</si>
  <si>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</si>
  <si>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</si>
  <si>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</si>
  <si>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</si>
  <si>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</si>
  <si>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</si>
  <si>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</si>
  <si>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</si>
  <si>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</si>
  <si>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</si>
  <si>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</si>
  <si>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</si>
  <si>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</si>
  <si>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</si>
  <si>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</si>
  <si>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</si>
  <si>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</si>
  <si>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</si>
  <si>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</si>
  <si>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</si>
  <si>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</si>
  <si>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</si>
  <si>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</si>
  <si>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</si>
  <si>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</si>
  <si>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</si>
  <si>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</si>
  <si>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</si>
  <si>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</si>
  <si>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</si>
  <si>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</si>
  <si>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</si>
  <si>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</si>
  <si>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</si>
  <si>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</si>
  <si>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</si>
  <si>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</si>
  <si>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</si>
  <si>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</si>
  <si>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</si>
  <si>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</si>
  <si>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</si>
  <si>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</si>
  <si>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</si>
  <si>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</si>
  <si>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</si>
  <si>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</si>
  <si>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</si>
  <si>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</si>
  <si>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</si>
  <si>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</si>
  <si>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</si>
  <si>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</si>
  <si>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</si>
  <si>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</si>
  <si>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</si>
  <si>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</si>
  <si>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</si>
  <si>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</si>
  <si>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</si>
  <si>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</si>
  <si>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</si>
  <si>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</si>
  <si>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</si>
  <si>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</si>
  <si>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</si>
  <si>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</si>
  <si>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</si>
  <si>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</si>
  <si>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</si>
  <si>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</si>
  <si>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</si>
  <si>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</si>
  <si>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</si>
  <si>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</si>
  <si>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</si>
  <si>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</si>
  <si>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</si>
  <si>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</si>
  <si>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</si>
  <si>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</si>
  <si>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</si>
  <si>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</si>
  <si>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</si>
  <si>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</si>
  <si>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</si>
  <si>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</si>
  <si>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</si>
  <si>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</si>
  <si>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</si>
  <si>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</si>
  <si>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</si>
  <si>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</si>
  <si>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</si>
  <si>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</si>
  <si>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</si>
  <si>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</si>
  <si>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</si>
  <si>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</si>
  <si>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</si>
  <si>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</si>
  <si>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</si>
  <si>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</si>
  <si>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</si>
  <si>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</si>
  <si>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</si>
  <si>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</si>
  <si>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</si>
  <si>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</si>
  <si>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</si>
  <si>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</si>
  <si>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</si>
  <si>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</si>
  <si>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</si>
  <si>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</si>
  <si>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</si>
  <si>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</si>
  <si>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</si>
  <si>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</si>
  <si>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</si>
  <si>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</si>
  <si>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</si>
  <si>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</si>
  <si>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</si>
  <si>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</si>
  <si>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</si>
  <si>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</si>
  <si>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</si>
  <si>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</si>
  <si>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</si>
  <si>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</si>
  <si>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</si>
  <si>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</si>
  <si>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</si>
  <si>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</si>
  <si>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</si>
  <si>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</si>
  <si>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</si>
  <si>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</si>
  <si>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</si>
  <si>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</si>
  <si>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</si>
  <si>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</si>
  <si>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</si>
  <si>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</si>
  <si>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</si>
  <si>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</si>
  <si>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</si>
  <si>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</si>
  <si>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</si>
  <si>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</si>
  <si>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</si>
  <si>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</si>
  <si>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</si>
  <si>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</si>
  <si>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</si>
  <si>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</si>
  <si>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</si>
  <si>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</si>
  <si>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</si>
  <si>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</si>
  <si>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</si>
  <si>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</si>
  <si>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</si>
  <si>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</si>
  <si>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</si>
  <si>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</si>
  <si>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</si>
  <si>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</si>
  <si>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</si>
  <si>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</si>
  <si>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</si>
  <si>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</si>
  <si>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</si>
  <si>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</si>
  <si>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</si>
  <si>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</si>
  <si>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</si>
  <si>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</si>
  <si>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</si>
  <si>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</si>
  <si>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</si>
  <si>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</si>
  <si>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</si>
  <si>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</si>
  <si>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</si>
  <si>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</si>
  <si>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</si>
  <si>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</si>
  <si>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</si>
  <si>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</si>
  <si>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</si>
  <si>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</si>
  <si>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</si>
  <si>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</si>
  <si>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</si>
  <si>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</si>
  <si>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</si>
  <si>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</si>
  <si>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</si>
  <si>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</si>
  <si>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</si>
  <si>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</si>
  <si>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</si>
  <si>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</si>
  <si>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</si>
  <si>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</si>
  <si>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</si>
  <si>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</si>
  <si>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</si>
  <si>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</si>
  <si>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</si>
  <si>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</si>
  <si>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</si>
  <si>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</si>
  <si>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</si>
  <si>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</si>
  <si>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</si>
  <si>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</si>
  <si>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CREEK CHUB</t>
  </si>
  <si>
    <t>CENTRAL MUDMINNOW</t>
  </si>
  <si>
    <t>PEARL DACE</t>
  </si>
  <si>
    <t>Sevenmile Cr @ Vielbig Rd</t>
  </si>
  <si>
    <t>Fond du Lac</t>
  </si>
  <si>
    <t>HORNYHEAD CHUB</t>
  </si>
  <si>
    <t>COMMON SHINER</t>
  </si>
  <si>
    <t>WESTERN BLACKNOSE DACE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</si>
</sst>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6" sqref="B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42482</v>
      </c>
      <c r="C5" s="51"/>
      <c r="D5" s="33"/>
      <c r="F5" s="29"/>
      <c r="G5" s="32"/>
      <c r="H5" s="32"/>
      <c r="I5" s="32"/>
      <c r="J5" s="32"/>
      <c r="K5" s="32"/>
      <c r="L5" s="32"/>
      <c r="M5" s="32"/>
      <c r="N5" s="32"/>
      <c r="O5" s="32"/>
      <c r="P5" s="32"/>
      <c r="Q5" s="32"/>
      <c r="R5" s="32" t="s">
        <v>400</v>
      </c>
    </row>
    <row r="6" spans="1:19" ht="15" x14ac:dyDescent="0.25">
      <c r="A6" s="1" t="s">
        <v>858</v>
      </c>
      <c r="B6" s="52">
        <v>42213</v>
      </c>
      <c r="C6" s="53"/>
      <c r="D6" s="54"/>
      <c r="F6" s="30"/>
      <c r="G6" s="32"/>
      <c r="H6" s="32"/>
      <c r="I6" s="32"/>
      <c r="J6" s="32"/>
      <c r="K6" s="32"/>
      <c r="L6" s="32"/>
      <c r="M6" s="32"/>
      <c r="N6" s="32"/>
      <c r="O6" s="32"/>
      <c r="P6" s="32"/>
      <c r="Q6" s="32"/>
      <c r="R6" s="32" t="s">
        <v>902</v>
      </c>
    </row>
    <row r="7" spans="1:19" s="32" customFormat="1" ht="15" x14ac:dyDescent="0.25">
      <c r="A7" s="32" t="s">
        <v>905</v>
      </c>
      <c r="B7" s="147">
        <v>10016626</v>
      </c>
      <c r="C7" s="55"/>
      <c r="D7" s="56"/>
      <c r="F7" s="28"/>
      <c r="R7" s="32" t="s">
        <v>401</v>
      </c>
    </row>
    <row r="8" spans="1:19" ht="15" x14ac:dyDescent="0.25">
      <c r="A8" s="1" t="s">
        <v>49</v>
      </c>
      <c r="B8" s="151" t="s">
        <v>907</v>
      </c>
      <c r="C8" s="151"/>
      <c r="D8" s="151"/>
    </row>
    <row r="10" spans="1:19" ht="15" x14ac:dyDescent="0.25">
      <c r="A10" s="1" t="s">
        <v>34</v>
      </c>
      <c r="B10" s="46" t="s">
        <v>914</v>
      </c>
      <c r="C10" s="55"/>
      <c r="D10" s="56"/>
      <c r="F10" s="31"/>
      <c r="G10" s="31"/>
      <c r="H10" s="31"/>
      <c r="I10" s="31"/>
      <c r="J10" s="31"/>
      <c r="K10" s="31"/>
      <c r="L10" s="31"/>
      <c r="M10" s="31"/>
      <c r="N10" s="31"/>
      <c r="O10" s="31"/>
      <c r="P10" s="31"/>
      <c r="Q10" s="31"/>
      <c r="R10" s="31"/>
    </row>
    <row r="11" spans="1:19" ht="15" x14ac:dyDescent="0.25">
      <c r="A11" s="1" t="s">
        <v>37</v>
      </c>
      <c r="B11" s="151" t="s">
        <v>915</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136800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25</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912</v>
      </c>
      <c r="B20" s="146">
        <v>31</v>
      </c>
      <c r="C20" s="26" t="str">
        <f>IFERROR(VLOOKUP($A20,'Species guilds'!$A$3:$F$300,3,FALSE),0)</f>
        <v>T</v>
      </c>
      <c r="D20" s="26" t="str">
        <f>IFERROR(VLOOKUP($A20,'Species guilds'!$A$3:$F$300,4,FALSE),0)</f>
        <v>S</v>
      </c>
      <c r="E20" s="26" t="str">
        <f>IFERROR(VLOOKUP($A20,'Species guilds'!$A$3:$F$300,5,FALSE),0)</f>
        <v>T</v>
      </c>
      <c r="F20" s="26">
        <f t="shared" ref="F20:F52" si="0">IF(AND(M20&gt;0,B20&gt;0)=FALSE,B20,0)</f>
        <v>31</v>
      </c>
      <c r="G20" s="26">
        <f>IF(D20="Lake",0,1)</f>
        <v>1</v>
      </c>
      <c r="H20" s="26">
        <f>IF($C20=H$19,$B20*G20,0)</f>
        <v>0</v>
      </c>
      <c r="I20" s="26">
        <f>IF($C20=I$19,$B20*G20,0)</f>
        <v>31</v>
      </c>
      <c r="J20" s="26">
        <f>IF($C20=J$19,$B20*G20,0)</f>
        <v>0</v>
      </c>
      <c r="K20" s="26">
        <f>IF($D20=K$19,$B20*G20,0)</f>
        <v>31</v>
      </c>
      <c r="L20" s="26">
        <f>IF($D20=L$19,$B20*G20,0)</f>
        <v>0</v>
      </c>
      <c r="M20" s="26">
        <f>IF($D20=M$19,$B20,0)</f>
        <v>0</v>
      </c>
      <c r="N20" s="26">
        <f>IF($D20=N$19,$B20*G20,0)</f>
        <v>0</v>
      </c>
      <c r="O20" s="26">
        <f>IF($E20=O$19,$B20*G20,0)</f>
        <v>0</v>
      </c>
      <c r="P20" s="26">
        <f>IF($E20=P$19,$B20*G20,0)</f>
        <v>0</v>
      </c>
      <c r="Q20" s="26">
        <f>IF($E20=Q$19,$B20*G20,0)</f>
        <v>31</v>
      </c>
      <c r="R20" s="27" t="str">
        <f t="shared" ref="R20:R52" si="1">IF(AND(B20&gt;0,C20=0)=TRUE,"SPECIES NOT FOUND, CHECK SPELLING","")</f>
        <v/>
      </c>
      <c r="T20" s="59"/>
      <c r="U20" s="60"/>
      <c r="V20" s="60"/>
      <c r="W20" s="60"/>
      <c r="X20" s="60"/>
      <c r="Y20" s="60"/>
    </row>
    <row r="21" spans="1:25" ht="15" x14ac:dyDescent="0.25">
      <c r="A21" t="s">
        <v>911</v>
      </c>
      <c r="B21" s="146">
        <v>7</v>
      </c>
      <c r="C21" s="26" t="str">
        <f>IFERROR(VLOOKUP($A21,'Species guilds'!$A$3:$F$300,3,FALSE),0)</f>
        <v>T</v>
      </c>
      <c r="D21" s="26" t="str">
        <f>IFERROR(VLOOKUP($A21,'Species guilds'!$A$3:$F$300,4,FALSE),0)</f>
        <v>S</v>
      </c>
      <c r="E21" s="26" t="str">
        <f>IFERROR(VLOOKUP($A21,'Species guilds'!$A$3:$F$300,5,FALSE),0)</f>
        <v>T</v>
      </c>
      <c r="F21" s="26">
        <f t="shared" si="0"/>
        <v>7</v>
      </c>
      <c r="G21" s="26">
        <f t="shared" ref="G21:G52" si="2">IF(D21="Lake",0,1)</f>
        <v>1</v>
      </c>
      <c r="H21" s="26">
        <f t="shared" ref="H21:H52" si="3">IF($C21=H$19,$B21*G21,0)</f>
        <v>0</v>
      </c>
      <c r="I21" s="26">
        <f t="shared" ref="I21:I52" si="4">IF($C21=I$19,$B21*G21,0)</f>
        <v>7</v>
      </c>
      <c r="J21" s="26">
        <f t="shared" ref="J21:J52" si="5">IF($C21=J$19,$B21*G21,0)</f>
        <v>0</v>
      </c>
      <c r="K21" s="26">
        <f t="shared" ref="K21:K52" si="6">IF($D21=K$19,$B21*G21,0)</f>
        <v>7</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7</v>
      </c>
      <c r="R21" s="27" t="str">
        <f t="shared" si="1"/>
        <v/>
      </c>
      <c r="T21" s="58"/>
      <c r="U21" s="58"/>
      <c r="V21" s="58"/>
      <c r="W21" s="58"/>
      <c r="X21" s="58"/>
      <c r="Y21" s="58"/>
    </row>
    <row r="22" spans="1:25" ht="15" x14ac:dyDescent="0.25">
      <c r="A22" s="145" t="s">
        <v>916</v>
      </c>
      <c r="B22" s="146">
        <v>14</v>
      </c>
      <c r="C22" s="26" t="str">
        <f>IFERROR(VLOOKUP($A22,'Species guilds'!$A$3:$F$300,3,FALSE),0)</f>
        <v>W</v>
      </c>
      <c r="D22" s="26" t="str">
        <f>IFERROR(VLOOKUP($A22,'Species guilds'!$A$3:$F$300,4,FALSE),0)</f>
        <v>M</v>
      </c>
      <c r="E22" s="26" t="str">
        <f>IFERROR(VLOOKUP($A22,'Species guilds'!$A$3:$F$300,5,FALSE),0)</f>
        <v>IM</v>
      </c>
      <c r="F22" s="26">
        <f t="shared" si="0"/>
        <v>14</v>
      </c>
      <c r="G22" s="26">
        <f t="shared" si="2"/>
        <v>1</v>
      </c>
      <c r="H22" s="26">
        <f t="shared" si="3"/>
        <v>0</v>
      </c>
      <c r="I22" s="26">
        <f t="shared" si="4"/>
        <v>0</v>
      </c>
      <c r="J22" s="26">
        <f t="shared" si="5"/>
        <v>14</v>
      </c>
      <c r="K22" s="26">
        <f t="shared" si="6"/>
        <v>0</v>
      </c>
      <c r="L22" s="26">
        <f t="shared" si="7"/>
        <v>14</v>
      </c>
      <c r="M22" s="26">
        <f t="shared" si="8"/>
        <v>0</v>
      </c>
      <c r="N22" s="26">
        <f t="shared" si="9"/>
        <v>0</v>
      </c>
      <c r="O22" s="26">
        <f t="shared" si="10"/>
        <v>0</v>
      </c>
      <c r="P22" s="26">
        <f t="shared" si="11"/>
        <v>14</v>
      </c>
      <c r="Q22" s="26">
        <f t="shared" si="12"/>
        <v>0</v>
      </c>
      <c r="R22" s="27" t="str">
        <f t="shared" si="1"/>
        <v/>
      </c>
      <c r="T22" s="58"/>
      <c r="U22" s="58"/>
      <c r="V22" s="58"/>
      <c r="W22" s="58"/>
      <c r="X22" s="58"/>
      <c r="Y22" s="58"/>
    </row>
    <row r="23" spans="1:25" ht="15" x14ac:dyDescent="0.25">
      <c r="A23" t="s">
        <v>917</v>
      </c>
      <c r="B23" s="146">
        <v>3</v>
      </c>
      <c r="C23" s="26" t="str">
        <f>IFERROR(VLOOKUP($A23,'Species guilds'!$A$3:$F$300,3,FALSE),0)</f>
        <v>W</v>
      </c>
      <c r="D23" s="26" t="str">
        <f>IFERROR(VLOOKUP($A23,'Species guilds'!$A$3:$F$300,4,FALSE),0)</f>
        <v>M</v>
      </c>
      <c r="E23" s="26" t="str">
        <f>IFERROR(VLOOKUP($A23,'Species guilds'!$A$3:$F$300,5,FALSE),0)</f>
        <v>IM</v>
      </c>
      <c r="F23" s="26">
        <f t="shared" si="0"/>
        <v>3</v>
      </c>
      <c r="G23" s="26">
        <f t="shared" si="2"/>
        <v>1</v>
      </c>
      <c r="H23" s="26">
        <f t="shared" si="3"/>
        <v>0</v>
      </c>
      <c r="I23" s="26">
        <f t="shared" si="4"/>
        <v>0</v>
      </c>
      <c r="J23" s="26">
        <f t="shared" si="5"/>
        <v>3</v>
      </c>
      <c r="K23" s="26">
        <f t="shared" si="6"/>
        <v>0</v>
      </c>
      <c r="L23" s="26">
        <f t="shared" si="7"/>
        <v>3</v>
      </c>
      <c r="M23" s="26">
        <f t="shared" si="8"/>
        <v>0</v>
      </c>
      <c r="N23" s="26">
        <f t="shared" si="9"/>
        <v>0</v>
      </c>
      <c r="O23" s="26">
        <f t="shared" si="10"/>
        <v>0</v>
      </c>
      <c r="P23" s="26">
        <f t="shared" si="11"/>
        <v>3</v>
      </c>
      <c r="Q23" s="26">
        <f t="shared" si="12"/>
        <v>0</v>
      </c>
      <c r="R23" s="27" t="str">
        <f t="shared" si="1"/>
        <v/>
      </c>
      <c r="T23" s="58"/>
      <c r="U23" s="58"/>
      <c r="V23" s="58"/>
      <c r="W23" s="58"/>
      <c r="X23" s="58"/>
      <c r="Y23" s="58"/>
    </row>
    <row r="24" spans="1:25" ht="15" x14ac:dyDescent="0.25">
      <c r="A24" t="s">
        <v>913</v>
      </c>
      <c r="B24" s="146">
        <v>1</v>
      </c>
      <c r="C24" s="26" t="str">
        <f>IFERROR(VLOOKUP($A24,'Species guilds'!$A$3:$F$300,3,FALSE),0)</f>
        <v>T</v>
      </c>
      <c r="D24" s="26" t="str">
        <f>IFERROR(VLOOKUP($A24,'Species guilds'!$A$3:$F$300,4,FALSE),0)</f>
        <v>S</v>
      </c>
      <c r="E24" s="26" t="str">
        <f>IFERROR(VLOOKUP($A24,'Species guilds'!$A$3:$F$300,5,FALSE),0)</f>
        <v>IM</v>
      </c>
      <c r="F24" s="26">
        <f t="shared" si="0"/>
        <v>1</v>
      </c>
      <c r="G24" s="26">
        <f t="shared" si="2"/>
        <v>1</v>
      </c>
      <c r="H24" s="26">
        <f t="shared" si="3"/>
        <v>0</v>
      </c>
      <c r="I24" s="26">
        <f t="shared" si="4"/>
        <v>1</v>
      </c>
      <c r="J24" s="26">
        <f t="shared" si="5"/>
        <v>0</v>
      </c>
      <c r="K24" s="26">
        <f t="shared" si="6"/>
        <v>1</v>
      </c>
      <c r="L24" s="26">
        <f t="shared" si="7"/>
        <v>0</v>
      </c>
      <c r="M24" s="26">
        <f t="shared" si="8"/>
        <v>0</v>
      </c>
      <c r="N24" s="26">
        <f t="shared" si="9"/>
        <v>0</v>
      </c>
      <c r="O24" s="26">
        <f t="shared" si="10"/>
        <v>0</v>
      </c>
      <c r="P24" s="26">
        <f t="shared" si="11"/>
        <v>1</v>
      </c>
      <c r="Q24" s="26">
        <f t="shared" si="12"/>
        <v>0</v>
      </c>
      <c r="R24" s="27" t="str">
        <f t="shared" si="1"/>
        <v/>
      </c>
      <c r="T24" s="58"/>
      <c r="U24" s="58"/>
      <c r="V24" s="58"/>
      <c r="W24" s="58"/>
      <c r="X24" s="58"/>
      <c r="Y24" s="58"/>
    </row>
    <row r="25" spans="1:25" ht="15" x14ac:dyDescent="0.25">
      <c r="A25" t="s">
        <v>918</v>
      </c>
      <c r="B25" s="146">
        <v>1</v>
      </c>
      <c r="C25" s="26" t="str">
        <f>IFERROR(VLOOKUP($A25,'Species guilds'!$A$3:$F$300,3,FALSE),0)</f>
        <v>T</v>
      </c>
      <c r="D25" s="26" t="str">
        <f>IFERROR(VLOOKUP($A25,'Species guilds'!$A$3:$F$300,4,FALSE),0)</f>
        <v>S</v>
      </c>
      <c r="E25" s="26" t="str">
        <f>IFERROR(VLOOKUP($A25,'Species guilds'!$A$3:$F$300,5,FALSE),0)</f>
        <v>T</v>
      </c>
      <c r="F25" s="26">
        <f t="shared" si="0"/>
        <v>1</v>
      </c>
      <c r="G25" s="26">
        <f t="shared" si="2"/>
        <v>1</v>
      </c>
      <c r="H25" s="26">
        <f t="shared" si="3"/>
        <v>0</v>
      </c>
      <c r="I25" s="26">
        <f t="shared" si="4"/>
        <v>1</v>
      </c>
      <c r="J25" s="26">
        <f t="shared" si="5"/>
        <v>0</v>
      </c>
      <c r="K25" s="26">
        <f t="shared" si="6"/>
        <v>1</v>
      </c>
      <c r="L25" s="26">
        <f t="shared" si="7"/>
        <v>0</v>
      </c>
      <c r="M25" s="26">
        <f t="shared" si="8"/>
        <v>0</v>
      </c>
      <c r="N25" s="26">
        <f t="shared" si="9"/>
        <v>0</v>
      </c>
      <c r="O25" s="26">
        <f t="shared" si="10"/>
        <v>0</v>
      </c>
      <c r="P25" s="26">
        <f t="shared" si="11"/>
        <v>0</v>
      </c>
      <c r="Q25" s="26">
        <f t="shared" si="12"/>
        <v>1</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ht="15" x14ac:dyDescent="0.25">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ht="15" x14ac:dyDescent="0.25">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ht="15" x14ac:dyDescent="0.25">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ht="15" x14ac:dyDescent="0.25">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ht="15" x14ac:dyDescent="0.25">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ht="15" x14ac:dyDescent="0.25">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ht="15" x14ac:dyDescent="0.25">
      <c r="A53" s="79" t="s">
        <v>47</v>
      </c>
      <c r="B53" s="9">
        <f>SUM(B20:B52)</f>
        <v>57</v>
      </c>
      <c r="F53" s="9">
        <f>SUM(F20:F52)</f>
        <v>57</v>
      </c>
      <c r="G53" s="2"/>
      <c r="H53" s="9">
        <f>SUM(H20:H52)</f>
        <v>0</v>
      </c>
      <c r="I53" s="9">
        <f t="shared" ref="I53:Q53" si="14">SUM(I20:I52)</f>
        <v>40</v>
      </c>
      <c r="J53" s="9">
        <f t="shared" si="14"/>
        <v>17</v>
      </c>
      <c r="K53" s="9">
        <f t="shared" si="14"/>
        <v>40</v>
      </c>
      <c r="L53" s="9">
        <f t="shared" si="14"/>
        <v>17</v>
      </c>
      <c r="M53" s="9">
        <f t="shared" si="14"/>
        <v>0</v>
      </c>
      <c r="N53" s="9">
        <f t="shared" si="14"/>
        <v>0</v>
      </c>
      <c r="O53" s="9">
        <f t="shared" si="14"/>
        <v>0</v>
      </c>
      <c r="P53" s="9">
        <f t="shared" si="14"/>
        <v>18</v>
      </c>
      <c r="Q53" s="9">
        <f t="shared" si="14"/>
        <v>39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F22" sqref="F22"/>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42482</v>
      </c>
      <c r="C5" s="180"/>
      <c r="D5" s="180"/>
      <c r="E5" s="83"/>
      <c r="F5" s="36"/>
    </row>
    <row r="6" spans="1:6" ht="12.75" x14ac:dyDescent="0.2">
      <c r="A6" s="83" t="s">
        <v>858</v>
      </c>
      <c r="B6" s="181">
        <f>'Enter field data'!B6:D6</f>
        <v>42213</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Sevenmile Cr @ Vielbig Rd</v>
      </c>
      <c r="C9" s="180"/>
      <c r="D9" s="180"/>
      <c r="E9" s="83"/>
      <c r="F9" s="85"/>
    </row>
    <row r="10" spans="1:6" ht="12.75" x14ac:dyDescent="0.2">
      <c r="A10" s="83" t="s">
        <v>37</v>
      </c>
      <c r="B10" s="183" t="str">
        <f>'Enter field data'!B11:D11</f>
        <v>Fond du Lac</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136800</v>
      </c>
      <c r="C12" s="182"/>
      <c r="D12" s="182"/>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Warm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908</v>
      </c>
      <c r="E18" s="177"/>
      <c r="F18" s="93"/>
    </row>
    <row r="19" spans="1:6" ht="12.75" x14ac:dyDescent="0.2">
      <c r="A19" s="36" t="s">
        <v>885</v>
      </c>
      <c r="B19" s="36"/>
      <c r="C19" s="94"/>
      <c r="D19" s="191" t="s">
        <v>23</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40</v>
      </c>
      <c r="E31" s="117" t="s">
        <v>12</v>
      </c>
      <c r="F31" s="118">
        <f>'Enter field data'!$O$53</f>
        <v>0</v>
      </c>
    </row>
    <row r="32" spans="1:6" ht="12.75" x14ac:dyDescent="0.2">
      <c r="A32" s="113" t="s">
        <v>7</v>
      </c>
      <c r="B32" s="114">
        <f>'Enter field data'!$I$53</f>
        <v>40</v>
      </c>
      <c r="C32" s="115" t="s">
        <v>10</v>
      </c>
      <c r="D32" s="116">
        <f>'Enter field data'!$L$53</f>
        <v>17</v>
      </c>
      <c r="E32" s="117" t="s">
        <v>13</v>
      </c>
      <c r="F32" s="118">
        <f>'Enter field data'!$P$53</f>
        <v>18</v>
      </c>
    </row>
    <row r="33" spans="1:6" ht="12.75" x14ac:dyDescent="0.2">
      <c r="A33" s="113" t="s">
        <v>8</v>
      </c>
      <c r="B33" s="114">
        <f>'Enter field data'!$J$53</f>
        <v>17</v>
      </c>
      <c r="C33" s="115" t="s">
        <v>11</v>
      </c>
      <c r="D33" s="116">
        <f>'Enter field data'!$N$53</f>
        <v>0</v>
      </c>
      <c r="E33" s="117" t="s">
        <v>14</v>
      </c>
      <c r="F33" s="118">
        <f>'Enter field data'!$Q$53</f>
        <v>39</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v>
      </c>
      <c r="C39" s="124">
        <f>VLOOKUP($D$15,'Expected guild %'!$A$5:$G$13,2,FALSE)</f>
        <v>0</v>
      </c>
      <c r="D39" s="124">
        <f>VLOOKUP($D$15,'Expected guild %'!$A$5:$G$13,3,FALSE)</f>
        <v>0.05</v>
      </c>
      <c r="E39" s="125" t="str">
        <f>IF(AND(C39&lt;=B39,B39&lt;= D39)=TRUE,"Y","N")</f>
        <v>Y</v>
      </c>
      <c r="F39" s="36"/>
    </row>
    <row r="40" spans="1:6" ht="12.75" x14ac:dyDescent="0.2">
      <c r="A40" s="113" t="s">
        <v>7</v>
      </c>
      <c r="B40" s="123">
        <f>($B$32/'Enter field data'!$F$53)</f>
        <v>0.70175438596491224</v>
      </c>
      <c r="C40" s="124">
        <f>VLOOKUP($D$15,'Expected guild %'!$A$5:$G$13,4,FALSE)</f>
        <v>0</v>
      </c>
      <c r="D40" s="124">
        <f>VLOOKUP($D$15,'Expected guild %'!$A$5:$G$13,5,FALSE)</f>
        <v>0.25</v>
      </c>
      <c r="E40" s="125" t="str">
        <f>IF(AND(C40&lt;=B40,B40&lt;= D40)=TRUE,"Y","N")</f>
        <v>N</v>
      </c>
      <c r="F40" s="36"/>
    </row>
    <row r="41" spans="1:6" ht="12.75" x14ac:dyDescent="0.2">
      <c r="A41" s="113" t="s">
        <v>8</v>
      </c>
      <c r="B41" s="123">
        <f>($B$33/'Enter field data'!$F$53)</f>
        <v>0.2982456140350877</v>
      </c>
      <c r="C41" s="124">
        <f>VLOOKUP($D$15,'Expected guild %'!$A$5:$G$13,6,FALSE)</f>
        <v>0.75</v>
      </c>
      <c r="D41" s="124">
        <f>VLOOKUP($D$15,'Expected guild %'!$A$5:$G$13,7,FALSE)</f>
        <v>1</v>
      </c>
      <c r="E41" s="125" t="str">
        <f>IF(AND(C41&lt;=B41,B41&lt;= D41)=TRUE,"Y","N")</f>
        <v>N</v>
      </c>
      <c r="F41" s="36"/>
    </row>
    <row r="42" spans="1:6" ht="12.75" x14ac:dyDescent="0.2">
      <c r="A42" s="36"/>
      <c r="B42" s="36"/>
      <c r="C42" s="36"/>
      <c r="D42" s="36"/>
      <c r="E42" s="36"/>
      <c r="F42" s="36"/>
    </row>
    <row r="43" spans="1:6" ht="12.75" x14ac:dyDescent="0.2">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ht="12.75" x14ac:dyDescent="0.2">
      <c r="A46" s="113" t="s">
        <v>9</v>
      </c>
      <c r="B46" s="124">
        <f>($D$31/'Enter field data'!$F$53)</f>
        <v>0.70175438596491224</v>
      </c>
      <c r="C46" s="126">
        <f>VLOOKUP($D$15,'Expected guild %'!$A$19:$G$27,2,FALSE)</f>
        <v>0.5</v>
      </c>
      <c r="D46" s="124">
        <f>VLOOKUP($D$15,'Expected guild %'!$A$19:$G$27,3,FALSE)</f>
        <v>1</v>
      </c>
      <c r="E46" s="125" t="str">
        <f>IF(AND(C46&lt;=B46,B46&lt;= D46)=TRUE,"Y","N")</f>
        <v>Y</v>
      </c>
      <c r="F46" s="36"/>
    </row>
    <row r="47" spans="1:6" ht="12.75" x14ac:dyDescent="0.2">
      <c r="A47" s="113" t="s">
        <v>10</v>
      </c>
      <c r="B47" s="124">
        <f>($D$32/'Enter field data'!$F$53)</f>
        <v>0.2982456140350877</v>
      </c>
      <c r="C47" s="126">
        <f>VLOOKUP($D$15,'Expected guild %'!$A$19:$G$27,4,FALSE)</f>
        <v>0</v>
      </c>
      <c r="D47" s="124">
        <f>VLOOKUP($D$15,'Expected guild %'!$A$19:$G$27,5,FALSE)</f>
        <v>0.5</v>
      </c>
      <c r="E47" s="125" t="str">
        <f>IF(AND(C47&lt;=B47,B47&lt;= D47)=TRUE,"Y","N")</f>
        <v>Y</v>
      </c>
      <c r="F47" s="36"/>
    </row>
    <row r="48" spans="1:6" ht="12.75" x14ac:dyDescent="0.2">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909</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0.31578947368421051</v>
      </c>
      <c r="C70" s="133">
        <f>VLOOKUP($D$15,'Expected guild %'!$A$33:$G$41,4,FALSE)</f>
        <v>0</v>
      </c>
      <c r="D70" s="124">
        <f>VLOOKUP($D$15,'Expected guild %'!$A$33:$G$41,5,FALSE)</f>
        <v>1</v>
      </c>
      <c r="E70" s="125" t="str">
        <f>IF(AND(C70&lt;=B70,B70&lt;= D70)=TRUE,"Y","N")</f>
        <v>Y</v>
      </c>
    </row>
    <row r="71" spans="1:7" x14ac:dyDescent="0.3">
      <c r="A71" s="113" t="s">
        <v>14</v>
      </c>
      <c r="B71" s="123">
        <f>($F$33/'Enter field data'!$F$53)</f>
        <v>0.68421052631578949</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20.065315333333334</v>
      </c>
    </row>
    <row r="85" spans="1:4" x14ac:dyDescent="0.3">
      <c r="A85" s="171"/>
      <c r="B85" s="135" t="s">
        <v>847</v>
      </c>
      <c r="C85" s="136"/>
      <c r="D85" s="137">
        <f>'Weather Results'!C19</f>
        <v>23.875577333333336</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2.0409385333333332</v>
      </c>
    </row>
    <row r="94" spans="1:4" x14ac:dyDescent="0.3">
      <c r="A94" s="170"/>
      <c r="B94" s="135" t="s">
        <v>856</v>
      </c>
      <c r="C94" s="136"/>
      <c r="D94" s="137">
        <f>'Weather Results'!C28</f>
        <v>3.9880056666666666</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42213</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20150728</v>
      </c>
    </row>
    <row r="5" spans="1:5" ht="15" hidden="1" x14ac:dyDescent="0.25">
      <c r="A5" s="43"/>
      <c r="B5" s="43" t="s">
        <v>833</v>
      </c>
      <c r="C5" s="65" t="str">
        <f>CONCATENATE(YEAR(C1-30),IF(MONTH(C1-30)&lt;10,"0"&amp;MONTH(C1-30),MONTH(C1-30)),IF(DAY(C1-30)&lt;10,"0"&amp;DAY(C1-30),DAY(C1-30)))</f>
        <v>20150628</v>
      </c>
    </row>
    <row r="6" spans="1:5" ht="15" hidden="1" x14ac:dyDescent="0.25">
      <c r="A6" s="43"/>
      <c r="B6" s="43" t="s">
        <v>834</v>
      </c>
      <c r="C6" s="65" t="str">
        <f>CONCATENATE(YEAR(C1-90),IF(MONTH(C1-90)&lt;10,"0"&amp;MONTH(C1-90),MONTH(C1-90)),IF(DAY(C1-90)&lt;10,"0"&amp;DAY(C1-90),DAY(C1-90)))</f>
        <v>20150429</v>
      </c>
    </row>
    <row r="7" spans="1:5" ht="15" hidden="1" x14ac:dyDescent="0.25">
      <c r="A7" s="43"/>
      <c r="B7" s="43" t="s">
        <v>835</v>
      </c>
      <c r="C7" s="65" t="str">
        <f>CONCATENATE(YEAR(C1-365),IF(MONTH(C1-365)&lt;10,"0"&amp;MONTH(C1-365),MONTH(C1-365)),IF(DAY(C1-365)&lt;10,"0"&amp;DAY(C1-365),DAY(C1-365)))</f>
        <v>20140728</v>
      </c>
    </row>
    <row r="8" spans="1:5" ht="15" hidden="1" x14ac:dyDescent="0.25">
      <c r="A8" s="43"/>
      <c r="B8" s="43" t="s">
        <v>836</v>
      </c>
      <c r="C8" s="65" t="str">
        <f>CONCATENATE(YEAR(C1-1460),IF(MONTH(C1-1460)&lt;10,"0"&amp;MONTH(C1-1460),MONTH(C1-1460)),IF(DAY(C1-1460)&lt;10,"0"&amp;DAY(C1-1460),DAY(C1-1460)))</f>
        <v>20110729</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2</v>
      </c>
    </row>
    <row r="12" spans="1:5" ht="15" hidden="1" x14ac:dyDescent="0.25">
      <c r="A12" s="43"/>
      <c r="B12" s="43" t="s">
        <v>840</v>
      </c>
      <c r="C12" s="65">
        <f>IF(MONTH($C$1)=7,DAY($C$1),0)+IF(MONTH($C$1)=8,30-DAY($C$1),0)</f>
        <v>28</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20.065315333333334</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23.875577333333336</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2.0409385333333332</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3.9880056666666666</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ht="15" x14ac:dyDescent="0.25">
      <c r="A37" s="34" t="s">
        <v>23</v>
      </c>
      <c r="B37" s="8" t="s">
        <v>397</v>
      </c>
      <c r="C37" s="8">
        <v>1</v>
      </c>
      <c r="D37" s="8">
        <v>0</v>
      </c>
      <c r="E37" s="8">
        <v>1</v>
      </c>
      <c r="F37" s="8">
        <v>0</v>
      </c>
      <c r="G37" s="8">
        <v>0.75</v>
      </c>
    </row>
    <row r="38" spans="1:7" ht="15" x14ac:dyDescent="0.25">
      <c r="A38" s="34" t="s">
        <v>24</v>
      </c>
      <c r="B38" s="8" t="s">
        <v>397</v>
      </c>
      <c r="C38" s="8">
        <v>1</v>
      </c>
      <c r="D38" s="8">
        <v>0</v>
      </c>
      <c r="E38" s="8">
        <v>1</v>
      </c>
      <c r="F38" s="8">
        <v>0</v>
      </c>
      <c r="G38" s="8">
        <v>0.6</v>
      </c>
    </row>
    <row r="39" spans="1:7" ht="15" x14ac:dyDescent="0.25">
      <c r="A39" s="34" t="s">
        <v>25</v>
      </c>
      <c r="B39" s="8" t="s">
        <v>397</v>
      </c>
      <c r="C39" s="8">
        <v>1</v>
      </c>
      <c r="D39" s="8">
        <v>0</v>
      </c>
      <c r="E39" s="8">
        <v>1</v>
      </c>
      <c r="F39" s="8">
        <v>0</v>
      </c>
      <c r="G39" s="8">
        <v>0.75</v>
      </c>
    </row>
    <row r="40" spans="1:7" ht="15"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ht="15" x14ac:dyDescent="0.25">
      <c r="A63" s="13" t="s">
        <v>184</v>
      </c>
      <c r="B63" s="14" t="s">
        <v>185</v>
      </c>
      <c r="C63" s="13" t="s">
        <v>43</v>
      </c>
      <c r="D63" s="13" t="s">
        <v>40</v>
      </c>
      <c r="E63" s="13" t="s">
        <v>46</v>
      </c>
      <c r="F63" s="13"/>
      <c r="G63" s="14"/>
      <c r="H63" s="13"/>
      <c r="I63" s="13"/>
      <c r="K63" s="13"/>
      <c r="L63" s="13"/>
    </row>
    <row r="64" spans="1:12" ht="15" x14ac:dyDescent="0.25">
      <c r="A64" s="13" t="s">
        <v>186</v>
      </c>
      <c r="B64" s="14" t="s">
        <v>187</v>
      </c>
      <c r="C64" s="13" t="s">
        <v>42</v>
      </c>
      <c r="D64" s="13" t="s">
        <v>39</v>
      </c>
      <c r="E64" s="13" t="s">
        <v>46</v>
      </c>
      <c r="F64" s="13"/>
      <c r="G64" s="14"/>
      <c r="H64" s="13"/>
      <c r="I64" s="13"/>
      <c r="K64" s="13"/>
      <c r="L64" s="13"/>
    </row>
    <row r="65" spans="1:12" ht="15" x14ac:dyDescent="0.25">
      <c r="A65" s="13" t="s">
        <v>188</v>
      </c>
      <c r="B65" s="14" t="s">
        <v>189</v>
      </c>
      <c r="C65" s="13" t="s">
        <v>42</v>
      </c>
      <c r="D65" s="13" t="s">
        <v>41</v>
      </c>
      <c r="E65" s="13" t="s">
        <v>42</v>
      </c>
      <c r="F65" s="13"/>
      <c r="G65" s="14"/>
      <c r="H65" s="13"/>
      <c r="I65" s="13"/>
      <c r="K65" s="13"/>
      <c r="L65" s="13"/>
    </row>
    <row r="66" spans="1:12" ht="15" x14ac:dyDescent="0.25">
      <c r="A66" s="13" t="s">
        <v>190</v>
      </c>
      <c r="B66" s="14" t="s">
        <v>191</v>
      </c>
      <c r="C66" s="13" t="s">
        <v>42</v>
      </c>
      <c r="D66" s="13" t="s">
        <v>41</v>
      </c>
      <c r="E66" s="13" t="s">
        <v>42</v>
      </c>
      <c r="F66" s="15"/>
      <c r="G66" s="16"/>
      <c r="H66" s="15"/>
      <c r="I66" s="15"/>
      <c r="K66" s="15"/>
      <c r="L66" s="13"/>
    </row>
    <row r="67" spans="1:12" ht="15" x14ac:dyDescent="0.25">
      <c r="A67" s="13" t="s">
        <v>356</v>
      </c>
      <c r="B67" s="14" t="s">
        <v>357</v>
      </c>
      <c r="C67" s="13" t="s">
        <v>43</v>
      </c>
      <c r="D67" s="13" t="s">
        <v>40</v>
      </c>
      <c r="E67" s="13" t="s">
        <v>46</v>
      </c>
      <c r="F67" s="13"/>
      <c r="G67" s="14"/>
      <c r="H67" s="13"/>
      <c r="I67" s="13"/>
      <c r="K67" s="13"/>
      <c r="L67" s="13"/>
    </row>
    <row r="68" spans="1:12" ht="15" x14ac:dyDescent="0.25">
      <c r="A68" s="13" t="s">
        <v>358</v>
      </c>
      <c r="B68" s="14" t="s">
        <v>359</v>
      </c>
      <c r="C68" s="13" t="s">
        <v>43</v>
      </c>
      <c r="D68" s="13" t="s">
        <v>40</v>
      </c>
      <c r="E68" s="13" t="s">
        <v>46</v>
      </c>
      <c r="F68" s="13"/>
      <c r="G68" s="14"/>
      <c r="H68" s="13"/>
      <c r="I68" s="13"/>
      <c r="K68" s="13"/>
      <c r="L68" s="13"/>
    </row>
    <row r="69" spans="1:12" ht="15" x14ac:dyDescent="0.25">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2016-04-22T21:10:13Z</dcterms:modified>
</cp:coreProperties>
</file>