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<sst xmlns="http://schemas.openxmlformats.org/spreadsheetml/2006/main" count="2053" uniqueCount="941">
  <si>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</si>
  <si>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</si>
  <si>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</si>
  <si>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</si>
  <si>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</si>
  <si>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</si>
  <si>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</si>
  <si>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</si>
  <si>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</si>
  <si>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</si>
  <si>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</si>
  <si>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</si>
  <si>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</si>
  <si>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</si>
  <si>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</si>
  <si>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</si>
  <si>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</si>
  <si>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</si>
  <si>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</si>
  <si>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</si>
  <si>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</si>
  <si>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</si>
  <si>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</si>
  <si>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</si>
  <si>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</si>
  <si>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</si>
  <si>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</si>
  <si>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</si>
  <si>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</si>
  <si>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</si>
  <si>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</si>
  <si>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</si>
  <si>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</si>
  <si>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</si>
  <si>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</si>
  <si>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</si>
  <si>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</si>
  <si>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</si>
  <si>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</si>
  <si>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</si>
  <si>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</si>
  <si>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</si>
  <si>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</si>
  <si>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</si>
  <si>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</si>
  <si>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</si>
  <si>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</si>
  <si>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</si>
  <si>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</si>
  <si>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</si>
  <si>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</si>
  <si>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</si>
  <si>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</si>
  <si>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</si>
  <si>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</si>
  <si>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</si>
  <si>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</si>
  <si>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</si>
  <si>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</si>
  <si>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</si>
  <si>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</si>
  <si>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</si>
  <si>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</si>
  <si>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</si>
  <si>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</si>
  <si>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</si>
  <si>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</si>
  <si>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</si>
  <si>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</si>
  <si>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</si>
  <si>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</si>
  <si>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</si>
  <si>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</si>
  <si>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</si>
  <si>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</si>
  <si>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</si>
  <si>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</si>
  <si>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</si>
  <si>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</si>
  <si>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</si>
  <si>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</si>
  <si>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</si>
  <si>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</si>
  <si>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</si>
  <si>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</si>
  <si>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</si>
  <si>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</si>
  <si>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</si>
  <si>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</si>
  <si>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</si>
  <si>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</si>
  <si>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</si>
  <si>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</si>
  <si>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</si>
  <si>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</si>
  <si>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</si>
  <si>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</si>
  <si>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</si>
  <si>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</si>
  <si>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</si>
  <si>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</si>
  <si>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</si>
  <si>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</si>
  <si>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</si>
  <si>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</si>
  <si>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</si>
  <si>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</si>
  <si>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</si>
  <si>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</si>
  <si>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</si>
  <si>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</si>
  <si>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</si>
  <si>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</si>
  <si>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</si>
  <si>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</si>
  <si>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</si>
  <si>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</si>
  <si>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</si>
  <si>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</si>
  <si>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</si>
  <si>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</si>
  <si>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</si>
  <si>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</si>
  <si>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</si>
  <si>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</si>
  <si>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</si>
  <si>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</si>
  <si>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</si>
  <si>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</si>
  <si>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</si>
  <si>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</si>
  <si>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</si>
  <si>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</si>
  <si>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</si>
  <si>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</si>
  <si>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</si>
  <si>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</si>
  <si>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</si>
  <si>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</si>
  <si>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</si>
  <si>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</si>
  <si>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</si>
  <si>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</si>
  <si>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</si>
  <si>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</si>
  <si>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</si>
  <si>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</si>
  <si>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</si>
  <si>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</si>
  <si>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</si>
  <si>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</si>
  <si>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</si>
  <si>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</si>
  <si>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</si>
  <si>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</si>
  <si>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</si>
  <si>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</si>
  <si>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</si>
  <si>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</si>
  <si>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</si>
  <si>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</si>
  <si>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</si>
  <si>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</si>
  <si>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</si>
  <si>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</si>
  <si>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</si>
  <si>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</si>
  <si>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</si>
  <si>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</si>
  <si>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</si>
  <si>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</si>
  <si>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</si>
  <si>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</si>
  <si>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</si>
  <si>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</si>
  <si>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</si>
  <si>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</si>
  <si>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</si>
  <si>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</si>
  <si>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</si>
  <si>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</si>
  <si>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</si>
  <si>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</si>
  <si>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</si>
  <si>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</si>
  <si>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</si>
  <si>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</si>
  <si>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</si>
  <si>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</si>
  <si>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</si>
  <si>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</si>
  <si>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</si>
  <si>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</si>
  <si>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</si>
  <si>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</si>
  <si>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</si>
  <si>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</si>
  <si>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</si>
  <si>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</si>
  <si>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</si>
  <si>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</si>
  <si>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</si>
  <si>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</si>
  <si>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</si>
  <si>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</si>
  <si>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</si>
  <si>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</si>
  <si>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</si>
  <si>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</si>
  <si>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</si>
  <si>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</si>
  <si>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</si>
  <si>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</si>
  <si>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</si>
  <si>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</si>
  <si>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</si>
  <si>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</si>
  <si>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</si>
  <si>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</si>
  <si>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</si>
  <si>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</si>
  <si>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</si>
  <si>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</si>
  <si>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</si>
  <si>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</si>
  <si>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</si>
  <si>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</si>
  <si>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</si>
  <si>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</si>
  <si>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</si>
  <si>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</si>
  <si>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</si>
  <si>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</si>
  <si>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</si>
  <si>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</si>
  <si>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</si>
  <si>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</si>
  <si>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</si>
  <si>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</si>
  <si>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</si>
  <si>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</si>
  <si>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</si>
  <si>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</si>
  <si>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</si>
  <si>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</si>
  <si>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</si>
  <si>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</si>
  <si>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</si>
  <si>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</si>
  <si>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</si>
  <si>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</si>
  <si>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</si>
  <si>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</si>
  <si>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</si>
  <si>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</si>
  <si>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</si>
  <si>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</si>
  <si>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</si>
  <si>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</si>
  <si>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</si>
  <si>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</si>
  <si>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</si>
  <si>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</si>
  <si>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</si>
  <si>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</si>
  <si>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</si>
  <si>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</si>
  <si>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</si>
  <si>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</si>
  <si>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</si>
  <si>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</si>
  <si>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</si>
  <si>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</si>
  <si>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</si>
  <si>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</si>
  <si>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</si>
  <si>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</si>
  <si>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</si>
  <si>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</si>
  <si>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</si>
  <si>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</si>
  <si>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</si>
  <si>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</si>
  <si>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</si>
  <si>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</si>
  <si>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</si>
  <si>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</si>
  <si>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</si>
  <si>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</si>
  <si>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</si>
  <si>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</si>
  <si>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</si>
  <si>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</si>
  <si>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</si>
  <si>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</si>
  <si>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</si>
  <si>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</si>
  <si>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</si>
  <si>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</si>
  <si>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</si>
  <si>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</si>
  <si>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</si>
  <si>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</si>
  <si>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</si>
  <si>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</si>
  <si>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</si>
  <si>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</si>
  <si>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</si>
  <si>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</si>
  <si>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</si>
  <si>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</si>
  <si>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</si>
  <si>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</si>
  <si>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</si>
  <si>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</si>
  <si>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</si>
  <si>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</si>
  <si>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</si>
  <si>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</si>
  <si>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</si>
  <si>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</si>
  <si>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</si>
  <si>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</si>
  <si>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</si>
  <si>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</si>
  <si>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</si>
  <si>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</si>
  <si>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</si>
  <si>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</si>
  <si>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</si>
  <si>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</si>
  <si>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</si>
  <si>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</si>
  <si>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</si>
  <si>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</si>
  <si>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</si>
  <si>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</si>
  <si>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</si>
  <si>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</si>
  <si>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</si>
  <si>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</si>
  <si>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</si>
  <si>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</si>
  <si>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</si>
  <si>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</si>
  <si>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</si>
  <si>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</si>
  <si>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</si>
  <si>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</si>
  <si>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</si>
  <si>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</si>
  <si>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</si>
  <si>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</si>
  <si>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</si>
  <si>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</si>
  <si>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</si>
  <si>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</si>
  <si>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</si>
  <si>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</si>
  <si>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</si>
  <si>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</si>
  <si>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</si>
  <si>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</si>
  <si>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</si>
  <si>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</si>
  <si>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</si>
  <si>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</si>
  <si>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</si>
  <si>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</si>
  <si>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</si>
  <si>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</si>
  <si>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</si>
  <si>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</si>
  <si>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</si>
  <si>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</si>
  <si>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</si>
  <si>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</si>
  <si>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</si>
  <si>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</si>
  <si>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</si>
  <si>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</si>
  <si>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</si>
  <si>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</si>
  <si>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</si>
  <si>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</si>
  <si>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</si>
  <si>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</si>
  <si>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</si>
  <si>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</si>
  <si>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</si>
  <si>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</si>
  <si>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</si>
  <si>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</si>
  <si>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</si>
  <si>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</si>
  <si>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</si>
  <si>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</si>
  <si>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</si>
  <si>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</si>
  <si>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</si>
  <si>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</si>
  <si>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</si>
  <si>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</si>
  <si>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</si>
  <si>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</si>
  <si>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</si>
  <si>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</si>
  <si>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</si>
  <si>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</si>
  <si>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</si>
  <si>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</si>
  <si>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</si>
  <si>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</si>
  <si>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</si>
  <si>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</si>
  <si>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</si>
  <si>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</si>
  <si>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</si>
  <si>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</si>
  <si>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</si>
  <si>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</si>
  <si>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</si>
  <si>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</si>
  <si>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</si>
  <si>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</si>
  <si>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</si>
  <si>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</si>
  <si>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</si>
  <si>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</si>
  <si>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</si>
  <si>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</si>
  <si>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</si>
  <si>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</si>
  <si>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</si>
  <si>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</si>
  <si>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</si>
  <si>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</si>
  <si>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</si>
  <si>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</si>
  <si>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</si>
  <si>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</si>
  <si>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</si>
  <si>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</si>
  <si>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</si>
  <si>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</si>
  <si>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</si>
  <si>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</si>
  <si>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</si>
  <si>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</si>
  <si>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</si>
  <si>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</si>
  <si>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</si>
  <si>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</si>
  <si>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</si>
  <si>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</si>
  <si>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</si>
  <si>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</si>
  <si>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</si>
  <si>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</si>
  <si>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</si>
  <si>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</si>
  <si>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</si>
  <si>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</si>
  <si>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</si>
  <si>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</si>
  <si>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</si>
  <si>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</si>
  <si>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</si>
  <si>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</si>
  <si>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</si>
  <si>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</si>
  <si>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</si>
  <si>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</si>
  <si>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</si>
  <si>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</si>
  <si>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</si>
  <si>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</si>
  <si>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</si>
  <si>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</si>
  <si>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</si>
  <si>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</si>
  <si>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</si>
  <si>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</si>
  <si>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</si>
  <si>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</si>
  <si>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</si>
  <si>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</si>
  <si>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</si>
  <si>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</si>
  <si>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</si>
  <si>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</si>
  <si>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</si>
  <si>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</si>
  <si>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</si>
  <si>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</si>
  <si>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</si>
  <si>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</si>
  <si>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</si>
  <si>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</si>
  <si>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</si>
  <si>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</si>
  <si>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</si>
  <si>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</si>
  <si>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</si>
  <si>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</si>
  <si>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</si>
  <si>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</si>
  <si>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</si>
  <si>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</si>
  <si>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</si>
  <si>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</si>
  <si>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</si>
  <si>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</si>
  <si>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</si>
  <si>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</si>
  <si>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</si>
  <si>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</si>
  <si>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</si>
  <si>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</si>
  <si>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</si>
  <si>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</si>
  <si>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</si>
  <si>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</si>
  <si>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</si>
  <si>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</si>
  <si>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</si>
  <si>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</si>
  <si>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</si>
  <si>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</si>
  <si>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</si>
  <si>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</si>
  <si>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</si>
  <si>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</si>
  <si>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</si>
  <si>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</si>
  <si>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</si>
  <si>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</si>
  <si>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</si>
  <si>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</si>
  <si>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</si>
  <si>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</si>
  <si>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</si>
  <si>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</si>
  <si>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</si>
  <si>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</si>
  <si>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</si>
  <si>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</si>
  <si>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</si>
  <si>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</si>
  <si>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</si>
  <si>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</si>
  <si>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</si>
  <si>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</si>
  <si>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</si>
  <si>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</si>
  <si>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</si>
  <si>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</si>
  <si>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</si>
  <si>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</si>
  <si>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</si>
  <si>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</si>
  <si>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</si>
  <si>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</si>
  <si>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</si>
  <si>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</si>
  <si>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</si>
  <si>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</si>
  <si>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</si>
  <si>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</si>
  <si>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</si>
  <si>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</si>
  <si>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</si>
  <si>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</si>
  <si>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</si>
  <si>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</si>
  <si>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</si>
  <si>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</si>
  <si>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</si>
  <si>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</si>
  <si>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</si>
  <si>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</si>
  <si>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</si>
  <si>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</si>
  <si>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</si>
  <si>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</si>
  <si>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</si>
  <si>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</si>
  <si>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</si>
  <si>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</si>
  <si>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</si>
  <si>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</si>
  <si>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</si>
  <si>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</si>
  <si>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</si>
  <si>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</si>
  <si>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</si>
  <si>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</si>
  <si>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</si>
  <si>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</si>
  <si>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</si>
  <si>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</si>
  <si>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</si>
  <si>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</si>
  <si>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</si>
  <si>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</si>
  <si>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</si>
  <si>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</si>
  <si>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</si>
  <si>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</si>
  <si>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</si>
  <si>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</si>
  <si>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</si>
  <si>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</si>
  <si>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</si>
  <si>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</si>
  <si>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</si>
  <si>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</si>
  <si>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</si>
  <si>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</si>
  <si>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</si>
  <si>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</si>
  <si>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</si>
  <si>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</si>
  <si>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</si>
  <si>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</si>
  <si>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</si>
  <si>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</si>
  <si>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</si>
  <si>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</si>
  <si>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</si>
  <si>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</si>
  <si>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</si>
  <si>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</si>
  <si>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</si>
  <si>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</si>
  <si>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</si>
  <si>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</si>
  <si>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</si>
  <si>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</si>
  <si>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</si>
  <si>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</si>
  <si>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</si>
  <si>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</si>
  <si>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</si>
  <si>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</si>
  <si>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</si>
  <si>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</si>
  <si>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</si>
  <si>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</si>
  <si>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</si>
  <si>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</si>
  <si>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</si>
  <si>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</si>
  <si>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</si>
  <si>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</si>
  <si>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</si>
  <si>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</si>
  <si>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</si>
  <si>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</si>
  <si>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</si>
  <si>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</si>
  <si>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</si>
  <si>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</si>
  <si>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</si>
  <si>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</si>
  <si>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</si>
  <si>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</si>
  <si>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</si>
  <si>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</si>
  <si>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</si>
  <si>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</si>
  <si>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</si>
  <si>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</si>
  <si>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</si>
  <si>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</si>
  <si>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</si>
  <si>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</si>
  <si>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</si>
  <si>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</si>
  <si>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</si>
  <si>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</si>
  <si>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</si>
  <si>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</si>
  <si>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</si>
  <si>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</si>
  <si>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</si>
  <si>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</si>
  <si>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</si>
  <si>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</si>
  <si>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</si>
  <si>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</si>
  <si>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</si>
  <si>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</si>
  <si>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</si>
  <si>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</si>
  <si>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</si>
  <si>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</si>
  <si>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</si>
  <si>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</si>
  <si>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</si>
  <si>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</si>
  <si>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</si>
  <si>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</si>
  <si>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</si>
  <si>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</si>
  <si>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</si>
  <si>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</si>
  <si>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</si>
  <si>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</si>
  <si>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</si>
  <si>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</si>
  <si>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</si>
  <si>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</si>
  <si>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</si>
  <si>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</si>
  <si>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</si>
  <si>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</si>
  <si>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</si>
  <si>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</si>
  <si>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</si>
  <si>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</si>
  <si>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</si>
  <si>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</si>
  <si>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</si>
  <si>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</si>
  <si>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</si>
  <si>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</si>
  <si>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</si>
  <si>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</si>
  <si>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</si>
  <si>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</si>
  <si>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</si>
  <si>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</si>
  <si>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</si>
  <si>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</si>
  <si>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</si>
  <si>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</si>
  <si>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</si>
  <si>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</si>
  <si>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</si>
  <si>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</si>
  <si>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</si>
  <si>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</si>
  <si>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</si>
  <si>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</si>
  <si>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</si>
  <si>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</si>
  <si>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</si>
  <si>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</si>
  <si>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</si>
  <si>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</si>
  <si>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</si>
  <si>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</si>
  <si>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</si>
  <si>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</si>
  <si>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</si>
  <si>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</si>
  <si>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</si>
  <si>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</si>
  <si>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</si>
  <si>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</si>
  <si>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</si>
  <si>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</si>
  <si>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</si>
  <si>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</si>
  <si>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</si>
  <si>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</si>
  <si>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</si>
  <si>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</si>
  <si>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</si>
  <si>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</si>
  <si>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</si>
  <si>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</si>
  <si>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</si>
  <si>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</si>
  <si>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</si>
  <si>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</si>
  <si>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</si>
  <si>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</si>
  <si>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</si>
  <si>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</si>
  <si>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</si>
  <si>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</si>
  <si>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</si>
  <si>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</si>
  <si>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</si>
  <si>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</si>
  <si>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</si>
  <si>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</si>
  <si>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</si>
  <si>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</si>
  <si>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</si>
  <si>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</si>
  <si>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</si>
  <si>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</si>
  <si>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</si>
  <si>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</si>
  <si>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</si>
  <si>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</si>
  <si>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</si>
  <si>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</si>
  <si>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</si>
  <si>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</si>
  <si>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</si>
  <si>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</si>
  <si>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</si>
  <si>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</si>
  <si>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</si>
  <si>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</si>
  <si>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</si>
  <si>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</si>
  <si>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</si>
  <si>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</si>
  <si>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</si>
  <si>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</si>
  <si>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</si>
  <si>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</si>
  <si>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</si>
  <si>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</si>
  <si>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</si>
  <si>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</si>
  <si>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</si>
  <si>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</si>
  <si>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</si>
  <si>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</si>
  <si>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</si>
  <si>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</si>
  <si>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</si>
  <si>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</si>
  <si>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</si>
  <si>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</si>
  <si>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</si>
  <si>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</si>
  <si>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</si>
  <si>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</si>
  <si>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</si>
  <si>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</si>
  <si>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</si>
  <si>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</si>
  <si>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</si>
  <si>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</si>
  <si>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</si>
  <si>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</si>
  <si>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</si>
  <si>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</si>
  <si>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</si>
  <si>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</si>
  <si>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</si>
  <si>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</si>
  <si>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</si>
  <si>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</si>
  <si>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</si>
  <si>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</si>
  <si>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</si>
  <si>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</si>
  <si>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</si>
  <si>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</si>
  <si>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</si>
  <si>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</si>
  <si>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</si>
  <si>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</si>
  <si>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</si>
  <si>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</si>
  <si>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</si>
  <si>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</si>
  <si>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</si>
  <si>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</si>
  <si>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</si>
  <si>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</si>
  <si>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</si>
  <si>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</si>
  <si>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</si>
  <si>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</si>
  <si>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</si>
  <si>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</si>
  <si>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</si>
  <si>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</si>
  <si>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</si>
  <si>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</si>
  <si>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</si>
  <si>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</si>
  <si>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</si>
  <si>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</si>
  <si>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</si>
  <si>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</si>
  <si>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</si>
  <si>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</si>
  <si>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</si>
  <si>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</si>
  <si>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</si>
  <si>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</si>
  <si>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</si>
  <si>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</si>
  <si>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</si>
  <si>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</si>
  <si>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</si>
  <si>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</si>
  <si>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</si>
  <si>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</si>
  <si>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</si>
  <si>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</si>
  <si>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</si>
  <si>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</si>
  <si>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</si>
  <si>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</si>
  <si>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</si>
  <si>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</si>
  <si>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</si>
  <si>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</si>
  <si>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</si>
  <si>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</si>
  <si>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</si>
  <si>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</si>
  <si>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</si>
  <si>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</si>
  <si>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</si>
  <si>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</si>
  <si>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</si>
  <si>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</si>
  <si>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</si>
  <si>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</si>
  <si>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</si>
  <si>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</si>
  <si>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</si>
  <si>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</si>
  <si>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</si>
  <si>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</si>
  <si>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</si>
  <si>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</si>
  <si>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</si>
  <si>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</si>
  <si>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PIER SPRING CREEK UPSTREAM OF HWY 14 BRIDGE</t>
  </si>
  <si>
    <t>BROOK TROUT</t>
  </si>
  <si>
    <t>BROOK STICKLEBACK</t>
  </si>
  <si>
    <t>Jean Unmuth</t>
  </si>
  <si>
    <t>Pier Spring Creek</t>
  </si>
  <si>
    <t>Richland County</t>
  </si>
  <si>
    <t>Not within range for coldwter (6% higher), not within range for transitional (6% lower)</t>
  </si>
  <si>
    <t>All within range</t>
  </si>
  <si>
    <t>No</t>
  </si>
  <si>
    <t>Is within range for coldwater small, medium stream, propose a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</si>
</sst>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2" zoomScale="75" zoomScaleNormal="75" workbookViewId="0">
      <selection activeCell="B23" sqref="B2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934</v>
      </c>
      <c r="C4" s="159"/>
      <c r="D4" s="160"/>
      <c r="F4" s="2" t="s">
        <v>836</v>
      </c>
    </row>
    <row r="5" spans="1:20" x14ac:dyDescent="0.25">
      <c r="A5" s="1" t="s">
        <v>832</v>
      </c>
      <c r="B5" s="172">
        <v>42898</v>
      </c>
      <c r="C5" s="159"/>
      <c r="D5" s="160"/>
      <c r="F5" s="84"/>
      <c r="G5" s="28"/>
      <c r="H5" s="28"/>
      <c r="I5" s="28"/>
      <c r="J5" s="28"/>
      <c r="K5" s="28"/>
      <c r="L5" s="28"/>
      <c r="M5" s="28"/>
      <c r="N5" s="28"/>
      <c r="O5" s="28"/>
      <c r="P5" s="28"/>
      <c r="Q5" s="28"/>
      <c r="R5" s="28" t="s">
        <v>866</v>
      </c>
    </row>
    <row r="6" spans="1:20" x14ac:dyDescent="0.25">
      <c r="A6" s="1" t="s">
        <v>830</v>
      </c>
      <c r="B6" s="173">
        <v>41803</v>
      </c>
      <c r="C6" s="174"/>
      <c r="D6" s="175"/>
      <c r="F6" s="26"/>
      <c r="G6" s="28"/>
      <c r="H6" s="28"/>
      <c r="I6" s="28"/>
      <c r="J6" s="28"/>
      <c r="K6" s="28"/>
      <c r="L6" s="28"/>
      <c r="M6" s="28"/>
      <c r="N6" s="28"/>
      <c r="O6" s="28"/>
      <c r="P6" s="28"/>
      <c r="Q6" s="28"/>
      <c r="R6" s="28" t="s">
        <v>378</v>
      </c>
    </row>
    <row r="7" spans="1:20" s="28" customFormat="1" x14ac:dyDescent="0.25">
      <c r="A7" s="28" t="s">
        <v>869</v>
      </c>
      <c r="B7" s="176">
        <v>10031753</v>
      </c>
      <c r="C7" s="174"/>
      <c r="D7" s="175"/>
      <c r="F7" s="27"/>
    </row>
    <row r="8" spans="1:20" s="28" customFormat="1" x14ac:dyDescent="0.25">
      <c r="A8" s="28" t="s">
        <v>872</v>
      </c>
      <c r="B8" s="176" t="s">
        <v>931</v>
      </c>
      <c r="C8" s="174"/>
      <c r="D8" s="175"/>
      <c r="F8" s="27"/>
    </row>
    <row r="9" spans="1:20" x14ac:dyDescent="0.25">
      <c r="A9" s="1" t="s">
        <v>49</v>
      </c>
      <c r="B9" s="165" t="s">
        <v>870</v>
      </c>
      <c r="C9" s="165"/>
      <c r="D9" s="165"/>
    </row>
    <row r="10" spans="1:20" x14ac:dyDescent="0.25">
      <c r="B10" s="88"/>
      <c r="C10" s="88"/>
      <c r="D10" s="88"/>
    </row>
    <row r="11" spans="1:20" x14ac:dyDescent="0.25">
      <c r="A11" s="1" t="s">
        <v>34</v>
      </c>
      <c r="B11" s="176" t="s">
        <v>935</v>
      </c>
      <c r="C11" s="174"/>
      <c r="D11" s="175"/>
      <c r="F11" s="27"/>
      <c r="G11" s="27"/>
      <c r="H11" s="27"/>
      <c r="I11" s="27"/>
      <c r="J11" s="27"/>
      <c r="K11" s="27"/>
      <c r="L11" s="27"/>
      <c r="M11" s="27"/>
      <c r="N11" s="27"/>
      <c r="O11" s="27"/>
      <c r="P11" s="27"/>
      <c r="Q11" s="27"/>
      <c r="R11" s="27"/>
    </row>
    <row r="12" spans="1:20" x14ac:dyDescent="0.25">
      <c r="A12" s="1" t="s">
        <v>37</v>
      </c>
      <c r="B12" s="165" t="s">
        <v>936</v>
      </c>
      <c r="C12" s="165"/>
      <c r="D12" s="165"/>
    </row>
    <row r="13" spans="1:20" x14ac:dyDescent="0.25">
      <c r="A13" s="1" t="s">
        <v>35</v>
      </c>
      <c r="B13" s="165">
        <v>18492</v>
      </c>
      <c r="C13" s="165"/>
      <c r="D13" s="165"/>
      <c r="F13" s="27"/>
      <c r="G13" s="27"/>
      <c r="H13" s="27"/>
      <c r="I13" s="27"/>
      <c r="J13" s="27"/>
      <c r="K13" s="27"/>
      <c r="L13" s="27"/>
      <c r="M13" s="27"/>
      <c r="N13" s="27"/>
      <c r="O13" s="27"/>
      <c r="P13" s="27"/>
      <c r="Q13" s="27"/>
      <c r="R13" s="27"/>
    </row>
    <row r="14" spans="1:20" x14ac:dyDescent="0.25">
      <c r="A14" s="1" t="s">
        <v>36</v>
      </c>
      <c r="B14" s="165">
        <v>1226500</v>
      </c>
      <c r="C14" s="165"/>
      <c r="D14" s="165"/>
      <c r="F14" s="27"/>
      <c r="G14" s="27"/>
      <c r="H14" s="27"/>
      <c r="I14" s="27"/>
      <c r="J14" s="27"/>
      <c r="K14" s="27"/>
      <c r="L14" s="27"/>
      <c r="M14" s="27"/>
      <c r="N14" s="27"/>
      <c r="O14" s="27"/>
      <c r="P14" s="27"/>
      <c r="Q14" s="27"/>
      <c r="R14" s="27"/>
    </row>
    <row r="15" spans="1:20" s="28" customFormat="1" x14ac:dyDescent="0.25">
      <c r="A15" s="28" t="s">
        <v>835</v>
      </c>
      <c r="B15" s="158" t="s">
        <v>712</v>
      </c>
      <c r="C15" s="159"/>
      <c r="D15" s="160"/>
      <c r="E15" s="11" t="s">
        <v>868</v>
      </c>
      <c r="F15" s="27"/>
    </row>
    <row r="16" spans="1:20" x14ac:dyDescent="0.25">
      <c r="B16" s="132"/>
      <c r="C16" s="132"/>
      <c r="D16" s="132"/>
      <c r="T16" s="37"/>
    </row>
    <row r="17" spans="1:25" x14ac:dyDescent="0.25">
      <c r="A17" s="1" t="s">
        <v>33</v>
      </c>
      <c r="B17" s="164" t="s">
        <v>21</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932</v>
      </c>
      <c r="B21" s="40">
        <v>13</v>
      </c>
      <c r="C21" s="26" t="str">
        <f>IFERROR(VLOOKUP($A21,'Species guilds'!$A$3:$F$301,3,FALSE),0)</f>
        <v>C</v>
      </c>
      <c r="D21" s="26" t="str">
        <f>IFERROR(VLOOKUP($A21,'Species guilds'!$A$3:$F$301,4,FALSE),0)</f>
        <v>S</v>
      </c>
      <c r="E21" s="26" t="str">
        <f>IFERROR(VLOOKUP($A21,'Species guilds'!$A$3:$F$301,5,FALSE),0)</f>
        <v>IT</v>
      </c>
      <c r="F21" s="26">
        <f t="shared" ref="F21:F53" si="0">IF(AND(M21&gt;0,B21&gt;0)=FALSE,B21,0)</f>
        <v>13</v>
      </c>
      <c r="G21" s="26">
        <f>IF(D21="Lake",0,1)</f>
        <v>1</v>
      </c>
      <c r="H21" s="26">
        <f>IF($C21=H$20,$B21*G21,0)</f>
        <v>13</v>
      </c>
      <c r="I21" s="26">
        <f>IF($C21=I$20,$B21*G21,0)</f>
        <v>0</v>
      </c>
      <c r="J21" s="26">
        <f>IF($C21=J$20,$B21*G21,0)</f>
        <v>0</v>
      </c>
      <c r="K21" s="26">
        <f>IF($D21=K$20,$B21*G21,0)</f>
        <v>13</v>
      </c>
      <c r="L21" s="26">
        <f>IF($D21=L$20,$B21*G21,0)</f>
        <v>0</v>
      </c>
      <c r="M21" s="26">
        <f>IF($D21=M$20,$B21,0)</f>
        <v>0</v>
      </c>
      <c r="N21" s="26">
        <f>IF($D21=N$20,$B21*G21,0)</f>
        <v>0</v>
      </c>
      <c r="O21" s="26">
        <f>IF($E21=O$20,$B21*G21,0)</f>
        <v>13</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933</v>
      </c>
      <c r="B22" s="40">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16</v>
      </c>
      <c r="F54" s="9">
        <f>SUM(F21:F53)</f>
        <v>16</v>
      </c>
      <c r="G54" s="2"/>
      <c r="H54" s="9">
        <f>SUM(H21:H53)</f>
        <v>13</v>
      </c>
      <c r="I54" s="9">
        <f t="shared" ref="I54:Q54" si="14">SUM(I21:I53)</f>
        <v>3</v>
      </c>
      <c r="J54" s="9">
        <f t="shared" si="14"/>
        <v>0</v>
      </c>
      <c r="K54" s="9">
        <f t="shared" si="14"/>
        <v>16</v>
      </c>
      <c r="L54" s="9">
        <f t="shared" si="14"/>
        <v>0</v>
      </c>
      <c r="M54" s="9">
        <f t="shared" si="14"/>
        <v>0</v>
      </c>
      <c r="N54" s="9">
        <f t="shared" si="14"/>
        <v>0</v>
      </c>
      <c r="O54" s="9">
        <f t="shared" si="14"/>
        <v>13</v>
      </c>
      <c r="P54" s="9">
        <f t="shared" si="14"/>
        <v>0</v>
      </c>
      <c r="Q54" s="9">
        <f t="shared" si="14"/>
        <v>3</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I57" sqref="I57:N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Jean Unmuth</v>
      </c>
      <c r="C4" s="181"/>
      <c r="D4" s="87"/>
      <c r="E4" s="65"/>
      <c r="F4" s="91" t="s">
        <v>836</v>
      </c>
      <c r="G4" s="85"/>
      <c r="H4" s="85"/>
      <c r="I4" s="85"/>
      <c r="J4" s="85"/>
      <c r="K4" s="85"/>
      <c r="L4" s="85"/>
      <c r="M4" s="85"/>
      <c r="N4" s="85"/>
      <c r="O4" s="85"/>
      <c r="P4" s="85"/>
    </row>
    <row r="5" spans="1:16" ht="15" x14ac:dyDescent="0.2">
      <c r="A5" s="65" t="s">
        <v>831</v>
      </c>
      <c r="B5" s="182">
        <f>'Enter field data'!B5</f>
        <v>42898</v>
      </c>
      <c r="C5" s="183"/>
      <c r="D5" s="87"/>
      <c r="E5" s="65"/>
      <c r="F5" s="92"/>
      <c r="G5" s="85" t="s">
        <v>875</v>
      </c>
      <c r="H5" s="85"/>
      <c r="I5" s="85"/>
      <c r="J5" s="85"/>
      <c r="K5" s="85"/>
      <c r="L5" s="85"/>
      <c r="M5" s="85"/>
      <c r="N5" s="85"/>
      <c r="O5" s="85"/>
      <c r="P5" s="85"/>
    </row>
    <row r="6" spans="1:16" ht="15" x14ac:dyDescent="0.2">
      <c r="A6" s="65" t="s">
        <v>830</v>
      </c>
      <c r="B6" s="182">
        <f>'Enter field data'!B6</f>
        <v>41803</v>
      </c>
      <c r="C6" s="183"/>
      <c r="D6" s="87"/>
      <c r="E6" s="65"/>
      <c r="F6" s="93"/>
      <c r="G6" s="85" t="s">
        <v>876</v>
      </c>
      <c r="H6" s="85"/>
      <c r="I6" s="85"/>
      <c r="J6" s="85"/>
      <c r="K6" s="85"/>
      <c r="L6" s="85"/>
      <c r="M6" s="85"/>
      <c r="N6" s="85"/>
      <c r="O6" s="85"/>
      <c r="P6" s="85"/>
    </row>
    <row r="7" spans="1:16" x14ac:dyDescent="0.2">
      <c r="A7" s="65" t="s">
        <v>869</v>
      </c>
      <c r="B7" s="180">
        <f>'Enter field data'!B7</f>
        <v>10031753</v>
      </c>
      <c r="C7" s="184"/>
      <c r="D7" s="87"/>
      <c r="E7" s="65"/>
      <c r="F7" s="65"/>
    </row>
    <row r="8" spans="1:16" x14ac:dyDescent="0.2">
      <c r="A8" s="65" t="s">
        <v>872</v>
      </c>
      <c r="B8" s="180" t="str">
        <f>'Enter field data'!B8</f>
        <v>PIER SPRING CREEK UPSTREAM OF HWY 14 BRIDGE</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Pier Spring Creek</v>
      </c>
      <c r="C11" s="184"/>
      <c r="D11" s="87"/>
      <c r="E11" s="65"/>
      <c r="F11" s="94"/>
    </row>
    <row r="12" spans="1:16" x14ac:dyDescent="0.2">
      <c r="A12" s="65" t="s">
        <v>37</v>
      </c>
      <c r="B12" s="180" t="str">
        <f>'Enter field data'!B12</f>
        <v>Richland County</v>
      </c>
      <c r="C12" s="184"/>
      <c r="D12" s="87"/>
      <c r="E12" s="65"/>
      <c r="F12" s="65"/>
    </row>
    <row r="13" spans="1:16" x14ac:dyDescent="0.2">
      <c r="A13" s="65" t="s">
        <v>35</v>
      </c>
      <c r="B13" s="180">
        <f>'Enter field data'!B13</f>
        <v>18492</v>
      </c>
      <c r="C13" s="184"/>
      <c r="D13" s="87"/>
      <c r="E13" s="65"/>
      <c r="F13" s="94"/>
    </row>
    <row r="14" spans="1:16" x14ac:dyDescent="0.2">
      <c r="A14" s="65" t="s">
        <v>36</v>
      </c>
      <c r="B14" s="180">
        <f>'Enter field data'!B14</f>
        <v>1226500</v>
      </c>
      <c r="C14" s="184"/>
      <c r="D14" s="87"/>
      <c r="E14" s="65"/>
      <c r="F14" s="94"/>
    </row>
    <row r="15" spans="1:16" ht="15" x14ac:dyDescent="0.2">
      <c r="A15" s="65" t="s">
        <v>863</v>
      </c>
      <c r="B15" s="185" t="str">
        <f>'Enter field data'!B15</f>
        <v>0707000511</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1"/>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6</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1"/>
      <c r="H29" s="150"/>
      <c r="I29" s="102" t="s">
        <v>913</v>
      </c>
      <c r="L29" s="211" t="s">
        <v>6</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13</v>
      </c>
      <c r="C36" s="111" t="s">
        <v>9</v>
      </c>
      <c r="D36" s="112">
        <f>'Enter field data'!$K$54</f>
        <v>16</v>
      </c>
      <c r="E36" s="113" t="s">
        <v>12</v>
      </c>
      <c r="F36" s="114">
        <f>'Enter field data'!$O$54</f>
        <v>13</v>
      </c>
      <c r="H36" s="150"/>
      <c r="I36" s="110" t="s">
        <v>6</v>
      </c>
      <c r="J36" s="83">
        <f>'Enter field data'!$H$54</f>
        <v>13</v>
      </c>
      <c r="K36" s="111" t="s">
        <v>9</v>
      </c>
      <c r="L36" s="112">
        <f>'Enter field data'!$K$54</f>
        <v>16</v>
      </c>
      <c r="M36" s="113" t="s">
        <v>12</v>
      </c>
      <c r="N36" s="114">
        <f>'Enter field data'!$O$54</f>
        <v>13</v>
      </c>
      <c r="P36" s="110" t="s">
        <v>6</v>
      </c>
      <c r="Q36" s="83">
        <f>'Enter field data'!$H$54</f>
        <v>13</v>
      </c>
      <c r="R36" s="111" t="s">
        <v>9</v>
      </c>
      <c r="S36" s="112">
        <f>'Enter field data'!$K$54</f>
        <v>16</v>
      </c>
      <c r="T36" s="113" t="s">
        <v>12</v>
      </c>
      <c r="U36" s="114">
        <f>'Enter field data'!$O$54</f>
        <v>13</v>
      </c>
      <c r="W36" s="110" t="s">
        <v>6</v>
      </c>
      <c r="X36" s="83">
        <f>'Enter field data'!$H$54</f>
        <v>13</v>
      </c>
      <c r="Y36" s="111" t="s">
        <v>9</v>
      </c>
      <c r="Z36" s="112">
        <f>'Enter field data'!$K$54</f>
        <v>16</v>
      </c>
      <c r="AA36" s="113" t="s">
        <v>12</v>
      </c>
      <c r="AB36" s="114">
        <f>'Enter field data'!$O$54</f>
        <v>13</v>
      </c>
    </row>
    <row r="37" spans="1:28" x14ac:dyDescent="0.2">
      <c r="A37" s="110" t="s">
        <v>7</v>
      </c>
      <c r="B37" s="83">
        <f>'Enter field data'!$I$54</f>
        <v>3</v>
      </c>
      <c r="C37" s="111" t="s">
        <v>10</v>
      </c>
      <c r="D37" s="112">
        <f>'Enter field data'!$L$54</f>
        <v>0</v>
      </c>
      <c r="E37" s="113" t="s">
        <v>13</v>
      </c>
      <c r="F37" s="114">
        <f>'Enter field data'!$P$54</f>
        <v>0</v>
      </c>
      <c r="H37" s="150"/>
      <c r="I37" s="110" t="s">
        <v>7</v>
      </c>
      <c r="J37" s="83">
        <f>'Enter field data'!$I$54</f>
        <v>3</v>
      </c>
      <c r="K37" s="111" t="s">
        <v>10</v>
      </c>
      <c r="L37" s="112">
        <f>'Enter field data'!$L$54</f>
        <v>0</v>
      </c>
      <c r="M37" s="113" t="s">
        <v>13</v>
      </c>
      <c r="N37" s="114">
        <f>'Enter field data'!$P$54</f>
        <v>0</v>
      </c>
      <c r="P37" s="110" t="s">
        <v>7</v>
      </c>
      <c r="Q37" s="83">
        <f>'Enter field data'!$I$54</f>
        <v>3</v>
      </c>
      <c r="R37" s="111" t="s">
        <v>10</v>
      </c>
      <c r="S37" s="112">
        <f>'Enter field data'!$L$54</f>
        <v>0</v>
      </c>
      <c r="T37" s="113" t="s">
        <v>13</v>
      </c>
      <c r="U37" s="114">
        <f>'Enter field data'!$P$54</f>
        <v>0</v>
      </c>
      <c r="W37" s="110" t="s">
        <v>7</v>
      </c>
      <c r="X37" s="83">
        <f>'Enter field data'!$I$54</f>
        <v>3</v>
      </c>
      <c r="Y37" s="111" t="s">
        <v>10</v>
      </c>
      <c r="Z37" s="112">
        <f>'Enter field data'!$L$54</f>
        <v>0</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3</v>
      </c>
      <c r="H38" s="150"/>
      <c r="I38" s="110" t="s">
        <v>8</v>
      </c>
      <c r="J38" s="83">
        <f>'Enter field data'!$J$54</f>
        <v>0</v>
      </c>
      <c r="K38" s="111" t="s">
        <v>11</v>
      </c>
      <c r="L38" s="112">
        <f>'Enter field data'!$N$54</f>
        <v>0</v>
      </c>
      <c r="M38" s="113" t="s">
        <v>14</v>
      </c>
      <c r="N38" s="114">
        <f>'Enter field data'!$Q$54</f>
        <v>3</v>
      </c>
      <c r="P38" s="110" t="s">
        <v>8</v>
      </c>
      <c r="Q38" s="83">
        <f>'Enter field data'!$J$54</f>
        <v>0</v>
      </c>
      <c r="R38" s="111" t="s">
        <v>11</v>
      </c>
      <c r="S38" s="112">
        <f>'Enter field data'!$N$54</f>
        <v>0</v>
      </c>
      <c r="T38" s="113" t="s">
        <v>14</v>
      </c>
      <c r="U38" s="114">
        <f>'Enter field data'!$Q$54</f>
        <v>3</v>
      </c>
      <c r="W38" s="110" t="s">
        <v>8</v>
      </c>
      <c r="X38" s="83">
        <f>'Enter field data'!$J$54</f>
        <v>0</v>
      </c>
      <c r="Y38" s="111" t="s">
        <v>11</v>
      </c>
      <c r="Z38" s="112">
        <f>'Enter field data'!$N$54</f>
        <v>0</v>
      </c>
      <c r="AA38" s="113" t="s">
        <v>14</v>
      </c>
      <c r="AB38" s="114">
        <f>'Enter field data'!$Q$54</f>
        <v>3</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0.8125</v>
      </c>
      <c r="C44" s="120">
        <f>VLOOKUP($D$29,'Expected guild %'!$A$5:$G$13,2,FALSE)</f>
        <v>0.05</v>
      </c>
      <c r="D44" s="120">
        <f>VLOOKUP($D$29,'Expected guild %'!$A$5:$G$13,3,FALSE)</f>
        <v>0.75</v>
      </c>
      <c r="E44" s="121" t="str">
        <f>IF(AND(C44&lt;=B44,B44&lt;= D44)=TRUE,"Y","N")</f>
        <v>N</v>
      </c>
      <c r="F44" s="65"/>
      <c r="H44" s="150"/>
      <c r="I44" s="110" t="s">
        <v>6</v>
      </c>
      <c r="J44" s="119">
        <f>($B$36/'Enter field data'!$F$54)</f>
        <v>0.8125</v>
      </c>
      <c r="K44" s="120">
        <f>VLOOKUP(L$29,'Expected guild %'!$A$5:$G$13,2,FALSE)</f>
        <v>0.75</v>
      </c>
      <c r="L44" s="120">
        <f>VLOOKUP(L$29,'Expected guild %'!$A$5:$G$13,3,FALSE)</f>
        <v>1</v>
      </c>
      <c r="M44" s="121" t="str">
        <f>IF(AND(K44&lt;=J44,J44&lt;= L44)=TRUE,"Y","N")</f>
        <v>Y</v>
      </c>
      <c r="N44" s="65"/>
      <c r="P44" s="110" t="s">
        <v>6</v>
      </c>
      <c r="Q44" s="119">
        <f>($B$36/'Enter field data'!$F$54)</f>
        <v>0.8125</v>
      </c>
      <c r="R44" s="120" t="e">
        <f>VLOOKUP(S$29,'Expected guild %'!$A$5:$G$13,2,FALSE)</f>
        <v>#N/A</v>
      </c>
      <c r="S44" s="120" t="e">
        <f>VLOOKUP(S$29,'Expected guild %'!$A$5:$G$13,3,FALSE)</f>
        <v>#N/A</v>
      </c>
      <c r="T44" s="121" t="e">
        <f>IF(AND(R44&lt;=Q44,Q44&lt;= S44)=TRUE,"Y","N")</f>
        <v>#N/A</v>
      </c>
      <c r="U44" s="65"/>
      <c r="W44" s="110" t="s">
        <v>6</v>
      </c>
      <c r="X44" s="119">
        <f>($B$36/'Enter field data'!$F$54)</f>
        <v>0.8125</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0.1875</v>
      </c>
      <c r="C45" s="120">
        <f>VLOOKUP($D$29,'Expected guild %'!$A$5:$G$13,4,FALSE)</f>
        <v>0.25</v>
      </c>
      <c r="D45" s="120">
        <f>VLOOKUP($D$29,'Expected guild %'!$A$5:$G$13,5,FALSE)</f>
        <v>1</v>
      </c>
      <c r="E45" s="121" t="str">
        <f>IF(AND(C45&lt;=B45,B45&lt;= D45)=TRUE,"Y","N")</f>
        <v>N</v>
      </c>
      <c r="F45" s="65"/>
      <c r="H45" s="150"/>
      <c r="I45" s="110" t="s">
        <v>7</v>
      </c>
      <c r="J45" s="119">
        <f>($B$37/'Enter field data'!$F$54)</f>
        <v>0.1875</v>
      </c>
      <c r="K45" s="120">
        <f>VLOOKUP(L$29,'Expected guild %'!$A$5:$G$13,4,FALSE)</f>
        <v>0</v>
      </c>
      <c r="L45" s="120">
        <f>VLOOKUP(L$29,'Expected guild %'!$A$5:$G$13,5,FALSE)</f>
        <v>0.25</v>
      </c>
      <c r="M45" s="121" t="str">
        <f>IF(AND(K45&lt;=J45,J45&lt;= L45)=TRUE,"Y","N")</f>
        <v>Y</v>
      </c>
      <c r="N45" s="65"/>
      <c r="P45" s="110" t="s">
        <v>7</v>
      </c>
      <c r="Q45" s="119">
        <f>($B$37/'Enter field data'!$F$54)</f>
        <v>0.1875</v>
      </c>
      <c r="R45" s="120" t="e">
        <f>VLOOKUP(S$29,'Expected guild %'!$A$5:$G$13,4,FALSE)</f>
        <v>#N/A</v>
      </c>
      <c r="S45" s="120" t="e">
        <f>VLOOKUP(S$29,'Expected guild %'!$A$5:$G$13,5,FALSE)</f>
        <v>#N/A</v>
      </c>
      <c r="T45" s="121" t="e">
        <f>IF(AND(R45&lt;=Q45,Q45&lt;= S45)=TRUE,"Y","N")</f>
        <v>#N/A</v>
      </c>
      <c r="U45" s="65"/>
      <c r="W45" s="110" t="s">
        <v>7</v>
      </c>
      <c r="X45" s="119">
        <f>($B$37/'Enter field data'!$F$54)</f>
        <v>0.1875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0.05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1</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937</v>
      </c>
      <c r="B57" s="206"/>
      <c r="C57" s="206"/>
      <c r="D57" s="206"/>
      <c r="E57" s="206"/>
      <c r="F57" s="207"/>
      <c r="G57" s="157"/>
      <c r="H57" s="150"/>
      <c r="I57" s="205" t="s">
        <v>940</v>
      </c>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0.8125</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0.1875</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t="s">
        <v>938</v>
      </c>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14.461304</v>
      </c>
      <c r="H89" s="150"/>
    </row>
    <row r="90" spans="1:23" x14ac:dyDescent="0.2">
      <c r="A90" s="198"/>
      <c r="B90" s="71" t="s">
        <v>819</v>
      </c>
      <c r="C90" s="72"/>
      <c r="D90" s="73">
        <f>'Weather Results'!$C$19</f>
        <v>18.142833</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1.9253567999999999</v>
      </c>
      <c r="H98" s="150"/>
    </row>
    <row r="99" spans="1:8" x14ac:dyDescent="0.2">
      <c r="A99" s="197"/>
      <c r="B99" s="71" t="s">
        <v>828</v>
      </c>
      <c r="C99" s="72"/>
      <c r="D99" s="73">
        <f>'Weather Results'!$C$28</f>
        <v>4.3348627666666664</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t="s">
        <v>939</v>
      </c>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41803</v>
      </c>
    </row>
    <row r="2" spans="1:5" s="39" customFormat="1" x14ac:dyDescent="0.25">
      <c r="A2" s="213"/>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20140613</v>
      </c>
    </row>
    <row r="5" spans="1:5" hidden="1" x14ac:dyDescent="0.25">
      <c r="A5" s="37"/>
      <c r="B5" s="37" t="s">
        <v>805</v>
      </c>
      <c r="C5" s="50" t="str">
        <f>CONCATENATE(YEAR(C1-30),IF(MONTH(C1-30)&lt;10,"0"&amp;MONTH(C1-30),MONTH(C1-30)),IF(DAY(C1-30)&lt;10,"0"&amp;DAY(C1-30),DAY(C1-30)))</f>
        <v>20140514</v>
      </c>
    </row>
    <row r="6" spans="1:5" hidden="1" x14ac:dyDescent="0.25">
      <c r="A6" s="37"/>
      <c r="B6" s="37" t="s">
        <v>806</v>
      </c>
      <c r="C6" s="50" t="str">
        <f>CONCATENATE(YEAR(C1-90),IF(MONTH(C1-90)&lt;10,"0"&amp;MONTH(C1-90),MONTH(C1-90)),IF(DAY(C1-90)&lt;10,"0"&amp;DAY(C1-90),DAY(C1-90)))</f>
        <v>20140315</v>
      </c>
    </row>
    <row r="7" spans="1:5" hidden="1" x14ac:dyDescent="0.25">
      <c r="A7" s="37"/>
      <c r="B7" s="37" t="s">
        <v>807</v>
      </c>
      <c r="C7" s="50" t="str">
        <f>CONCATENATE(YEAR(C1-365),IF(MONTH(C1-365)&lt;10,"0"&amp;MONTH(C1-365),MONTH(C1-365)),IF(DAY(C1-365)&lt;10,"0"&amp;DAY(C1-365),DAY(C1-365)))</f>
        <v>20130613</v>
      </c>
    </row>
    <row r="8" spans="1:5" hidden="1" x14ac:dyDescent="0.25">
      <c r="A8" s="37"/>
      <c r="B8" s="37" t="s">
        <v>808</v>
      </c>
      <c r="C8" s="50" t="str">
        <f>CONCATENATE(YEAR(C1-1460),IF(MONTH(C1-1460)&lt;10,"0"&amp;MONTH(C1-1460),MONTH(C1-1460)),IF(DAY(C1-1460)&lt;10,"0"&amp;DAY(C1-1460),DAY(C1-1460)))</f>
        <v>20100614</v>
      </c>
    </row>
    <row r="9" spans="1:5" hidden="1" x14ac:dyDescent="0.25">
      <c r="A9" s="37"/>
      <c r="B9" s="37" t="s">
        <v>809</v>
      </c>
      <c r="C9" s="50">
        <f>IF(MONTH($C$1)=4,DAY($C$1),0)+IF(MONTH($C$1)=5,30-DAY($C$1),0)</f>
        <v>0</v>
      </c>
    </row>
    <row r="10" spans="1:5" hidden="1" x14ac:dyDescent="0.25">
      <c r="A10" s="37"/>
      <c r="B10" s="37" t="s">
        <v>810</v>
      </c>
      <c r="C10" s="50">
        <f>IF(MONTH($C$1)=5,DAY($C$1),0)+IF(MONTH($C$1)=6,30-DAY($C$1),0)</f>
        <v>17</v>
      </c>
    </row>
    <row r="11" spans="1:5" hidden="1" x14ac:dyDescent="0.25">
      <c r="A11" s="37"/>
      <c r="B11" s="37" t="s">
        <v>811</v>
      </c>
      <c r="C11" s="50">
        <f>IF(MONTH($C$1)=6,DAY($C$1),0)+IF(MONTH($C$1)=7,30-DAY($C$1),0)</f>
        <v>13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14.461304</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18.142833</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1.9253567999999999</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4.3348627666666664</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2017-06-20T21:01:12Z</cp:lastPrinted>
  <dcterms:created xsi:type="dcterms:W3CDTF">2013-05-15T16:35:53Z</dcterms:created>
  <dcterms:modified xsi:type="dcterms:W3CDTF">2017-06-20T21:07:17Z</dcterms:modified>
</cp:coreProperties>
</file>