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L29" i="1" s="1"/>
  <c r="P31" i="1"/>
  <c r="O31" i="1"/>
  <c r="M31" i="1"/>
  <c r="F31" i="1" s="1"/>
  <c r="M30" i="1"/>
  <c r="F30" i="1" s="1"/>
  <c r="G30" i="1"/>
  <c r="Q30" i="1" s="1"/>
  <c r="K30" i="1"/>
  <c r="H30" i="1"/>
  <c r="I31" i="1"/>
  <c r="M38" i="1"/>
  <c r="F38" i="1" s="1"/>
  <c r="H31" i="1"/>
  <c r="H52" i="1"/>
  <c r="H48" i="1"/>
  <c r="H44" i="1"/>
  <c r="J29" i="1"/>
  <c r="C29" i="9"/>
  <c r="D100" i="4" s="1"/>
  <c r="O30" i="1"/>
  <c r="J30"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9" i="1" l="1"/>
  <c r="I28"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<sst xmlns="http://schemas.openxmlformats.org/spreadsheetml/2006/main" count="2064" uniqueCount="949">
  <si>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</si>
  <si>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</si>
  <si>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</si>
  <si>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</si>
  <si>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</si>
  <si>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</si>
  <si>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</si>
  <si>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</si>
  <si>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</si>
  <si>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</si>
  <si>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</si>
  <si>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</si>
  <si>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</si>
  <si>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</si>
  <si>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</si>
  <si>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</si>
  <si>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</si>
  <si>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</si>
  <si>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</si>
  <si>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</si>
  <si>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</si>
  <si>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</si>
  <si>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</si>
  <si>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</si>
  <si>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</si>
  <si>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</si>
  <si>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</si>
  <si>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</si>
  <si>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</si>
  <si>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</si>
  <si>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</si>
  <si>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</si>
  <si>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</si>
  <si>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</si>
  <si>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</si>
  <si>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</si>
  <si>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</si>
  <si>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</si>
  <si>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</si>
  <si>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</si>
  <si>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</si>
  <si>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</si>
  <si>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</si>
  <si>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</si>
  <si>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</si>
  <si>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</si>
  <si>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</si>
  <si>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</si>
  <si>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</si>
  <si>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</si>
  <si>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</si>
  <si>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</si>
  <si>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</si>
  <si>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</si>
  <si>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</si>
  <si>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</si>
  <si>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</si>
  <si>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</si>
  <si>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</si>
  <si>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</si>
  <si>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</si>
  <si>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</si>
  <si>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</si>
  <si>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</si>
  <si>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</si>
  <si>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</si>
  <si>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</si>
  <si>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</si>
  <si>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</si>
  <si>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</si>
  <si>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</si>
  <si>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</si>
  <si>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</si>
  <si>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</si>
  <si>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</si>
  <si>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</si>
  <si>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</si>
  <si>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</si>
  <si>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</si>
  <si>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</si>
  <si>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</si>
  <si>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</si>
  <si>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</si>
  <si>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</si>
  <si>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</si>
  <si>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</si>
  <si>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</si>
  <si>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</si>
  <si>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</si>
  <si>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</si>
  <si>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</si>
  <si>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</si>
  <si>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</si>
  <si>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</si>
  <si>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</si>
  <si>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</si>
  <si>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</si>
  <si>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</si>
  <si>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</si>
  <si>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</si>
  <si>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</si>
  <si>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</si>
  <si>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</si>
  <si>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</si>
  <si>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</si>
  <si>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</si>
  <si>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</si>
  <si>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</si>
  <si>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</si>
  <si>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</si>
  <si>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</si>
  <si>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</si>
  <si>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</si>
  <si>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</si>
  <si>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</si>
  <si>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</si>
  <si>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</si>
  <si>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</si>
  <si>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</si>
  <si>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</si>
  <si>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</si>
  <si>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</si>
  <si>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</si>
  <si>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</si>
  <si>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</si>
  <si>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</si>
  <si>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</si>
  <si>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</si>
  <si>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</si>
  <si>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</si>
  <si>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</si>
  <si>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</si>
  <si>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</si>
  <si>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</si>
  <si>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</si>
  <si>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</si>
  <si>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</si>
  <si>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</si>
  <si>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</si>
  <si>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</si>
  <si>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</si>
  <si>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</si>
  <si>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</si>
  <si>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</si>
  <si>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</si>
  <si>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</si>
  <si>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</si>
  <si>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</si>
  <si>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</si>
  <si>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</si>
  <si>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</si>
  <si>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</si>
  <si>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</si>
  <si>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</si>
  <si>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</si>
  <si>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</si>
  <si>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</si>
  <si>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</si>
  <si>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</si>
  <si>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</si>
  <si>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</si>
  <si>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</si>
  <si>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</si>
  <si>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</si>
  <si>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</si>
  <si>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</si>
  <si>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</si>
  <si>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</si>
  <si>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</si>
  <si>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</si>
  <si>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</si>
  <si>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</si>
  <si>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</si>
  <si>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</si>
  <si>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</si>
  <si>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</si>
  <si>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</si>
  <si>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</si>
  <si>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</si>
  <si>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</si>
  <si>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</si>
  <si>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</si>
  <si>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</si>
  <si>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</si>
  <si>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</si>
  <si>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</si>
  <si>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</si>
  <si>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</si>
  <si>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</si>
  <si>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</si>
  <si>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</si>
  <si>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</si>
  <si>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</si>
  <si>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</si>
  <si>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</si>
  <si>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</si>
  <si>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</si>
  <si>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</si>
  <si>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</si>
  <si>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</si>
  <si>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</si>
  <si>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</si>
  <si>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</si>
  <si>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</si>
  <si>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</si>
  <si>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</si>
  <si>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</si>
  <si>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</si>
  <si>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</si>
  <si>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</si>
  <si>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</si>
  <si>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</si>
  <si>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</si>
  <si>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</si>
  <si>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</si>
  <si>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</si>
  <si>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</si>
  <si>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</si>
  <si>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</si>
  <si>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</si>
  <si>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</si>
  <si>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</si>
  <si>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</si>
  <si>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</si>
  <si>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</si>
  <si>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</si>
  <si>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</si>
  <si>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</si>
  <si>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</si>
  <si>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</si>
  <si>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</si>
  <si>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</si>
  <si>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</si>
  <si>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</si>
  <si>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</si>
  <si>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</si>
  <si>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</si>
  <si>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</si>
  <si>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</si>
  <si>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</si>
  <si>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</si>
  <si>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</si>
  <si>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</si>
  <si>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</si>
  <si>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</si>
  <si>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</si>
  <si>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</si>
  <si>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</si>
  <si>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</si>
  <si>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</si>
  <si>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</si>
  <si>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</si>
  <si>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</si>
  <si>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</si>
  <si>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</si>
  <si>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</si>
  <si>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</si>
  <si>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</si>
  <si>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</si>
  <si>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</si>
  <si>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</si>
  <si>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</si>
  <si>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</si>
  <si>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</si>
  <si>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</si>
  <si>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</si>
  <si>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</si>
  <si>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</si>
  <si>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</si>
  <si>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</si>
  <si>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</si>
  <si>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</si>
  <si>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</si>
  <si>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</si>
  <si>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</si>
  <si>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</si>
  <si>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</si>
  <si>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</si>
  <si>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</si>
  <si>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</si>
  <si>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</si>
  <si>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</si>
  <si>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</si>
  <si>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</si>
  <si>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</si>
  <si>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</si>
  <si>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</si>
  <si>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</si>
  <si>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</si>
  <si>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</si>
  <si>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</si>
  <si>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</si>
  <si>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</si>
  <si>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</si>
  <si>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</si>
  <si>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</si>
  <si>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</si>
  <si>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</si>
  <si>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</si>
  <si>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</si>
  <si>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</si>
  <si>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</si>
  <si>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</si>
  <si>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</si>
  <si>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</si>
  <si>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</si>
  <si>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</si>
  <si>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</si>
  <si>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</si>
  <si>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</si>
  <si>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</si>
  <si>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</si>
  <si>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</si>
  <si>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</si>
  <si>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</si>
  <si>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</si>
  <si>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</si>
  <si>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</si>
  <si>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</si>
  <si>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</si>
  <si>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</si>
  <si>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</si>
  <si>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</si>
  <si>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</si>
  <si>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</si>
  <si>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</si>
  <si>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</si>
  <si>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</si>
  <si>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</si>
  <si>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</si>
  <si>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</si>
  <si>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</si>
  <si>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</si>
  <si>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</si>
  <si>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</si>
  <si>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</si>
  <si>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</si>
  <si>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</si>
  <si>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</si>
  <si>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</si>
  <si>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</si>
  <si>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</si>
  <si>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</si>
  <si>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</si>
  <si>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</si>
  <si>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</si>
  <si>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</si>
  <si>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</si>
  <si>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</si>
  <si>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</si>
  <si>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</si>
  <si>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</si>
  <si>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</si>
  <si>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</si>
  <si>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</si>
  <si>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</si>
  <si>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</si>
  <si>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</si>
  <si>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</si>
  <si>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</si>
  <si>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</si>
  <si>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</si>
  <si>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</si>
  <si>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</si>
  <si>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</si>
  <si>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</si>
  <si>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</si>
  <si>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</si>
  <si>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</si>
  <si>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</si>
  <si>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</si>
  <si>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</si>
  <si>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</si>
  <si>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</si>
  <si>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</si>
  <si>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</si>
  <si>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</si>
  <si>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</si>
  <si>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</si>
  <si>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</si>
  <si>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</si>
  <si>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</si>
  <si>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</si>
  <si>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</si>
  <si>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</si>
  <si>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</si>
  <si>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</si>
  <si>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</si>
  <si>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</si>
  <si>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</si>
  <si>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</si>
  <si>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</si>
  <si>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</si>
  <si>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</si>
  <si>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</si>
  <si>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</si>
  <si>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</si>
  <si>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</si>
  <si>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</si>
  <si>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</si>
  <si>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</si>
  <si>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</si>
  <si>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</si>
  <si>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</si>
  <si>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</si>
  <si>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</si>
  <si>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</si>
  <si>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</si>
  <si>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</si>
  <si>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</si>
  <si>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</si>
  <si>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</si>
  <si>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</si>
  <si>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</si>
  <si>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</si>
  <si>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</si>
  <si>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</si>
  <si>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</si>
  <si>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</si>
  <si>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</si>
  <si>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</si>
  <si>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</si>
  <si>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</si>
  <si>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</si>
  <si>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</si>
  <si>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</si>
  <si>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</si>
  <si>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</si>
  <si>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</si>
  <si>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</si>
  <si>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</si>
  <si>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</si>
  <si>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</si>
  <si>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</si>
  <si>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</si>
  <si>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</si>
  <si>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</si>
  <si>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</si>
  <si>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</si>
  <si>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</si>
  <si>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</si>
  <si>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</si>
  <si>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</si>
  <si>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</si>
  <si>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</si>
  <si>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</si>
  <si>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</si>
  <si>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</si>
  <si>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</si>
  <si>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</si>
  <si>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</si>
  <si>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</si>
  <si>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</si>
  <si>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</si>
  <si>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</si>
  <si>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</si>
  <si>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</si>
  <si>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</si>
  <si>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</si>
  <si>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</si>
  <si>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</si>
  <si>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</si>
  <si>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</si>
  <si>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</si>
  <si>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</si>
  <si>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</si>
  <si>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</si>
  <si>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</si>
  <si>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</si>
  <si>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</si>
  <si>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</si>
  <si>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</si>
  <si>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</si>
  <si>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</si>
  <si>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</si>
  <si>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</si>
  <si>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</si>
  <si>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</si>
  <si>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</si>
  <si>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</si>
  <si>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</si>
  <si>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</si>
  <si>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</si>
  <si>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</si>
  <si>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</si>
  <si>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</si>
  <si>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</si>
  <si>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</si>
  <si>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</si>
  <si>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</si>
  <si>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</si>
  <si>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</si>
  <si>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</si>
  <si>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</si>
  <si>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</si>
  <si>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</si>
  <si>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</si>
  <si>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</si>
  <si>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</si>
  <si>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</si>
  <si>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</si>
  <si>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</si>
  <si>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</si>
  <si>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</si>
  <si>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</si>
  <si>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</si>
  <si>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</si>
  <si>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</si>
  <si>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</si>
  <si>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</si>
  <si>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</si>
  <si>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</si>
  <si>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</si>
  <si>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</si>
  <si>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</si>
  <si>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</si>
  <si>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</si>
  <si>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</si>
  <si>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</si>
  <si>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</si>
  <si>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</si>
  <si>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</si>
  <si>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</si>
  <si>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</si>
  <si>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</si>
  <si>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</si>
  <si>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</si>
  <si>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</si>
  <si>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</si>
  <si>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</si>
  <si>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</si>
  <si>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</si>
  <si>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</si>
  <si>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</si>
  <si>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</si>
  <si>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</si>
  <si>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</si>
  <si>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</si>
  <si>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</si>
  <si>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</si>
  <si>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</si>
  <si>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</si>
  <si>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</si>
  <si>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</si>
  <si>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</si>
  <si>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</si>
  <si>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</si>
  <si>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</si>
  <si>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</si>
  <si>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</si>
  <si>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</si>
  <si>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</si>
  <si>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</si>
  <si>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</si>
  <si>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</si>
  <si>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</si>
  <si>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</si>
  <si>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</si>
  <si>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</si>
  <si>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</si>
  <si>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</si>
  <si>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</si>
  <si>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</si>
  <si>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</si>
  <si>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</si>
  <si>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</si>
  <si>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</si>
  <si>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</si>
  <si>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</si>
  <si>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</si>
  <si>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</si>
  <si>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</si>
  <si>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</si>
  <si>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</si>
  <si>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</si>
  <si>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</si>
  <si>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</si>
  <si>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</si>
  <si>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</si>
  <si>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</si>
  <si>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</si>
  <si>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</si>
  <si>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</si>
  <si>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</si>
  <si>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</si>
  <si>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</si>
  <si>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</si>
  <si>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</si>
  <si>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</si>
  <si>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</si>
  <si>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</si>
  <si>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</si>
  <si>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</si>
  <si>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</si>
  <si>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</si>
  <si>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</si>
  <si>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</si>
  <si>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</si>
  <si>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</si>
  <si>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</si>
  <si>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</si>
  <si>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</si>
  <si>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</si>
  <si>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</si>
  <si>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</si>
  <si>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</si>
  <si>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</si>
  <si>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</si>
  <si>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</si>
  <si>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</si>
  <si>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</si>
  <si>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</si>
  <si>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</si>
  <si>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</si>
  <si>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</si>
  <si>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</si>
  <si>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</si>
  <si>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</si>
  <si>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</si>
  <si>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</si>
  <si>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</si>
  <si>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</si>
  <si>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</si>
  <si>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</si>
  <si>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</si>
  <si>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</si>
  <si>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</si>
  <si>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</si>
  <si>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</si>
  <si>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</si>
  <si>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</si>
  <si>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</si>
  <si>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</si>
  <si>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</si>
  <si>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</si>
  <si>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</si>
  <si>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</si>
  <si>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</si>
  <si>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</si>
  <si>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</si>
  <si>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</si>
  <si>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</si>
  <si>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</si>
  <si>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</si>
  <si>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</si>
  <si>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</si>
  <si>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</si>
  <si>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</si>
  <si>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</si>
  <si>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</si>
  <si>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</si>
  <si>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</si>
  <si>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</si>
  <si>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</si>
  <si>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</si>
  <si>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</si>
  <si>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</si>
  <si>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</si>
  <si>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</si>
  <si>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</si>
  <si>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</si>
  <si>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</si>
  <si>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</si>
  <si>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</si>
  <si>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</si>
  <si>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</si>
  <si>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</si>
  <si>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</si>
  <si>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</si>
  <si>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</si>
  <si>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</si>
  <si>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</si>
  <si>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</si>
  <si>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</si>
  <si>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</si>
  <si>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</si>
  <si>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</si>
  <si>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</si>
  <si>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</si>
  <si>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</si>
  <si>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</si>
  <si>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</si>
  <si>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</si>
  <si>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</si>
  <si>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</si>
  <si>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</si>
  <si>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</si>
  <si>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</si>
  <si>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</si>
  <si>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</si>
  <si>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</si>
  <si>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</si>
  <si>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</si>
  <si>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</si>
  <si>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</si>
  <si>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</si>
  <si>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</si>
  <si>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</si>
  <si>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</si>
  <si>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</si>
  <si>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</si>
  <si>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</si>
  <si>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</si>
  <si>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</si>
  <si>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</si>
  <si>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</si>
  <si>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</si>
  <si>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</si>
  <si>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</si>
  <si>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</si>
  <si>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</si>
  <si>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</si>
  <si>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</si>
  <si>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</si>
  <si>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</si>
  <si>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</si>
  <si>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</si>
  <si>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</si>
  <si>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</si>
  <si>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</si>
  <si>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</si>
  <si>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</si>
  <si>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</si>
  <si>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</si>
  <si>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</si>
  <si>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</si>
  <si>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</si>
  <si>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</si>
  <si>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</si>
  <si>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</si>
  <si>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</si>
  <si>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</si>
  <si>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</si>
  <si>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</si>
  <si>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</si>
  <si>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</si>
  <si>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</si>
  <si>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</si>
  <si>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</si>
  <si>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</si>
  <si>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</si>
  <si>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</si>
  <si>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</si>
  <si>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</si>
  <si>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</si>
  <si>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</si>
  <si>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</si>
  <si>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</si>
  <si>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</si>
  <si>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</si>
  <si>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</si>
  <si>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</si>
  <si>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</si>
  <si>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</si>
  <si>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</si>
  <si>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</si>
  <si>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</si>
  <si>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</si>
  <si>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</si>
  <si>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</si>
  <si>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</si>
  <si>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</si>
  <si>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</si>
  <si>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</si>
  <si>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</si>
  <si>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</si>
  <si>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</si>
  <si>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</si>
  <si>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</si>
  <si>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</si>
  <si>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</si>
  <si>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</si>
  <si>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</si>
  <si>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</si>
  <si>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</si>
  <si>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</si>
  <si>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</si>
  <si>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</si>
  <si>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</si>
  <si>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</si>
  <si>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</si>
  <si>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</si>
  <si>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</si>
  <si>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</si>
  <si>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</si>
  <si>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</si>
  <si>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</si>
  <si>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</si>
  <si>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</si>
  <si>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</si>
  <si>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</si>
  <si>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</si>
  <si>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</si>
  <si>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</si>
  <si>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</si>
  <si>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</si>
  <si>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</si>
  <si>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</si>
  <si>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</si>
  <si>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</si>
  <si>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</si>
  <si>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</si>
  <si>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</si>
  <si>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</si>
  <si>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</si>
  <si>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</si>
  <si>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</si>
  <si>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</si>
  <si>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</si>
  <si>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</si>
  <si>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</si>
  <si>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</si>
  <si>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</si>
  <si>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</si>
  <si>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</si>
  <si>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</si>
  <si>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</si>
  <si>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</si>
  <si>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</si>
  <si>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</si>
  <si>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</si>
  <si>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</si>
  <si>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</si>
  <si>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</si>
  <si>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</si>
  <si>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</si>
  <si>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</si>
  <si>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</si>
  <si>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</si>
  <si>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</si>
  <si>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</si>
  <si>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</si>
  <si>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</si>
  <si>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</si>
  <si>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</si>
  <si>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</si>
  <si>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</si>
  <si>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</si>
  <si>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</si>
  <si>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</si>
  <si>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</si>
  <si>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</si>
  <si>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</si>
  <si>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</si>
  <si>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</si>
  <si>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</si>
  <si>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</si>
  <si>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</si>
  <si>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</si>
  <si>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</si>
  <si>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</si>
  <si>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</si>
  <si>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</si>
  <si>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</si>
  <si>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</si>
  <si>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</si>
  <si>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</si>
  <si>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</si>
  <si>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</si>
  <si>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</si>
  <si>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</si>
  <si>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</si>
  <si>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</si>
  <si>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</si>
  <si>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</si>
  <si>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</si>
  <si>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</si>
  <si>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</si>
  <si>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</si>
  <si>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</si>
  <si>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</si>
  <si>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</si>
  <si>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</si>
  <si>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</si>
  <si>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</si>
  <si>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</si>
  <si>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</si>
  <si>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</si>
  <si>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</si>
  <si>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</si>
  <si>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</si>
  <si>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</si>
  <si>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</si>
  <si>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</si>
  <si>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</si>
  <si>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</si>
  <si>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</si>
  <si>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</si>
  <si>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</si>
  <si>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</si>
  <si>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</si>
  <si>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</si>
  <si>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</si>
  <si>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</si>
  <si>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</si>
  <si>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</si>
  <si>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</si>
  <si>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</si>
  <si>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</si>
  <si>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</si>
  <si>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</si>
  <si>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</si>
  <si>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</si>
  <si>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</si>
  <si>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</si>
  <si>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</si>
  <si>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</si>
  <si>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</si>
  <si>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</si>
  <si>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</si>
  <si>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</si>
  <si>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</si>
  <si>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</si>
  <si>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</si>
  <si>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</si>
  <si>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</si>
  <si>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</si>
  <si>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</si>
  <si>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</si>
  <si>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</si>
  <si>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</si>
  <si>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</si>
  <si>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</si>
  <si>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</si>
  <si>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</si>
  <si>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</si>
  <si>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</si>
  <si>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</si>
  <si>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</si>
  <si>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</si>
  <si>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</si>
  <si>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unmuth</t>
  </si>
  <si>
    <t>SOUTHERN BROOK LAMPREY</t>
  </si>
  <si>
    <t>BROWN TROUT</t>
  </si>
  <si>
    <t>BROOK TROUT</t>
  </si>
  <si>
    <t>CREEK CHUB</t>
  </si>
  <si>
    <t>WHITE SUCKER</t>
  </si>
  <si>
    <t>BROOK STICKLEBACK</t>
  </si>
  <si>
    <t>BLUEGILL</t>
  </si>
  <si>
    <t>JOHNNY DARTER</t>
  </si>
  <si>
    <t>BRUSH CREEK - NEAR RICHLAND CENTER, WI (US Covered Bridge Rd.)</t>
  </si>
  <si>
    <t>Brush Creek</t>
  </si>
  <si>
    <t>Richland Co.</t>
  </si>
  <si>
    <t>All thermal expected guilds are not within range, all stream size guilds are within range</t>
  </si>
  <si>
    <t>Intolerant guild is within range, tolerant guild is outside of expected range.</t>
  </si>
  <si>
    <t>No</t>
  </si>
  <si>
    <t>Small and medium stream guilds are out of range</t>
  </si>
  <si>
    <t xml:space="preserve">Temperatures were abnormally warm, also during 2012 temperatures were extremely high.  However, coldwater fish likely took refuge in tributary Pier spring Creek, and in fact 2012 Pier Spring Creek fish data shows much higher abundances of brook and brown trout  as compared to year 2010.  Warmer temperatures have also resulted in explosion of gill lice in brook trout in Brush Cr. and Pier Spring Creek, and since then coldwater fish have declined, influencing NC results.  </t>
  </si>
  <si>
    <t xml:space="preserve">Yes, thermal and stream size within range.  Note though that Temperatures were abnormally warm in 30 d surrounding the sampling, also during 2012 temperatures were extremely high for long periods.  Warmer temperatures have resulted in explosion of gill lice in brook/brown trout in Brush Cr. and Pier Spring Creek, and since then coldwater fish have declined, influencing NC results.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</si>
</sst>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5" fillId="0" borderId="0" xfId="0" applyFont="1" applyAlignment="1" applyProtection="1">
      <alignment vertical="center"/>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16" sqref="B1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8" t="s">
        <v>931</v>
      </c>
      <c r="C4" s="163"/>
      <c r="D4" s="164"/>
      <c r="F4" s="2" t="s">
        <v>836</v>
      </c>
    </row>
    <row r="5" spans="1:20" x14ac:dyDescent="0.25">
      <c r="A5" s="1" t="s">
        <v>832</v>
      </c>
      <c r="B5" s="176">
        <v>42898</v>
      </c>
      <c r="C5" s="163"/>
      <c r="D5" s="164"/>
      <c r="F5" s="84"/>
      <c r="G5" s="28"/>
      <c r="H5" s="28"/>
      <c r="I5" s="28"/>
      <c r="J5" s="28"/>
      <c r="K5" s="28"/>
      <c r="L5" s="28"/>
      <c r="M5" s="28"/>
      <c r="N5" s="28"/>
      <c r="O5" s="28"/>
      <c r="P5" s="28"/>
      <c r="Q5" s="28"/>
      <c r="R5" s="28" t="s">
        <v>866</v>
      </c>
    </row>
    <row r="6" spans="1:20" x14ac:dyDescent="0.25">
      <c r="A6" s="1" t="s">
        <v>830</v>
      </c>
      <c r="B6" s="177">
        <v>41443</v>
      </c>
      <c r="C6" s="160"/>
      <c r="D6" s="161"/>
      <c r="F6" s="26"/>
      <c r="G6" s="28"/>
      <c r="H6" s="28"/>
      <c r="I6" s="28"/>
      <c r="J6" s="28"/>
      <c r="K6" s="28"/>
      <c r="L6" s="28"/>
      <c r="M6" s="28"/>
      <c r="N6" s="28"/>
      <c r="O6" s="28"/>
      <c r="P6" s="28"/>
      <c r="Q6" s="28"/>
      <c r="R6" s="28" t="s">
        <v>378</v>
      </c>
    </row>
    <row r="7" spans="1:20" s="28" customFormat="1" x14ac:dyDescent="0.25">
      <c r="A7" s="28" t="s">
        <v>869</v>
      </c>
      <c r="B7" s="159">
        <v>533073</v>
      </c>
      <c r="C7" s="160"/>
      <c r="D7" s="161"/>
      <c r="F7" s="27"/>
    </row>
    <row r="8" spans="1:20" s="28" customFormat="1" x14ac:dyDescent="0.25">
      <c r="A8" s="28" t="s">
        <v>872</v>
      </c>
      <c r="B8" s="159" t="s">
        <v>940</v>
      </c>
      <c r="C8" s="160"/>
      <c r="D8" s="161"/>
      <c r="F8" s="27"/>
    </row>
    <row r="9" spans="1:20" x14ac:dyDescent="0.25">
      <c r="A9" s="1" t="s">
        <v>49</v>
      </c>
      <c r="B9" s="169" t="s">
        <v>870</v>
      </c>
      <c r="C9" s="169"/>
      <c r="D9" s="169"/>
    </row>
    <row r="10" spans="1:20" x14ac:dyDescent="0.25">
      <c r="B10" s="88"/>
      <c r="C10" s="88"/>
      <c r="D10" s="88"/>
    </row>
    <row r="11" spans="1:20" x14ac:dyDescent="0.25">
      <c r="A11" s="1" t="s">
        <v>34</v>
      </c>
      <c r="B11" s="159" t="s">
        <v>941</v>
      </c>
      <c r="C11" s="160"/>
      <c r="D11" s="161"/>
      <c r="F11" s="27"/>
      <c r="G11" s="27"/>
      <c r="H11" s="27"/>
      <c r="I11" s="27"/>
      <c r="J11" s="27"/>
      <c r="K11" s="27"/>
      <c r="L11" s="27"/>
      <c r="M11" s="27"/>
      <c r="N11" s="27"/>
      <c r="O11" s="27"/>
      <c r="P11" s="27"/>
      <c r="Q11" s="27"/>
      <c r="R11" s="27"/>
    </row>
    <row r="12" spans="1:20" x14ac:dyDescent="0.25">
      <c r="A12" s="1" t="s">
        <v>37</v>
      </c>
      <c r="B12" s="169" t="s">
        <v>942</v>
      </c>
      <c r="C12" s="169"/>
      <c r="D12" s="169"/>
    </row>
    <row r="13" spans="1:20" x14ac:dyDescent="0.25">
      <c r="A13" s="1" t="s">
        <v>35</v>
      </c>
      <c r="B13" s="169">
        <v>13367</v>
      </c>
      <c r="C13" s="169"/>
      <c r="D13" s="169"/>
      <c r="F13" s="27"/>
      <c r="G13" s="27"/>
      <c r="H13" s="27"/>
      <c r="I13" s="27"/>
      <c r="J13" s="27"/>
      <c r="K13" s="27"/>
      <c r="L13" s="27"/>
      <c r="M13" s="27"/>
      <c r="N13" s="27"/>
      <c r="O13" s="27"/>
      <c r="P13" s="27"/>
      <c r="Q13" s="27"/>
      <c r="R13" s="27"/>
    </row>
    <row r="14" spans="1:20" x14ac:dyDescent="0.25">
      <c r="A14" s="1" t="s">
        <v>36</v>
      </c>
      <c r="B14" s="169">
        <v>1226200</v>
      </c>
      <c r="C14" s="169"/>
      <c r="D14" s="169"/>
      <c r="F14" s="27"/>
      <c r="G14" s="27"/>
      <c r="H14" s="27"/>
      <c r="I14" s="27"/>
      <c r="J14" s="27"/>
      <c r="K14" s="27"/>
      <c r="L14" s="27"/>
      <c r="M14" s="27"/>
      <c r="N14" s="27"/>
      <c r="O14" s="27"/>
      <c r="P14" s="27"/>
      <c r="Q14" s="27"/>
      <c r="R14" s="27"/>
    </row>
    <row r="15" spans="1:20" s="28" customFormat="1" x14ac:dyDescent="0.25">
      <c r="A15" s="28" t="s">
        <v>835</v>
      </c>
      <c r="B15" s="162" t="s">
        <v>712</v>
      </c>
      <c r="C15" s="163"/>
      <c r="D15" s="164"/>
      <c r="E15" s="11" t="s">
        <v>868</v>
      </c>
      <c r="F15" s="27"/>
    </row>
    <row r="16" spans="1:20" x14ac:dyDescent="0.25">
      <c r="B16" s="132"/>
      <c r="C16" s="132"/>
      <c r="D16" s="132"/>
      <c r="T16" s="37"/>
    </row>
    <row r="17" spans="1:25" x14ac:dyDescent="0.25">
      <c r="A17" s="1" t="s">
        <v>33</v>
      </c>
      <c r="B17" s="168" t="s">
        <v>6</v>
      </c>
      <c r="C17" s="172"/>
      <c r="D17" s="173"/>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70" t="s">
        <v>377</v>
      </c>
      <c r="H19" s="165" t="s">
        <v>5</v>
      </c>
      <c r="I19" s="166"/>
      <c r="J19" s="167"/>
      <c r="K19" s="165" t="s">
        <v>64</v>
      </c>
      <c r="L19" s="166"/>
      <c r="M19" s="166"/>
      <c r="N19" s="167"/>
      <c r="O19" s="165" t="s">
        <v>1</v>
      </c>
      <c r="P19" s="166"/>
      <c r="Q19" s="167"/>
      <c r="R19" s="28"/>
    </row>
    <row r="20" spans="1:25" ht="45" x14ac:dyDescent="0.25">
      <c r="A20" s="5" t="s">
        <v>50</v>
      </c>
      <c r="B20" s="4" t="s">
        <v>4</v>
      </c>
      <c r="C20" s="5" t="s">
        <v>2</v>
      </c>
      <c r="D20" s="5" t="s">
        <v>3</v>
      </c>
      <c r="E20" s="5" t="s">
        <v>44</v>
      </c>
      <c r="F20" s="30" t="s">
        <v>376</v>
      </c>
      <c r="G20" s="171"/>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932</v>
      </c>
      <c r="B21" s="80">
        <v>7</v>
      </c>
      <c r="C21" s="26" t="str">
        <f>IFERROR(VLOOKUP($A21,'Species guilds'!$A$3:$F$301,3,FALSE),0)</f>
        <v>T</v>
      </c>
      <c r="D21" s="26" t="str">
        <f>IFERROR(VLOOKUP($A21,'Species guilds'!$A$3:$F$301,4,FALSE),0)</f>
        <v>M</v>
      </c>
      <c r="E21" s="26" t="str">
        <f>IFERROR(VLOOKUP($A21,'Species guilds'!$A$3:$F$301,5,FALSE),0)</f>
        <v>IT</v>
      </c>
      <c r="F21" s="26">
        <f t="shared" ref="F21:F53" si="0">IF(AND(M21&gt;0,B21&gt;0)=FALSE,B21,0)</f>
        <v>7</v>
      </c>
      <c r="G21" s="26">
        <f>IF(D21="Lake",0,1)</f>
        <v>1</v>
      </c>
      <c r="H21" s="26">
        <f>IF($C21=H$20,$B21*G21,0)</f>
        <v>0</v>
      </c>
      <c r="I21" s="26">
        <f>IF($C21=I$20,$B21*G21,0)</f>
        <v>7</v>
      </c>
      <c r="J21" s="26">
        <f>IF($C21=J$20,$B21*G21,0)</f>
        <v>0</v>
      </c>
      <c r="K21" s="26">
        <f>IF($D21=K$20,$B21*G21,0)</f>
        <v>0</v>
      </c>
      <c r="L21" s="26">
        <f>IF($D21=L$20,$B21*G21,0)</f>
        <v>7</v>
      </c>
      <c r="M21" s="26">
        <f>IF($D21=M$20,$B21,0)</f>
        <v>0</v>
      </c>
      <c r="N21" s="26">
        <f>IF($D21=N$20,$B21*G21,0)</f>
        <v>0</v>
      </c>
      <c r="O21" s="26">
        <f>IF($E21=O$20,$B21*G21,0)</f>
        <v>7</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933</v>
      </c>
      <c r="B22" s="80">
        <v>2</v>
      </c>
      <c r="C22" s="26" t="str">
        <f>IFERROR(VLOOKUP($A22,'Species guilds'!$A$3:$F$301,3,FALSE),0)</f>
        <v>C</v>
      </c>
      <c r="D22" s="26" t="str">
        <f>IFERROR(VLOOKUP($A22,'Species guilds'!$A$3:$F$301,4,FALSE),0)</f>
        <v>M</v>
      </c>
      <c r="E22" s="26" t="str">
        <f>IFERROR(VLOOKUP($A22,'Species guilds'!$A$3:$F$301,5,FALSE),0)</f>
        <v>IM</v>
      </c>
      <c r="F22" s="26">
        <f t="shared" si="0"/>
        <v>2</v>
      </c>
      <c r="G22" s="26">
        <f t="shared" ref="G22:G53" si="1">IF(D22="Lake",0,1)</f>
        <v>1</v>
      </c>
      <c r="H22" s="26">
        <f t="shared" ref="H22:H53" si="2">IF($C22=H$20,$B22*G22,0)</f>
        <v>2</v>
      </c>
      <c r="I22" s="26">
        <f t="shared" ref="I22:I53" si="3">IF($C22=I$20,$B22*G22,0)</f>
        <v>0</v>
      </c>
      <c r="J22" s="26">
        <f t="shared" ref="J22:J53" si="4">IF($C22=J$20,$B22*G22,0)</f>
        <v>0</v>
      </c>
      <c r="K22" s="26">
        <f t="shared" ref="K22:K53" si="5">IF($D22=K$20,$B22*G22,0)</f>
        <v>0</v>
      </c>
      <c r="L22" s="26">
        <f t="shared" ref="L22:L53" si="6">IF($D22=L$20,$B22*G22,0)</f>
        <v>2</v>
      </c>
      <c r="M22" s="26">
        <f t="shared" ref="M22:M40" si="7">IF($D22=M$20,$B22,0)</f>
        <v>0</v>
      </c>
      <c r="N22" s="26">
        <f t="shared" ref="N22:N53" si="8">IF($D22=N$20,$B22*G22,0)</f>
        <v>0</v>
      </c>
      <c r="O22" s="26">
        <f t="shared" ref="O22:O53" si="9">IF($E22=O$20,$B22*G22,0)</f>
        <v>0</v>
      </c>
      <c r="P22" s="26">
        <f t="shared" ref="P22:P53" si="10">IF($E22=P$20,$B22*G22,0)</f>
        <v>2</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934</v>
      </c>
      <c r="B23" s="80">
        <v>14</v>
      </c>
      <c r="C23" s="26" t="str">
        <f>IFERROR(VLOOKUP($A23,'Species guilds'!$A$3:$F$301,3,FALSE),0)</f>
        <v>C</v>
      </c>
      <c r="D23" s="26" t="str">
        <f>IFERROR(VLOOKUP($A23,'Species guilds'!$A$3:$F$301,4,FALSE),0)</f>
        <v>S</v>
      </c>
      <c r="E23" s="26" t="str">
        <f>IFERROR(VLOOKUP($A23,'Species guilds'!$A$3:$F$301,5,FALSE),0)</f>
        <v>IT</v>
      </c>
      <c r="F23" s="26">
        <f t="shared" si="0"/>
        <v>14</v>
      </c>
      <c r="G23" s="26">
        <f t="shared" si="1"/>
        <v>1</v>
      </c>
      <c r="H23" s="26">
        <f t="shared" si="2"/>
        <v>14</v>
      </c>
      <c r="I23" s="26">
        <f t="shared" si="3"/>
        <v>0</v>
      </c>
      <c r="J23" s="26">
        <f t="shared" si="4"/>
        <v>0</v>
      </c>
      <c r="K23" s="26">
        <f t="shared" si="5"/>
        <v>14</v>
      </c>
      <c r="L23" s="26">
        <f t="shared" si="6"/>
        <v>0</v>
      </c>
      <c r="M23" s="26">
        <f t="shared" si="7"/>
        <v>0</v>
      </c>
      <c r="N23" s="26">
        <f t="shared" si="8"/>
        <v>0</v>
      </c>
      <c r="O23" s="26">
        <f t="shared" si="9"/>
        <v>14</v>
      </c>
      <c r="P23" s="26">
        <f t="shared" si="10"/>
        <v>0</v>
      </c>
      <c r="Q23" s="26">
        <f t="shared" si="11"/>
        <v>0</v>
      </c>
      <c r="R23" s="81" t="str">
        <f t="shared" si="12"/>
        <v/>
      </c>
      <c r="T23" s="43"/>
      <c r="U23" s="43"/>
      <c r="V23" s="43"/>
      <c r="W23" s="43"/>
      <c r="X23" s="43"/>
      <c r="Y23" s="43"/>
    </row>
    <row r="24" spans="1:25" x14ac:dyDescent="0.25">
      <c r="A24" s="79" t="s">
        <v>935</v>
      </c>
      <c r="B24" s="80">
        <v>1</v>
      </c>
      <c r="C24" s="26" t="str">
        <f>IFERROR(VLOOKUP($A24,'Species guilds'!$A$3:$F$301,3,FALSE),0)</f>
        <v>T</v>
      </c>
      <c r="D24" s="26" t="str">
        <f>IFERROR(VLOOKUP($A24,'Species guilds'!$A$3:$F$301,4,FALSE),0)</f>
        <v>S</v>
      </c>
      <c r="E24" s="26" t="str">
        <f>IFERROR(VLOOKUP($A24,'Species guilds'!$A$3:$F$301,5,FALSE),0)</f>
        <v>T</v>
      </c>
      <c r="F24" s="26">
        <f t="shared" si="0"/>
        <v>1</v>
      </c>
      <c r="G24" s="26">
        <f t="shared" si="1"/>
        <v>1</v>
      </c>
      <c r="H24" s="26">
        <f t="shared" si="2"/>
        <v>0</v>
      </c>
      <c r="I24" s="26">
        <f t="shared" si="3"/>
        <v>1</v>
      </c>
      <c r="J24" s="26">
        <f t="shared" si="4"/>
        <v>0</v>
      </c>
      <c r="K24" s="26">
        <f t="shared" si="5"/>
        <v>1</v>
      </c>
      <c r="L24" s="26">
        <f t="shared" si="6"/>
        <v>0</v>
      </c>
      <c r="M24" s="26">
        <f t="shared" si="7"/>
        <v>0</v>
      </c>
      <c r="N24" s="26">
        <f t="shared" si="8"/>
        <v>0</v>
      </c>
      <c r="O24" s="26">
        <f t="shared" si="9"/>
        <v>0</v>
      </c>
      <c r="P24" s="26">
        <f t="shared" si="10"/>
        <v>0</v>
      </c>
      <c r="Q24" s="26">
        <f t="shared" si="11"/>
        <v>1</v>
      </c>
      <c r="R24" s="81" t="str">
        <f t="shared" si="12"/>
        <v/>
      </c>
      <c r="T24" s="43"/>
      <c r="U24" s="43"/>
      <c r="V24" s="43"/>
      <c r="W24" s="43"/>
      <c r="X24" s="43"/>
      <c r="Y24" s="43"/>
    </row>
    <row r="25" spans="1:25" x14ac:dyDescent="0.25">
      <c r="A25" s="79" t="s">
        <v>936</v>
      </c>
      <c r="B25" s="80">
        <v>13</v>
      </c>
      <c r="C25" s="26" t="str">
        <f>IFERROR(VLOOKUP($A25,'Species guilds'!$A$3:$F$301,3,FALSE),0)</f>
        <v>T</v>
      </c>
      <c r="D25" s="26" t="str">
        <f>IFERROR(VLOOKUP($A25,'Species guilds'!$A$3:$F$301,4,FALSE),0)</f>
        <v>M</v>
      </c>
      <c r="E25" s="26" t="str">
        <f>IFERROR(VLOOKUP($A25,'Species guilds'!$A$3:$F$301,5,FALSE),0)</f>
        <v>T</v>
      </c>
      <c r="F25" s="26">
        <f t="shared" si="0"/>
        <v>13</v>
      </c>
      <c r="G25" s="26">
        <f t="shared" si="1"/>
        <v>1</v>
      </c>
      <c r="H25" s="26">
        <f t="shared" si="2"/>
        <v>0</v>
      </c>
      <c r="I25" s="26">
        <f t="shared" si="3"/>
        <v>13</v>
      </c>
      <c r="J25" s="26">
        <f t="shared" si="4"/>
        <v>0</v>
      </c>
      <c r="K25" s="26">
        <f t="shared" si="5"/>
        <v>0</v>
      </c>
      <c r="L25" s="26">
        <f t="shared" si="6"/>
        <v>13</v>
      </c>
      <c r="M25" s="26">
        <f t="shared" si="7"/>
        <v>0</v>
      </c>
      <c r="N25" s="26">
        <f t="shared" si="8"/>
        <v>0</v>
      </c>
      <c r="O25" s="26">
        <f t="shared" si="9"/>
        <v>0</v>
      </c>
      <c r="P25" s="26">
        <f t="shared" si="10"/>
        <v>0</v>
      </c>
      <c r="Q25" s="26">
        <f t="shared" si="11"/>
        <v>13</v>
      </c>
      <c r="R25" s="81" t="str">
        <f t="shared" si="12"/>
        <v/>
      </c>
      <c r="T25" s="43"/>
      <c r="U25" s="43"/>
      <c r="V25" s="43"/>
      <c r="W25" s="43"/>
      <c r="X25" s="43"/>
      <c r="Y25" s="43"/>
    </row>
    <row r="26" spans="1:25" x14ac:dyDescent="0.25">
      <c r="A26" s="25" t="s">
        <v>937</v>
      </c>
      <c r="B26" s="25">
        <v>71</v>
      </c>
      <c r="C26" s="26" t="str">
        <f>IFERROR(VLOOKUP($A26,'Species guilds'!$A$3:$F$301,3,FALSE),0)</f>
        <v>T</v>
      </c>
      <c r="D26" s="26" t="str">
        <f>IFERROR(VLOOKUP($A26,'Species guilds'!$A$3:$F$301,4,FALSE),0)</f>
        <v>S</v>
      </c>
      <c r="E26" s="26" t="str">
        <f>IFERROR(VLOOKUP($A26,'Species guilds'!$A$3:$F$301,5,FALSE),0)</f>
        <v>T</v>
      </c>
      <c r="F26" s="26">
        <f t="shared" si="0"/>
        <v>71</v>
      </c>
      <c r="G26" s="26">
        <f t="shared" si="1"/>
        <v>1</v>
      </c>
      <c r="H26" s="26">
        <f t="shared" si="2"/>
        <v>0</v>
      </c>
      <c r="I26" s="26">
        <f t="shared" si="3"/>
        <v>71</v>
      </c>
      <c r="J26" s="26">
        <f t="shared" si="4"/>
        <v>0</v>
      </c>
      <c r="K26" s="26">
        <f t="shared" si="5"/>
        <v>71</v>
      </c>
      <c r="L26" s="26">
        <f t="shared" si="6"/>
        <v>0</v>
      </c>
      <c r="M26" s="26">
        <f t="shared" si="7"/>
        <v>0</v>
      </c>
      <c r="N26" s="26">
        <f t="shared" si="8"/>
        <v>0</v>
      </c>
      <c r="O26" s="26">
        <f t="shared" si="9"/>
        <v>0</v>
      </c>
      <c r="P26" s="26">
        <f t="shared" si="10"/>
        <v>0</v>
      </c>
      <c r="Q26" s="26">
        <f t="shared" si="11"/>
        <v>71</v>
      </c>
      <c r="R26" s="81" t="str">
        <f t="shared" si="12"/>
        <v/>
      </c>
      <c r="T26" s="43"/>
      <c r="U26" s="43"/>
      <c r="V26" s="43"/>
      <c r="W26" s="43"/>
      <c r="X26" s="43"/>
      <c r="Y26" s="43"/>
    </row>
    <row r="27" spans="1:25" x14ac:dyDescent="0.25">
      <c r="A27" s="25" t="s">
        <v>938</v>
      </c>
      <c r="B27" s="25">
        <v>13</v>
      </c>
      <c r="C27" s="26" t="str">
        <f>IFERROR(VLOOKUP($A27,'Species guilds'!$A$3:$F$301,3,FALSE),0)</f>
        <v>W</v>
      </c>
      <c r="D27" s="26" t="str">
        <f>IFERROR(VLOOKUP($A27,'Species guilds'!$A$3:$F$301,4,FALSE),0)</f>
        <v>L</v>
      </c>
      <c r="E27" s="26" t="str">
        <f>IFERROR(VLOOKUP($A27,'Species guilds'!$A$3:$F$301,5,FALSE),0)</f>
        <v>IM</v>
      </c>
      <c r="F27" s="26">
        <f t="shared" si="0"/>
        <v>13</v>
      </c>
      <c r="G27" s="26">
        <f t="shared" si="1"/>
        <v>1</v>
      </c>
      <c r="H27" s="26">
        <f t="shared" si="2"/>
        <v>0</v>
      </c>
      <c r="I27" s="26">
        <f t="shared" si="3"/>
        <v>0</v>
      </c>
      <c r="J27" s="26">
        <f t="shared" si="4"/>
        <v>13</v>
      </c>
      <c r="K27" s="26">
        <f t="shared" si="5"/>
        <v>0</v>
      </c>
      <c r="L27" s="26">
        <f t="shared" si="6"/>
        <v>0</v>
      </c>
      <c r="M27" s="26">
        <f t="shared" si="7"/>
        <v>0</v>
      </c>
      <c r="N27" s="26">
        <f t="shared" si="8"/>
        <v>13</v>
      </c>
      <c r="O27" s="26">
        <f t="shared" si="9"/>
        <v>0</v>
      </c>
      <c r="P27" s="26">
        <f t="shared" si="10"/>
        <v>13</v>
      </c>
      <c r="Q27" s="26">
        <f t="shared" si="11"/>
        <v>0</v>
      </c>
      <c r="R27" s="81" t="str">
        <f t="shared" si="12"/>
        <v/>
      </c>
      <c r="T27" s="43"/>
      <c r="U27" s="43"/>
      <c r="V27" s="43"/>
      <c r="W27" s="43"/>
      <c r="X27" s="43"/>
      <c r="Y27" s="43"/>
    </row>
    <row r="28" spans="1:25" x14ac:dyDescent="0.25">
      <c r="A28" s="25" t="s">
        <v>939</v>
      </c>
      <c r="B28" s="25">
        <v>3</v>
      </c>
      <c r="C28" s="26" t="str">
        <f>IFERROR(VLOOKUP($A28,'Species guilds'!$A$3:$F$301,3,FALSE),0)</f>
        <v>T</v>
      </c>
      <c r="D28" s="26" t="str">
        <f>IFERROR(VLOOKUP($A28,'Species guilds'!$A$3:$F$301,4,FALSE),0)</f>
        <v>M</v>
      </c>
      <c r="E28" s="26" t="str">
        <f>IFERROR(VLOOKUP($A28,'Species guilds'!$A$3:$F$301,5,FALSE),0)</f>
        <v>IM</v>
      </c>
      <c r="F28" s="26">
        <f t="shared" si="0"/>
        <v>3</v>
      </c>
      <c r="G28" s="26">
        <f t="shared" si="1"/>
        <v>1</v>
      </c>
      <c r="H28" s="26">
        <f t="shared" si="2"/>
        <v>0</v>
      </c>
      <c r="I28" s="26">
        <f t="shared" si="3"/>
        <v>3</v>
      </c>
      <c r="J28" s="26">
        <f t="shared" si="4"/>
        <v>0</v>
      </c>
      <c r="K28" s="26">
        <f t="shared" si="5"/>
        <v>0</v>
      </c>
      <c r="L28" s="26">
        <f t="shared" si="6"/>
        <v>3</v>
      </c>
      <c r="M28" s="26">
        <f t="shared" si="7"/>
        <v>0</v>
      </c>
      <c r="N28" s="26">
        <f t="shared" si="8"/>
        <v>0</v>
      </c>
      <c r="O28" s="26">
        <f t="shared" si="9"/>
        <v>0</v>
      </c>
      <c r="P28" s="26">
        <f t="shared" si="10"/>
        <v>3</v>
      </c>
      <c r="Q28" s="26">
        <f t="shared" si="11"/>
        <v>0</v>
      </c>
      <c r="R28" s="81" t="str">
        <f t="shared" si="12"/>
        <v/>
      </c>
      <c r="T28" s="31"/>
      <c r="U28" s="43"/>
      <c r="V28" s="43"/>
      <c r="W28" s="43"/>
      <c r="X28" s="43"/>
      <c r="Y28" s="43"/>
    </row>
    <row r="29" spans="1:25" x14ac:dyDescent="0.25">
      <c r="A29" s="158" t="s">
        <v>871</v>
      </c>
      <c r="B29" s="25">
        <v>9</v>
      </c>
      <c r="C29" s="26" t="str">
        <f>IFERROR(VLOOKUP($A29,'Species guilds'!$A$3:$F$301,3,FALSE),0)</f>
        <v>T</v>
      </c>
      <c r="D29" s="26" t="str">
        <f>IFERROR(VLOOKUP($A29,'Species guilds'!$A$3:$F$301,4,FALSE),0)</f>
        <v>M</v>
      </c>
      <c r="E29" s="26" t="str">
        <f>IFERROR(VLOOKUP($A29,'Species guilds'!$A$3:$F$301,5,FALSE),0)</f>
        <v>IT</v>
      </c>
      <c r="F29" s="26">
        <f t="shared" si="0"/>
        <v>9</v>
      </c>
      <c r="G29" s="26">
        <f t="shared" si="1"/>
        <v>1</v>
      </c>
      <c r="H29" s="26">
        <f t="shared" si="2"/>
        <v>0</v>
      </c>
      <c r="I29" s="26">
        <f t="shared" si="3"/>
        <v>9</v>
      </c>
      <c r="J29" s="26">
        <f t="shared" si="4"/>
        <v>0</v>
      </c>
      <c r="K29" s="26">
        <f t="shared" si="5"/>
        <v>0</v>
      </c>
      <c r="L29" s="26">
        <f t="shared" si="6"/>
        <v>9</v>
      </c>
      <c r="M29" s="26">
        <f t="shared" si="7"/>
        <v>0</v>
      </c>
      <c r="N29" s="26">
        <f t="shared" si="8"/>
        <v>0</v>
      </c>
      <c r="O29" s="26">
        <f t="shared" si="9"/>
        <v>9</v>
      </c>
      <c r="P29" s="26">
        <f t="shared" si="10"/>
        <v>0</v>
      </c>
      <c r="Q29" s="26">
        <f t="shared" si="11"/>
        <v>0</v>
      </c>
      <c r="R29" s="81" t="str">
        <f t="shared" si="12"/>
        <v>ASSUMES SPECIES ARE NOT CHESTNUT OR SILVER LAMPREYS</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133</v>
      </c>
      <c r="F54" s="9">
        <f>SUM(F21:F53)</f>
        <v>133</v>
      </c>
      <c r="G54" s="2"/>
      <c r="H54" s="9">
        <f>SUM(H21:H53)</f>
        <v>16</v>
      </c>
      <c r="I54" s="9">
        <f t="shared" ref="I54:Q54" si="14">SUM(I21:I53)</f>
        <v>104</v>
      </c>
      <c r="J54" s="9">
        <f t="shared" si="14"/>
        <v>13</v>
      </c>
      <c r="K54" s="9">
        <f t="shared" si="14"/>
        <v>86</v>
      </c>
      <c r="L54" s="9">
        <f t="shared" si="14"/>
        <v>34</v>
      </c>
      <c r="M54" s="9">
        <f t="shared" si="14"/>
        <v>0</v>
      </c>
      <c r="N54" s="9">
        <f t="shared" si="14"/>
        <v>13</v>
      </c>
      <c r="O54" s="9">
        <f t="shared" si="14"/>
        <v>30</v>
      </c>
      <c r="P54" s="9">
        <f t="shared" si="14"/>
        <v>18</v>
      </c>
      <c r="Q54" s="9">
        <f t="shared" si="14"/>
        <v>85</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3" zoomScaleNormal="100" workbookViewId="0">
      <selection activeCell="P58" sqref="P5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7" t="str">
        <f>'Enter field data'!B4</f>
        <v>unmuth</v>
      </c>
      <c r="C4" s="208"/>
      <c r="D4" s="87"/>
      <c r="E4" s="65"/>
      <c r="F4" s="91" t="s">
        <v>836</v>
      </c>
      <c r="G4" s="85"/>
      <c r="H4" s="85"/>
      <c r="I4" s="85"/>
      <c r="J4" s="85"/>
      <c r="K4" s="85"/>
      <c r="L4" s="85"/>
      <c r="M4" s="85"/>
      <c r="N4" s="85"/>
      <c r="O4" s="85"/>
      <c r="P4" s="85"/>
    </row>
    <row r="5" spans="1:16" ht="15" x14ac:dyDescent="0.2">
      <c r="A5" s="65" t="s">
        <v>831</v>
      </c>
      <c r="B5" s="209">
        <f>'Enter field data'!B5</f>
        <v>42898</v>
      </c>
      <c r="C5" s="210"/>
      <c r="D5" s="87"/>
      <c r="E5" s="65"/>
      <c r="F5" s="92"/>
      <c r="G5" s="85" t="s">
        <v>875</v>
      </c>
      <c r="H5" s="85"/>
      <c r="I5" s="85"/>
      <c r="J5" s="85"/>
      <c r="K5" s="85"/>
      <c r="L5" s="85"/>
      <c r="M5" s="85"/>
      <c r="N5" s="85"/>
      <c r="O5" s="85"/>
      <c r="P5" s="85"/>
    </row>
    <row r="6" spans="1:16" ht="15" x14ac:dyDescent="0.2">
      <c r="A6" s="65" t="s">
        <v>830</v>
      </c>
      <c r="B6" s="209">
        <f>'Enter field data'!B6</f>
        <v>41443</v>
      </c>
      <c r="C6" s="210"/>
      <c r="D6" s="87"/>
      <c r="E6" s="65"/>
      <c r="F6" s="93"/>
      <c r="G6" s="85" t="s">
        <v>876</v>
      </c>
      <c r="H6" s="85"/>
      <c r="I6" s="85"/>
      <c r="J6" s="85"/>
      <c r="K6" s="85"/>
      <c r="L6" s="85"/>
      <c r="M6" s="85"/>
      <c r="N6" s="85"/>
      <c r="O6" s="85"/>
      <c r="P6" s="85"/>
    </row>
    <row r="7" spans="1:16" x14ac:dyDescent="0.2">
      <c r="A7" s="65" t="s">
        <v>869</v>
      </c>
      <c r="B7" s="207">
        <f>'Enter field data'!B7</f>
        <v>533073</v>
      </c>
      <c r="C7" s="211"/>
      <c r="D7" s="87"/>
      <c r="E7" s="65"/>
      <c r="F7" s="65"/>
    </row>
    <row r="8" spans="1:16" x14ac:dyDescent="0.2">
      <c r="A8" s="65" t="s">
        <v>872</v>
      </c>
      <c r="B8" s="207" t="str">
        <f>'Enter field data'!B8</f>
        <v>BRUSH CREEK - NEAR RICHLAND CENTER, WI (US Covered Bridge Rd.)</v>
      </c>
      <c r="C8" s="211"/>
      <c r="D8" s="87"/>
      <c r="E8" s="65"/>
      <c r="F8" s="65"/>
    </row>
    <row r="9" spans="1:16" x14ac:dyDescent="0.2">
      <c r="A9" s="65" t="s">
        <v>49</v>
      </c>
      <c r="B9" s="207" t="str">
        <f>'Enter field data'!B9</f>
        <v>Fish survey</v>
      </c>
      <c r="C9" s="211"/>
      <c r="D9" s="87"/>
      <c r="E9" s="65"/>
      <c r="F9" s="65"/>
    </row>
    <row r="10" spans="1:16" x14ac:dyDescent="0.2">
      <c r="A10" s="65"/>
      <c r="B10" s="66"/>
      <c r="C10" s="87"/>
      <c r="D10" s="87"/>
      <c r="E10" s="65"/>
      <c r="F10" s="65"/>
    </row>
    <row r="11" spans="1:16" x14ac:dyDescent="0.2">
      <c r="A11" s="65" t="s">
        <v>34</v>
      </c>
      <c r="B11" s="207" t="str">
        <f>'Enter field data'!B11</f>
        <v>Brush Creek</v>
      </c>
      <c r="C11" s="211"/>
      <c r="D11" s="87"/>
      <c r="E11" s="65"/>
      <c r="F11" s="94"/>
    </row>
    <row r="12" spans="1:16" x14ac:dyDescent="0.2">
      <c r="A12" s="65" t="s">
        <v>37</v>
      </c>
      <c r="B12" s="207" t="str">
        <f>'Enter field data'!B12</f>
        <v>Richland Co.</v>
      </c>
      <c r="C12" s="211"/>
      <c r="D12" s="87"/>
      <c r="E12" s="65"/>
      <c r="F12" s="65"/>
    </row>
    <row r="13" spans="1:16" x14ac:dyDescent="0.2">
      <c r="A13" s="65" t="s">
        <v>35</v>
      </c>
      <c r="B13" s="207">
        <f>'Enter field data'!B13</f>
        <v>13367</v>
      </c>
      <c r="C13" s="211"/>
      <c r="D13" s="87"/>
      <c r="E13" s="65"/>
      <c r="F13" s="94"/>
    </row>
    <row r="14" spans="1:16" x14ac:dyDescent="0.2">
      <c r="A14" s="65" t="s">
        <v>36</v>
      </c>
      <c r="B14" s="207">
        <f>'Enter field data'!B14</f>
        <v>1226200</v>
      </c>
      <c r="C14" s="211"/>
      <c r="D14" s="87"/>
      <c r="E14" s="65"/>
      <c r="F14" s="94"/>
    </row>
    <row r="15" spans="1:16" ht="15" x14ac:dyDescent="0.2">
      <c r="A15" s="65" t="s">
        <v>863</v>
      </c>
      <c r="B15" s="212" t="str">
        <f>'Enter field data'!B15</f>
        <v>0707000511</v>
      </c>
      <c r="C15" s="213"/>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7" t="s">
        <v>916</v>
      </c>
      <c r="B18" s="197"/>
      <c r="C18" s="198"/>
      <c r="D18" s="196" t="str">
        <f>'Enter field data'!$B$17</f>
        <v>Coldwater</v>
      </c>
      <c r="E18" s="175"/>
      <c r="F18" s="68"/>
      <c r="I18" s="143"/>
      <c r="J18" s="68"/>
      <c r="K18" s="68"/>
      <c r="L18" s="68"/>
      <c r="M18" s="68"/>
      <c r="N18" s="68"/>
    </row>
    <row r="19" spans="1:30" ht="12.75" customHeight="1" x14ac:dyDescent="0.2">
      <c r="A19" s="197" t="s">
        <v>850</v>
      </c>
      <c r="B19" s="197"/>
      <c r="C19" s="198"/>
      <c r="D19" s="199" t="s">
        <v>919</v>
      </c>
      <c r="E19" s="200"/>
      <c r="F19" s="95"/>
      <c r="I19" s="192"/>
      <c r="J19" s="192"/>
      <c r="K19" s="192"/>
      <c r="L19" s="145"/>
      <c r="M19" s="145"/>
      <c r="N19" s="144"/>
    </row>
    <row r="20" spans="1:30" x14ac:dyDescent="0.2">
      <c r="A20" s="65" t="s">
        <v>851</v>
      </c>
      <c r="B20" s="65"/>
      <c r="C20" s="67"/>
      <c r="D20" s="193" t="s">
        <v>21</v>
      </c>
      <c r="E20" s="194"/>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5"/>
      <c r="E23" s="195"/>
      <c r="F23" s="95"/>
      <c r="I23" s="68"/>
      <c r="J23" s="68"/>
      <c r="K23" s="68"/>
      <c r="L23" s="68"/>
      <c r="M23" s="68"/>
      <c r="N23" s="144"/>
    </row>
    <row r="24" spans="1:30" x14ac:dyDescent="0.2">
      <c r="A24" s="98" t="s">
        <v>854</v>
      </c>
      <c r="B24" s="99"/>
      <c r="C24" s="99"/>
      <c r="D24" s="195"/>
      <c r="E24" s="195"/>
      <c r="F24" s="95"/>
      <c r="I24" s="89"/>
      <c r="J24" s="65"/>
      <c r="K24" s="87"/>
      <c r="L24" s="147"/>
      <c r="M24" s="147"/>
    </row>
    <row r="25" spans="1:30" x14ac:dyDescent="0.2">
      <c r="A25" s="100" t="s">
        <v>862</v>
      </c>
      <c r="B25" s="101"/>
      <c r="C25" s="101"/>
      <c r="D25" s="195"/>
      <c r="E25" s="195"/>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6" t="str">
        <f>'Enter field data'!$B$17</f>
        <v>Coldwater</v>
      </c>
      <c r="E29" s="175"/>
      <c r="H29" s="150"/>
      <c r="I29" s="102" t="s">
        <v>913</v>
      </c>
      <c r="L29" s="178" t="s">
        <v>22</v>
      </c>
      <c r="M29" s="179"/>
      <c r="N29" s="11"/>
      <c r="P29" s="102" t="s">
        <v>914</v>
      </c>
      <c r="S29" s="178" t="s">
        <v>21</v>
      </c>
      <c r="T29" s="179"/>
      <c r="U29" s="11"/>
      <c r="W29" s="102" t="s">
        <v>915</v>
      </c>
      <c r="Z29" s="178" t="s">
        <v>23</v>
      </c>
      <c r="AA29" s="179"/>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16</v>
      </c>
      <c r="C36" s="111" t="s">
        <v>9</v>
      </c>
      <c r="D36" s="112">
        <f>'Enter field data'!$K$54</f>
        <v>86</v>
      </c>
      <c r="E36" s="113" t="s">
        <v>12</v>
      </c>
      <c r="F36" s="114">
        <f>'Enter field data'!$O$54</f>
        <v>30</v>
      </c>
      <c r="H36" s="150"/>
      <c r="I36" s="110" t="s">
        <v>6</v>
      </c>
      <c r="J36" s="83">
        <f>'Enter field data'!$H$54</f>
        <v>16</v>
      </c>
      <c r="K36" s="111" t="s">
        <v>9</v>
      </c>
      <c r="L36" s="112">
        <f>'Enter field data'!$K$54</f>
        <v>86</v>
      </c>
      <c r="M36" s="113" t="s">
        <v>12</v>
      </c>
      <c r="N36" s="114">
        <f>'Enter field data'!$O$54</f>
        <v>30</v>
      </c>
      <c r="P36" s="110" t="s">
        <v>6</v>
      </c>
      <c r="Q36" s="83">
        <f>'Enter field data'!$H$54</f>
        <v>16</v>
      </c>
      <c r="R36" s="111" t="s">
        <v>9</v>
      </c>
      <c r="S36" s="112">
        <f>'Enter field data'!$K$54</f>
        <v>86</v>
      </c>
      <c r="T36" s="113" t="s">
        <v>12</v>
      </c>
      <c r="U36" s="114">
        <f>'Enter field data'!$O$54</f>
        <v>30</v>
      </c>
      <c r="W36" s="110" t="s">
        <v>6</v>
      </c>
      <c r="X36" s="83">
        <f>'Enter field data'!$H$54</f>
        <v>16</v>
      </c>
      <c r="Y36" s="111" t="s">
        <v>9</v>
      </c>
      <c r="Z36" s="112">
        <f>'Enter field data'!$K$54</f>
        <v>86</v>
      </c>
      <c r="AA36" s="113" t="s">
        <v>12</v>
      </c>
      <c r="AB36" s="114">
        <f>'Enter field data'!$O$54</f>
        <v>30</v>
      </c>
    </row>
    <row r="37" spans="1:28" x14ac:dyDescent="0.2">
      <c r="A37" s="110" t="s">
        <v>7</v>
      </c>
      <c r="B37" s="83">
        <f>'Enter field data'!$I$54</f>
        <v>104</v>
      </c>
      <c r="C37" s="111" t="s">
        <v>10</v>
      </c>
      <c r="D37" s="112">
        <f>'Enter field data'!$L$54</f>
        <v>34</v>
      </c>
      <c r="E37" s="113" t="s">
        <v>13</v>
      </c>
      <c r="F37" s="114">
        <f>'Enter field data'!$P$54</f>
        <v>18</v>
      </c>
      <c r="H37" s="150"/>
      <c r="I37" s="110" t="s">
        <v>7</v>
      </c>
      <c r="J37" s="83">
        <f>'Enter field data'!$I$54</f>
        <v>104</v>
      </c>
      <c r="K37" s="111" t="s">
        <v>10</v>
      </c>
      <c r="L37" s="112">
        <f>'Enter field data'!$L$54</f>
        <v>34</v>
      </c>
      <c r="M37" s="113" t="s">
        <v>13</v>
      </c>
      <c r="N37" s="114">
        <f>'Enter field data'!$P$54</f>
        <v>18</v>
      </c>
      <c r="P37" s="110" t="s">
        <v>7</v>
      </c>
      <c r="Q37" s="83">
        <f>'Enter field data'!$I$54</f>
        <v>104</v>
      </c>
      <c r="R37" s="111" t="s">
        <v>10</v>
      </c>
      <c r="S37" s="112">
        <f>'Enter field data'!$L$54</f>
        <v>34</v>
      </c>
      <c r="T37" s="113" t="s">
        <v>13</v>
      </c>
      <c r="U37" s="114">
        <f>'Enter field data'!$P$54</f>
        <v>18</v>
      </c>
      <c r="W37" s="110" t="s">
        <v>7</v>
      </c>
      <c r="X37" s="83">
        <f>'Enter field data'!$I$54</f>
        <v>104</v>
      </c>
      <c r="Y37" s="111" t="s">
        <v>10</v>
      </c>
      <c r="Z37" s="112">
        <f>'Enter field data'!$L$54</f>
        <v>34</v>
      </c>
      <c r="AA37" s="113" t="s">
        <v>13</v>
      </c>
      <c r="AB37" s="114">
        <f>'Enter field data'!$P$54</f>
        <v>18</v>
      </c>
    </row>
    <row r="38" spans="1:28" x14ac:dyDescent="0.2">
      <c r="A38" s="110" t="s">
        <v>8</v>
      </c>
      <c r="B38" s="83">
        <f>'Enter field data'!$J$54</f>
        <v>13</v>
      </c>
      <c r="C38" s="111" t="s">
        <v>11</v>
      </c>
      <c r="D38" s="112">
        <f>'Enter field data'!$N$54</f>
        <v>13</v>
      </c>
      <c r="E38" s="113" t="s">
        <v>14</v>
      </c>
      <c r="F38" s="114">
        <f>'Enter field data'!$Q$54</f>
        <v>85</v>
      </c>
      <c r="H38" s="150"/>
      <c r="I38" s="110" t="s">
        <v>8</v>
      </c>
      <c r="J38" s="83">
        <f>'Enter field data'!$J$54</f>
        <v>13</v>
      </c>
      <c r="K38" s="111" t="s">
        <v>11</v>
      </c>
      <c r="L38" s="112">
        <f>'Enter field data'!$N$54</f>
        <v>13</v>
      </c>
      <c r="M38" s="113" t="s">
        <v>14</v>
      </c>
      <c r="N38" s="114">
        <f>'Enter field data'!$Q$54</f>
        <v>85</v>
      </c>
      <c r="P38" s="110" t="s">
        <v>8</v>
      </c>
      <c r="Q38" s="83">
        <f>'Enter field data'!$J$54</f>
        <v>13</v>
      </c>
      <c r="R38" s="111" t="s">
        <v>11</v>
      </c>
      <c r="S38" s="112">
        <f>'Enter field data'!$N$54</f>
        <v>13</v>
      </c>
      <c r="T38" s="113" t="s">
        <v>14</v>
      </c>
      <c r="U38" s="114">
        <f>'Enter field data'!$Q$54</f>
        <v>85</v>
      </c>
      <c r="W38" s="110" t="s">
        <v>8</v>
      </c>
      <c r="X38" s="83">
        <f>'Enter field data'!$J$54</f>
        <v>13</v>
      </c>
      <c r="Y38" s="111" t="s">
        <v>11</v>
      </c>
      <c r="Z38" s="112">
        <f>'Enter field data'!$N$54</f>
        <v>13</v>
      </c>
      <c r="AA38" s="113" t="s">
        <v>14</v>
      </c>
      <c r="AB38" s="114">
        <f>'Enter field data'!$Q$54</f>
        <v>85</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0" t="s">
        <v>5</v>
      </c>
      <c r="B41" s="181"/>
      <c r="C41" s="181"/>
      <c r="D41" s="181"/>
      <c r="E41" s="182"/>
      <c r="F41" s="65"/>
      <c r="H41" s="150"/>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5" t="s">
        <v>55</v>
      </c>
      <c r="B42" s="183" t="s">
        <v>65</v>
      </c>
      <c r="C42" s="185" t="s">
        <v>66</v>
      </c>
      <c r="D42" s="186"/>
      <c r="E42" s="187" t="s">
        <v>56</v>
      </c>
      <c r="F42" s="65"/>
      <c r="H42" s="150"/>
      <c r="I42" s="139" t="s">
        <v>55</v>
      </c>
      <c r="J42" s="183" t="s">
        <v>65</v>
      </c>
      <c r="K42" s="185" t="s">
        <v>66</v>
      </c>
      <c r="L42" s="186"/>
      <c r="M42" s="187" t="s">
        <v>56</v>
      </c>
      <c r="N42" s="65"/>
      <c r="P42" s="139" t="s">
        <v>55</v>
      </c>
      <c r="Q42" s="183" t="s">
        <v>65</v>
      </c>
      <c r="R42" s="185" t="s">
        <v>66</v>
      </c>
      <c r="S42" s="186"/>
      <c r="T42" s="187" t="s">
        <v>56</v>
      </c>
      <c r="U42" s="65"/>
      <c r="W42" s="139" t="s">
        <v>55</v>
      </c>
      <c r="X42" s="183" t="s">
        <v>65</v>
      </c>
      <c r="Y42" s="185" t="s">
        <v>66</v>
      </c>
      <c r="Z42" s="186"/>
      <c r="AA42" s="187" t="s">
        <v>56</v>
      </c>
      <c r="AB42" s="65"/>
    </row>
    <row r="43" spans="1:28" x14ac:dyDescent="0.2">
      <c r="A43" s="116"/>
      <c r="B43" s="184"/>
      <c r="C43" s="117" t="s">
        <v>62</v>
      </c>
      <c r="D43" s="118" t="s">
        <v>63</v>
      </c>
      <c r="E43" s="188"/>
      <c r="F43" s="65"/>
      <c r="H43" s="150"/>
      <c r="I43" s="140"/>
      <c r="J43" s="184"/>
      <c r="K43" s="117" t="s">
        <v>62</v>
      </c>
      <c r="L43" s="141" t="s">
        <v>63</v>
      </c>
      <c r="M43" s="188"/>
      <c r="N43" s="65"/>
      <c r="P43" s="140"/>
      <c r="Q43" s="184"/>
      <c r="R43" s="117" t="s">
        <v>62</v>
      </c>
      <c r="S43" s="141" t="s">
        <v>63</v>
      </c>
      <c r="T43" s="188"/>
      <c r="U43" s="65"/>
      <c r="W43" s="140"/>
      <c r="X43" s="184"/>
      <c r="Y43" s="117" t="s">
        <v>62</v>
      </c>
      <c r="Z43" s="141" t="s">
        <v>63</v>
      </c>
      <c r="AA43" s="188"/>
      <c r="AB43" s="65"/>
    </row>
    <row r="44" spans="1:28" x14ac:dyDescent="0.2">
      <c r="A44" s="110" t="s">
        <v>6</v>
      </c>
      <c r="B44" s="119">
        <f>($B$36/'Enter field data'!$F$54)</f>
        <v>0.12030075187969924</v>
      </c>
      <c r="C44" s="120">
        <f>VLOOKUP($D$29,'Expected guild %'!$A$5:$G$13,2,FALSE)</f>
        <v>0.75</v>
      </c>
      <c r="D44" s="120">
        <f>VLOOKUP($D$29,'Expected guild %'!$A$5:$G$13,3,FALSE)</f>
        <v>1</v>
      </c>
      <c r="E44" s="121" t="str">
        <f>IF(AND(C44&lt;=B44,B44&lt;= D44)=TRUE,"Y","N")</f>
        <v>N</v>
      </c>
      <c r="F44" s="65"/>
      <c r="H44" s="150"/>
      <c r="I44" s="110" t="s">
        <v>6</v>
      </c>
      <c r="J44" s="119">
        <f>($B$36/'Enter field data'!$F$54)</f>
        <v>0.12030075187969924</v>
      </c>
      <c r="K44" s="120">
        <f>VLOOKUP(L$29,'Expected guild %'!$A$5:$G$13,2,FALSE)</f>
        <v>0.05</v>
      </c>
      <c r="L44" s="120">
        <f>VLOOKUP(L$29,'Expected guild %'!$A$5:$G$13,3,FALSE)</f>
        <v>0.75</v>
      </c>
      <c r="M44" s="121" t="str">
        <f>IF(AND(K44&lt;=J44,J44&lt;= L44)=TRUE,"Y","N")</f>
        <v>Y</v>
      </c>
      <c r="N44" s="65"/>
      <c r="P44" s="110" t="s">
        <v>6</v>
      </c>
      <c r="Q44" s="119">
        <f>($B$36/'Enter field data'!$F$54)</f>
        <v>0.12030075187969924</v>
      </c>
      <c r="R44" s="120">
        <f>VLOOKUP(S$29,'Expected guild %'!$A$5:$G$13,2,FALSE)</f>
        <v>0.05</v>
      </c>
      <c r="S44" s="120">
        <f>VLOOKUP(S$29,'Expected guild %'!$A$5:$G$13,3,FALSE)</f>
        <v>0.75</v>
      </c>
      <c r="T44" s="121" t="str">
        <f>IF(AND(R44&lt;=Q44,Q44&lt;= S44)=TRUE,"Y","N")</f>
        <v>Y</v>
      </c>
      <c r="U44" s="65"/>
      <c r="W44" s="110" t="s">
        <v>6</v>
      </c>
      <c r="X44" s="119">
        <f>($B$36/'Enter field data'!$F$54)</f>
        <v>0.12030075187969924</v>
      </c>
      <c r="Y44" s="120">
        <f>VLOOKUP(Z$29,'Expected guild %'!$A$5:$G$13,2,FALSE)</f>
        <v>0</v>
      </c>
      <c r="Z44" s="120">
        <f>VLOOKUP(Z$29,'Expected guild %'!$A$5:$G$13,3,FALSE)</f>
        <v>0.05</v>
      </c>
      <c r="AA44" s="121" t="str">
        <f>IF(AND(Y44&lt;=X44,X44&lt;= Z44)=TRUE,"Y","N")</f>
        <v>N</v>
      </c>
      <c r="AB44" s="65"/>
    </row>
    <row r="45" spans="1:28" x14ac:dyDescent="0.2">
      <c r="A45" s="110" t="s">
        <v>7</v>
      </c>
      <c r="B45" s="119">
        <f>($B$37/'Enter field data'!$F$54)</f>
        <v>0.78195488721804507</v>
      </c>
      <c r="C45" s="120">
        <f>VLOOKUP($D$29,'Expected guild %'!$A$5:$G$13,4,FALSE)</f>
        <v>0</v>
      </c>
      <c r="D45" s="120">
        <f>VLOOKUP($D$29,'Expected guild %'!$A$5:$G$13,5,FALSE)</f>
        <v>0.25</v>
      </c>
      <c r="E45" s="121" t="str">
        <f>IF(AND(C45&lt;=B45,B45&lt;= D45)=TRUE,"Y","N")</f>
        <v>N</v>
      </c>
      <c r="F45" s="65"/>
      <c r="H45" s="150"/>
      <c r="I45" s="110" t="s">
        <v>7</v>
      </c>
      <c r="J45" s="119">
        <f>($B$37/'Enter field data'!$F$54)</f>
        <v>0.78195488721804507</v>
      </c>
      <c r="K45" s="120">
        <f>VLOOKUP(L$29,'Expected guild %'!$A$5:$G$13,4,FALSE)</f>
        <v>0.25</v>
      </c>
      <c r="L45" s="120">
        <f>VLOOKUP(L$29,'Expected guild %'!$A$5:$G$13,5,FALSE)</f>
        <v>1</v>
      </c>
      <c r="M45" s="121" t="str">
        <f>IF(AND(K45&lt;=J45,J45&lt;= L45)=TRUE,"Y","N")</f>
        <v>Y</v>
      </c>
      <c r="N45" s="65"/>
      <c r="P45" s="110" t="s">
        <v>7</v>
      </c>
      <c r="Q45" s="119">
        <f>($B$37/'Enter field data'!$F$54)</f>
        <v>0.78195488721804507</v>
      </c>
      <c r="R45" s="120">
        <f>VLOOKUP(S$29,'Expected guild %'!$A$5:$G$13,4,FALSE)</f>
        <v>0.25</v>
      </c>
      <c r="S45" s="120">
        <f>VLOOKUP(S$29,'Expected guild %'!$A$5:$G$13,5,FALSE)</f>
        <v>1</v>
      </c>
      <c r="T45" s="121" t="str">
        <f>IF(AND(R45&lt;=Q45,Q45&lt;= S45)=TRUE,"Y","N")</f>
        <v>Y</v>
      </c>
      <c r="U45" s="65"/>
      <c r="W45" s="110" t="s">
        <v>7</v>
      </c>
      <c r="X45" s="119">
        <f>($B$37/'Enter field data'!$F$54)</f>
        <v>0.78195488721804507</v>
      </c>
      <c r="Y45" s="120">
        <f>VLOOKUP(Z$29,'Expected guild %'!$A$5:$G$13,4,FALSE)</f>
        <v>0.25</v>
      </c>
      <c r="Z45" s="120">
        <f>VLOOKUP(Z$29,'Expected guild %'!$A$5:$G$13,5,FALSE)</f>
        <v>1</v>
      </c>
      <c r="AA45" s="121" t="str">
        <f>IF(AND(Y45&lt;=X45,X45&lt;= Z45)=TRUE,"Y","N")</f>
        <v>Y</v>
      </c>
      <c r="AB45" s="65"/>
    </row>
    <row r="46" spans="1:28" x14ac:dyDescent="0.2">
      <c r="A46" s="110" t="s">
        <v>8</v>
      </c>
      <c r="B46" s="119">
        <f>($B$38/'Enter field data'!$F$54)</f>
        <v>9.7744360902255634E-2</v>
      </c>
      <c r="C46" s="120">
        <f>VLOOKUP($D$29,'Expected guild %'!$A$5:$G$13,6,FALSE)</f>
        <v>0</v>
      </c>
      <c r="D46" s="120">
        <f>VLOOKUP($D$29,'Expected guild %'!$A$5:$G$13,7,FALSE)</f>
        <v>0.05</v>
      </c>
      <c r="E46" s="121" t="str">
        <f>IF(AND(C46&lt;=B46,B46&lt;= D46)=TRUE,"Y","N")</f>
        <v>N</v>
      </c>
      <c r="F46" s="65"/>
      <c r="H46" s="150"/>
      <c r="I46" s="110" t="s">
        <v>8</v>
      </c>
      <c r="J46" s="119">
        <f>($B$38/'Enter field data'!$F$54)</f>
        <v>9.7744360902255634E-2</v>
      </c>
      <c r="K46" s="120">
        <f>VLOOKUP(L$29,'Expected guild %'!$A$5:$G$13,6,FALSE)</f>
        <v>0</v>
      </c>
      <c r="L46" s="120">
        <f>VLOOKUP(L$29,'Expected guild %'!$A$5:$G$13,7,FALSE)</f>
        <v>0.25</v>
      </c>
      <c r="M46" s="121" t="str">
        <f>IF(AND(K46&lt;=J46,J46&lt;= L46)=TRUE,"Y","N")</f>
        <v>Y</v>
      </c>
      <c r="N46" s="65"/>
      <c r="P46" s="110" t="s">
        <v>8</v>
      </c>
      <c r="Q46" s="119">
        <f>($B$38/'Enter field data'!$F$54)</f>
        <v>9.7744360902255634E-2</v>
      </c>
      <c r="R46" s="120">
        <f>VLOOKUP(S$29,'Expected guild %'!$A$5:$G$13,6,FALSE)</f>
        <v>0</v>
      </c>
      <c r="S46" s="120">
        <f>VLOOKUP(S$29,'Expected guild %'!$A$5:$G$13,7,FALSE)</f>
        <v>0.25</v>
      </c>
      <c r="T46" s="121" t="str">
        <f>IF(AND(R46&lt;=Q46,Q46&lt;= S46)=TRUE,"Y","N")</f>
        <v>Y</v>
      </c>
      <c r="U46" s="65"/>
      <c r="W46" s="110" t="s">
        <v>8</v>
      </c>
      <c r="X46" s="119">
        <f>($B$38/'Enter field data'!$F$54)</f>
        <v>9.7744360902255634E-2</v>
      </c>
      <c r="Y46" s="120">
        <f>VLOOKUP(Z$29,'Expected guild %'!$A$5:$G$13,6,FALSE)</f>
        <v>0</v>
      </c>
      <c r="Z46" s="120">
        <f>VLOOKUP(Z$29,'Expected guild %'!$A$5:$G$13,7,FALSE)</f>
        <v>0.75</v>
      </c>
      <c r="AA46" s="121" t="str">
        <f>IF(AND(Y46&lt;=X46,X46&lt;= Z46)=TRUE,"Y","N")</f>
        <v>Y</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50"/>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50"/>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7" t="s">
        <v>62</v>
      </c>
      <c r="D50" s="118" t="s">
        <v>63</v>
      </c>
      <c r="E50" s="188"/>
      <c r="F50" s="65"/>
      <c r="H50" s="150"/>
      <c r="I50" s="184"/>
      <c r="J50" s="184"/>
      <c r="K50" s="117" t="s">
        <v>62</v>
      </c>
      <c r="L50" s="141" t="s">
        <v>63</v>
      </c>
      <c r="M50" s="188"/>
      <c r="N50" s="65"/>
      <c r="P50" s="184"/>
      <c r="Q50" s="184"/>
      <c r="R50" s="117" t="s">
        <v>62</v>
      </c>
      <c r="S50" s="141" t="s">
        <v>63</v>
      </c>
      <c r="T50" s="188"/>
      <c r="U50" s="65"/>
      <c r="W50" s="184"/>
      <c r="X50" s="184"/>
      <c r="Y50" s="117" t="s">
        <v>62</v>
      </c>
      <c r="Z50" s="141" t="s">
        <v>63</v>
      </c>
      <c r="AA50" s="188"/>
      <c r="AB50" s="65"/>
    </row>
    <row r="51" spans="1:29" x14ac:dyDescent="0.2">
      <c r="A51" s="110" t="s">
        <v>9</v>
      </c>
      <c r="B51" s="120">
        <f>($D$36/'Enter field data'!$F$54)</f>
        <v>0.64661654135338342</v>
      </c>
      <c r="C51" s="122">
        <f>VLOOKUP($D$29,'Expected guild %'!$A$19:$G$27,2,FALSE)</f>
        <v>0</v>
      </c>
      <c r="D51" s="120">
        <f>VLOOKUP($D$29,'Expected guild %'!$A$19:$G$27,3,FALSE)</f>
        <v>1</v>
      </c>
      <c r="E51" s="121" t="str">
        <f>IF(AND(C51&lt;=B51,B51&lt;= D51)=TRUE,"Y","N")</f>
        <v>Y</v>
      </c>
      <c r="F51" s="65"/>
      <c r="H51" s="150"/>
      <c r="I51" s="110" t="s">
        <v>9</v>
      </c>
      <c r="J51" s="120">
        <f>($D$36/'Enter field data'!$F$54)</f>
        <v>0.64661654135338342</v>
      </c>
      <c r="K51" s="122">
        <f>VLOOKUP(L$29,'Expected guild %'!$A$19:$G$27,2,FALSE)</f>
        <v>0</v>
      </c>
      <c r="L51" s="120">
        <f>VLOOKUP(L$29,'Expected guild %'!$A$19:$G$27,3,FALSE)</f>
        <v>0.5</v>
      </c>
      <c r="M51" s="121" t="str">
        <f>IF(AND(K51&lt;=J51,J51&lt;= L51)=TRUE,"Y","N")</f>
        <v>N</v>
      </c>
      <c r="N51" s="65"/>
      <c r="P51" s="110" t="s">
        <v>9</v>
      </c>
      <c r="Q51" s="120">
        <f>($D$36/'Enter field data'!$F$54)</f>
        <v>0.64661654135338342</v>
      </c>
      <c r="R51" s="122">
        <f>VLOOKUP(S$29,'Expected guild %'!$A$19:$G$27,2,FALSE)</f>
        <v>0.5</v>
      </c>
      <c r="S51" s="120">
        <f>VLOOKUP(S$29,'Expected guild %'!$A$19:$G$27,3,FALSE)</f>
        <v>1</v>
      </c>
      <c r="T51" s="121" t="str">
        <f>IF(AND(R51&lt;=Q51,Q51&lt;= S51)=TRUE,"Y","N")</f>
        <v>Y</v>
      </c>
      <c r="U51" s="65"/>
      <c r="W51" s="110" t="s">
        <v>9</v>
      </c>
      <c r="X51" s="120">
        <f>($D$36/'Enter field data'!$F$54)</f>
        <v>0.64661654135338342</v>
      </c>
      <c r="Y51" s="122">
        <f>VLOOKUP(Z$29,'Expected guild %'!$A$19:$G$27,2,FALSE)</f>
        <v>0.5</v>
      </c>
      <c r="Z51" s="120">
        <f>VLOOKUP(Z$29,'Expected guild %'!$A$19:$G$27,3,FALSE)</f>
        <v>1</v>
      </c>
      <c r="AA51" s="121" t="str">
        <f>IF(AND(Y51&lt;=X51,X51&lt;= Z51)=TRUE,"Y","N")</f>
        <v>Y</v>
      </c>
      <c r="AB51" s="65"/>
    </row>
    <row r="52" spans="1:29" x14ac:dyDescent="0.2">
      <c r="A52" s="110" t="s">
        <v>10</v>
      </c>
      <c r="B52" s="120">
        <f>($D$37/'Enter field data'!$F$54)</f>
        <v>0.25563909774436089</v>
      </c>
      <c r="C52" s="122">
        <f>VLOOKUP($D$29,'Expected guild %'!$A$19:$G$27,4,FALSE)</f>
        <v>0</v>
      </c>
      <c r="D52" s="120">
        <f>VLOOKUP($D$29,'Expected guild %'!$A$19:$G$27,5,FALSE)</f>
        <v>1</v>
      </c>
      <c r="E52" s="121" t="str">
        <f>IF(AND(C52&lt;=B52,B52&lt;= D52)=TRUE,"Y","N")</f>
        <v>Y</v>
      </c>
      <c r="F52" s="65"/>
      <c r="H52" s="150"/>
      <c r="I52" s="110" t="s">
        <v>10</v>
      </c>
      <c r="J52" s="120">
        <f>($D$37/'Enter field data'!$F$54)</f>
        <v>0.25563909774436089</v>
      </c>
      <c r="K52" s="122">
        <f>VLOOKUP(L$29,'Expected guild %'!$A$19:$G$27,4,FALSE)</f>
        <v>0.5</v>
      </c>
      <c r="L52" s="120">
        <f>VLOOKUP(L$29,'Expected guild %'!$A$19:$G$27,5,FALSE)</f>
        <v>1</v>
      </c>
      <c r="M52" s="121" t="str">
        <f>IF(AND(K52&lt;=J52,J52&lt;= L52)=TRUE,"Y","N")</f>
        <v>N</v>
      </c>
      <c r="N52" s="65"/>
      <c r="P52" s="110" t="s">
        <v>10</v>
      </c>
      <c r="Q52" s="120">
        <f>($D$37/'Enter field data'!$F$54)</f>
        <v>0.25563909774436089</v>
      </c>
      <c r="R52" s="122">
        <f>VLOOKUP(S$29,'Expected guild %'!$A$19:$G$27,4,FALSE)</f>
        <v>0</v>
      </c>
      <c r="S52" s="120">
        <f>VLOOKUP(S$29,'Expected guild %'!$A$19:$G$27,5,FALSE)</f>
        <v>0.5</v>
      </c>
      <c r="T52" s="121" t="str">
        <f>IF(AND(R52&lt;=Q52,Q52&lt;= S52)=TRUE,"Y","N")</f>
        <v>Y</v>
      </c>
      <c r="U52" s="65"/>
      <c r="W52" s="110" t="s">
        <v>10</v>
      </c>
      <c r="X52" s="120">
        <f>($D$37/'Enter field data'!$F$54)</f>
        <v>0.25563909774436089</v>
      </c>
      <c r="Y52" s="122">
        <f>VLOOKUP(Z$29,'Expected guild %'!$A$19:$G$27,4,FALSE)</f>
        <v>0</v>
      </c>
      <c r="Z52" s="120">
        <f>VLOOKUP(Z$29,'Expected guild %'!$A$19:$G$27,5,FALSE)</f>
        <v>0.5</v>
      </c>
      <c r="AA52" s="121" t="str">
        <f>IF(AND(Y52&lt;=X52,X52&lt;= Z52)=TRUE,"Y","N")</f>
        <v>Y</v>
      </c>
      <c r="AB52" s="65"/>
    </row>
    <row r="53" spans="1:29" x14ac:dyDescent="0.2">
      <c r="A53" s="110" t="s">
        <v>11</v>
      </c>
      <c r="B53" s="120">
        <f>($D$38/'Enter field data'!$F$54)</f>
        <v>9.7744360902255634E-2</v>
      </c>
      <c r="C53" s="122">
        <f>VLOOKUP($D$29,'Expected guild %'!$A$19:$G$27,6,FALSE)</f>
        <v>0</v>
      </c>
      <c r="D53" s="120">
        <f>VLOOKUP($D$29,'Expected guild %'!$A$19:$G$27,7,FALSE)</f>
        <v>1</v>
      </c>
      <c r="E53" s="121" t="str">
        <f>IF(AND(C53&lt;=B53,B53&lt;= D53)=TRUE,"Y","N")</f>
        <v>Y</v>
      </c>
      <c r="F53" s="65"/>
      <c r="H53" s="150"/>
      <c r="I53" s="110" t="s">
        <v>11</v>
      </c>
      <c r="J53" s="120">
        <f>($D$38/'Enter field data'!$F$54)</f>
        <v>9.7744360902255634E-2</v>
      </c>
      <c r="K53" s="122">
        <f>VLOOKUP(L$29,'Expected guild %'!$A$19:$G$27,6,FALSE)</f>
        <v>0</v>
      </c>
      <c r="L53" s="120">
        <f>VLOOKUP(L$29,'Expected guild %'!$A$19:$G$27,7,FALSE)</f>
        <v>0.5</v>
      </c>
      <c r="M53" s="121" t="str">
        <f>IF(AND(K53&lt;=J53,J53&lt;= L53)=TRUE,"Y","N")</f>
        <v>Y</v>
      </c>
      <c r="N53" s="65"/>
      <c r="P53" s="110" t="s">
        <v>11</v>
      </c>
      <c r="Q53" s="120">
        <f>($D$38/'Enter field data'!$F$54)</f>
        <v>9.7744360902255634E-2</v>
      </c>
      <c r="R53" s="122">
        <f>VLOOKUP(S$29,'Expected guild %'!$A$19:$G$27,6,FALSE)</f>
        <v>0</v>
      </c>
      <c r="S53" s="120">
        <f>VLOOKUP(S$29,'Expected guild %'!$A$19:$G$27,7,FALSE)</f>
        <v>0.1</v>
      </c>
      <c r="T53" s="121" t="str">
        <f>IF(AND(R53&lt;=Q53,Q53&lt;= S53)=TRUE,"Y","N")</f>
        <v>Y</v>
      </c>
      <c r="U53" s="65"/>
      <c r="W53" s="110" t="s">
        <v>11</v>
      </c>
      <c r="X53" s="120">
        <f>($D$38/'Enter field data'!$F$54)</f>
        <v>9.7744360902255634E-2</v>
      </c>
      <c r="Y53" s="122">
        <f>VLOOKUP(Z$29,'Expected guild %'!$A$19:$G$27,6,FALSE)</f>
        <v>0</v>
      </c>
      <c r="Z53" s="120">
        <f>VLOOKUP(Z$29,'Expected guild %'!$A$19:$G$27,7,FALSE)</f>
        <v>0.1</v>
      </c>
      <c r="AA53" s="121" t="str">
        <f>IF(AND(Y53&lt;=X53,X53&lt;= Z53)=TRUE,"Y","N")</f>
        <v>Y</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9" t="s">
        <v>943</v>
      </c>
      <c r="B57" s="190"/>
      <c r="C57" s="190"/>
      <c r="D57" s="190"/>
      <c r="E57" s="190"/>
      <c r="F57" s="191"/>
      <c r="G57" s="157"/>
      <c r="H57" s="150"/>
      <c r="I57" s="189" t="s">
        <v>946</v>
      </c>
      <c r="J57" s="190"/>
      <c r="K57" s="190"/>
      <c r="L57" s="190"/>
      <c r="M57" s="190"/>
      <c r="N57" s="191"/>
      <c r="O57" s="156"/>
      <c r="P57" s="189" t="s">
        <v>948</v>
      </c>
      <c r="Q57" s="190"/>
      <c r="R57" s="190"/>
      <c r="S57" s="190"/>
      <c r="T57" s="190"/>
      <c r="U57" s="191"/>
      <c r="V57" s="156"/>
      <c r="W57" s="189" t="s">
        <v>945</v>
      </c>
      <c r="X57" s="190"/>
      <c r="Y57" s="190"/>
      <c r="Z57" s="190"/>
      <c r="AA57" s="190"/>
      <c r="AB57" s="191"/>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0" t="s">
        <v>1</v>
      </c>
      <c r="B71" s="181"/>
      <c r="C71" s="181"/>
      <c r="D71" s="181"/>
      <c r="E71" s="182"/>
      <c r="F71" s="65"/>
      <c r="H71" s="150"/>
    </row>
    <row r="72" spans="1:8" ht="12.75" customHeight="1" x14ac:dyDescent="0.2">
      <c r="A72" s="183" t="s">
        <v>55</v>
      </c>
      <c r="B72" s="183" t="s">
        <v>65</v>
      </c>
      <c r="C72" s="185" t="s">
        <v>66</v>
      </c>
      <c r="D72" s="186"/>
      <c r="E72" s="187" t="s">
        <v>56</v>
      </c>
      <c r="F72" s="65"/>
      <c r="H72" s="150"/>
    </row>
    <row r="73" spans="1:8" x14ac:dyDescent="0.2">
      <c r="A73" s="184"/>
      <c r="B73" s="184"/>
      <c r="C73" s="117" t="s">
        <v>62</v>
      </c>
      <c r="D73" s="118" t="s">
        <v>63</v>
      </c>
      <c r="E73" s="188"/>
      <c r="F73" s="65"/>
      <c r="H73" s="150"/>
    </row>
    <row r="74" spans="1:8" x14ac:dyDescent="0.2">
      <c r="A74" s="110" t="s">
        <v>12</v>
      </c>
      <c r="B74" s="119">
        <f>($F$36/'Enter field data'!$F$54)</f>
        <v>0.22556390977443608</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0.13533834586466165</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0.63909774436090228</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4" t="s">
        <v>944</v>
      </c>
      <c r="B82" s="203"/>
      <c r="C82" s="203"/>
      <c r="D82" s="203"/>
      <c r="E82" s="203"/>
      <c r="F82" s="203"/>
      <c r="G82" s="203"/>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6" t="s">
        <v>816</v>
      </c>
      <c r="B88" s="71" t="s">
        <v>817</v>
      </c>
      <c r="C88" s="72"/>
      <c r="D88" s="73" t="e">
        <f>'Weather Results'!$C$17</f>
        <v>#DIV/0!</v>
      </c>
      <c r="H88" s="150"/>
    </row>
    <row r="89" spans="1:23" x14ac:dyDescent="0.2">
      <c r="A89" s="206"/>
      <c r="B89" s="71" t="s">
        <v>818</v>
      </c>
      <c r="C89" s="72"/>
      <c r="D89" s="73">
        <f>'Weather Results'!$C$18</f>
        <v>15.475143999999998</v>
      </c>
      <c r="H89" s="150"/>
    </row>
    <row r="90" spans="1:23" x14ac:dyDescent="0.2">
      <c r="A90" s="206"/>
      <c r="B90" s="71" t="s">
        <v>819</v>
      </c>
      <c r="C90" s="72"/>
      <c r="D90" s="73">
        <f>'Weather Results'!$C$19</f>
        <v>18.907337999999999</v>
      </c>
      <c r="H90" s="150"/>
    </row>
    <row r="91" spans="1:23" x14ac:dyDescent="0.2">
      <c r="A91" s="206"/>
      <c r="B91" s="74" t="s">
        <v>820</v>
      </c>
      <c r="C91" s="72"/>
      <c r="D91" s="75" t="e">
        <f>'Weather Results'!$C$20</f>
        <v>#DIV/0!</v>
      </c>
      <c r="H91" s="150"/>
    </row>
    <row r="92" spans="1:23" x14ac:dyDescent="0.2">
      <c r="H92" s="150"/>
    </row>
    <row r="93" spans="1:23" ht="12.75" customHeight="1" x14ac:dyDescent="0.2">
      <c r="A93" s="205" t="s">
        <v>821</v>
      </c>
      <c r="B93" s="71" t="s">
        <v>822</v>
      </c>
      <c r="C93" s="72"/>
      <c r="D93" s="73" t="e">
        <f>'Weather Results'!$C$22</f>
        <v>#DIV/0!</v>
      </c>
      <c r="H93" s="150"/>
    </row>
    <row r="94" spans="1:23" x14ac:dyDescent="0.2">
      <c r="A94" s="205"/>
      <c r="B94" s="71" t="s">
        <v>823</v>
      </c>
      <c r="C94" s="72"/>
      <c r="D94" s="73" t="e">
        <f>'Weather Results'!$C$23</f>
        <v>#DIV/0!</v>
      </c>
      <c r="H94" s="150"/>
    </row>
    <row r="95" spans="1:23" x14ac:dyDescent="0.2">
      <c r="A95" s="205"/>
      <c r="B95" s="71" t="s">
        <v>824</v>
      </c>
      <c r="C95" s="72"/>
      <c r="D95" s="73" t="e">
        <f>'Weather Results'!$C$24</f>
        <v>#DIV/0!</v>
      </c>
      <c r="H95" s="150"/>
    </row>
    <row r="96" spans="1:23" x14ac:dyDescent="0.2">
      <c r="A96" s="205"/>
      <c r="B96" s="71" t="s">
        <v>825</v>
      </c>
      <c r="C96" s="72"/>
      <c r="D96" s="73" t="e">
        <f>'Weather Results'!$C$25</f>
        <v>#DIV/0!</v>
      </c>
      <c r="H96" s="150"/>
    </row>
    <row r="97" spans="1:8" x14ac:dyDescent="0.2">
      <c r="A97" s="205"/>
      <c r="B97" s="71" t="s">
        <v>826</v>
      </c>
      <c r="C97" s="72"/>
      <c r="D97" s="73" t="e">
        <f>'Weather Results'!$C$26</f>
        <v>#DIV/0!</v>
      </c>
      <c r="H97" s="150"/>
    </row>
    <row r="98" spans="1:8" x14ac:dyDescent="0.2">
      <c r="A98" s="205"/>
      <c r="B98" s="71" t="s">
        <v>827</v>
      </c>
      <c r="C98" s="72"/>
      <c r="D98" s="73">
        <f>'Weather Results'!$C$27</f>
        <v>1.9472148</v>
      </c>
      <c r="H98" s="150"/>
    </row>
    <row r="99" spans="1:8" x14ac:dyDescent="0.2">
      <c r="A99" s="205"/>
      <c r="B99" s="71" t="s">
        <v>828</v>
      </c>
      <c r="C99" s="72"/>
      <c r="D99" s="73">
        <f>'Weather Results'!$C$28</f>
        <v>4.6019646000000005</v>
      </c>
      <c r="H99" s="150"/>
    </row>
    <row r="100" spans="1:8" x14ac:dyDescent="0.2">
      <c r="A100" s="205"/>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1" t="s">
        <v>947</v>
      </c>
      <c r="B103" s="202"/>
      <c r="C103" s="202"/>
      <c r="D103" s="202"/>
      <c r="E103" s="202"/>
      <c r="F103" s="203"/>
      <c r="G103" s="203"/>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1"/>
      <c r="B108" s="203"/>
      <c r="C108" s="203"/>
      <c r="D108" s="203"/>
      <c r="E108" s="203"/>
      <c r="F108" s="203"/>
      <c r="G108" s="203"/>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41443</v>
      </c>
    </row>
    <row r="2" spans="1:5" s="39" customFormat="1" x14ac:dyDescent="0.25">
      <c r="A2" s="214"/>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20130618</v>
      </c>
    </row>
    <row r="5" spans="1:5" hidden="1" x14ac:dyDescent="0.25">
      <c r="A5" s="37"/>
      <c r="B5" s="37" t="s">
        <v>805</v>
      </c>
      <c r="C5" s="50" t="str">
        <f>CONCATENATE(YEAR(C1-30),IF(MONTH(C1-30)&lt;10,"0"&amp;MONTH(C1-30),MONTH(C1-30)),IF(DAY(C1-30)&lt;10,"0"&amp;DAY(C1-30),DAY(C1-30)))</f>
        <v>20130519</v>
      </c>
    </row>
    <row r="6" spans="1:5" hidden="1" x14ac:dyDescent="0.25">
      <c r="A6" s="37"/>
      <c r="B6" s="37" t="s">
        <v>806</v>
      </c>
      <c r="C6" s="50" t="str">
        <f>CONCATENATE(YEAR(C1-90),IF(MONTH(C1-90)&lt;10,"0"&amp;MONTH(C1-90),MONTH(C1-90)),IF(DAY(C1-90)&lt;10,"0"&amp;DAY(C1-90),DAY(C1-90)))</f>
        <v>20130320</v>
      </c>
    </row>
    <row r="7" spans="1:5" hidden="1" x14ac:dyDescent="0.25">
      <c r="A7" s="37"/>
      <c r="B7" s="37" t="s">
        <v>807</v>
      </c>
      <c r="C7" s="50" t="str">
        <f>CONCATENATE(YEAR(C1-365),IF(MONTH(C1-365)&lt;10,"0"&amp;MONTH(C1-365),MONTH(C1-365)),IF(DAY(C1-365)&lt;10,"0"&amp;DAY(C1-365),DAY(C1-365)))</f>
        <v>20120618</v>
      </c>
    </row>
    <row r="8" spans="1:5" hidden="1" x14ac:dyDescent="0.25">
      <c r="A8" s="37"/>
      <c r="B8" s="37" t="s">
        <v>808</v>
      </c>
      <c r="C8" s="50" t="str">
        <f>CONCATENATE(YEAR(C1-1460),IF(MONTH(C1-1460)&lt;10,"0"&amp;MONTH(C1-1460),MONTH(C1-1460)),IF(DAY(C1-1460)&lt;10,"0"&amp;DAY(C1-1460),DAY(C1-1460)))</f>
        <v>20090619</v>
      </c>
    </row>
    <row r="9" spans="1:5" hidden="1" x14ac:dyDescent="0.25">
      <c r="A9" s="37"/>
      <c r="B9" s="37" t="s">
        <v>809</v>
      </c>
      <c r="C9" s="50">
        <f>IF(MONTH($C$1)=4,DAY($C$1),0)+IF(MONTH($C$1)=5,30-DAY($C$1),0)</f>
        <v>0</v>
      </c>
    </row>
    <row r="10" spans="1:5" hidden="1" x14ac:dyDescent="0.25">
      <c r="A10" s="37"/>
      <c r="B10" s="37" t="s">
        <v>810</v>
      </c>
      <c r="C10" s="50">
        <f>IF(MONTH($C$1)=5,DAY($C$1),0)+IF(MONTH($C$1)=6,30-DAY($C$1),0)</f>
        <v>12</v>
      </c>
    </row>
    <row r="11" spans="1:5" hidden="1" x14ac:dyDescent="0.25">
      <c r="A11" s="37"/>
      <c r="B11" s="37" t="s">
        <v>811</v>
      </c>
      <c r="C11" s="50">
        <f>IF(MONTH($C$1)=6,DAY($C$1),0)+IF(MONTH($C$1)=7,30-DAY($C$1),0)</f>
        <v>18</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15.475143999999998</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18.907337999999999</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1.9472148</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4.6019646000000005</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9" sqref="A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2017-06-12T15:28:42Z</cp:lastPrinted>
  <dcterms:created xsi:type="dcterms:W3CDTF">2013-05-15T16:35:53Z</dcterms:created>
  <dcterms:modified xsi:type="dcterms:W3CDTF">2017-06-12T18:33:54Z</dcterms:modified>
</cp:coreProperties>
</file>