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showInkAnnotation="0" autoCompressPictures="0"/>
  <bookViews>
    <workbookView xWindow="2535" yWindow="990" windowWidth="21795" windowHeight="13650" tabRatio="500" activeTab="2"/>
  </bookViews>
  <sheets>
    <sheet name="Raw Data" sheetId="1" r:id="rId1"/>
    <sheet name="Background" sheetId="2" r:id="rId2"/>
    <sheet name="Dating" sheetId="3" r:id="rId3"/>
  </sheets>
  <definedNames>
    <definedName name="_Act209">3.577</definedName>
    <definedName name="_Nu2">37</definedName>
    <definedName name="Aext">Dating!$M$41</definedName>
    <definedName name="Ao">Dating!$A$11</definedName>
    <definedName name="back209">{0.00252;0.00215;0.0057;0.00094;0.00215;0.00074;0.00255;0.00416;0.00108;0.00487;0.00224;0.00124;0.0041;0.00588;0.00278;0.00247;0.00046;0.00023;0.00054;0.00054;0.00046;0.00029;0.00062;0.0007}</definedName>
    <definedName name="back210">{0.00039;0.0002;0.00034;0.00034;0.00034;0.0004;0.00013;0.0002;0.00031;0.00054;0.00031;0.00031;0.00031;0.00015;0.00015;0.00023;0.00008;0.00015;0.00031;0.00015;0.00008;0.00039;0.00015;0.00031}</definedName>
    <definedName name="Cext">Dating!$J$42</definedName>
    <definedName name="Ci">Dating!$M$56:$M$63</definedName>
    <definedName name="Co">Dating!$J$5</definedName>
    <definedName name="Coring_Date">40067</definedName>
    <definedName name="Count_Date">40284</definedName>
    <definedName name="_xlnm.Criteria" localSheetId="2">Dating!$B$1:$S$2</definedName>
    <definedName name="Cs">Dating!$A$8</definedName>
    <definedName name="_xlnm.Database" localSheetId="2">Dating!$B$3:$S$54</definedName>
    <definedName name="dCs">Dating!$A$9</definedName>
    <definedName name="delAo">Dating!$P$4</definedName>
    <definedName name="efficiency">{16.91;17.05;16.67;17.13;17.64;17.53;17.42;17.24;17.1;16.31;16.9;17.31;17.38;17.45;14.95;17.36;17.17;17.6;17.34;16.86;16.66;16.16;17.06;17.02}</definedName>
    <definedName name="k">0.03114</definedName>
    <definedName name="Lext">Dating!$I$42</definedName>
    <definedName name="Li">Dating!$L$56:$L$63</definedName>
    <definedName name="Lmax">Dating!$I$41</definedName>
    <definedName name="mb">{-0.223436854023626,1.75374579100699}</definedName>
    <definedName name="Nr">8</definedName>
    <definedName name="Ns">5</definedName>
    <definedName name="Nu">19</definedName>
    <definedName name="_xlnm.Print_Area" localSheetId="2">Dating!$U$1:$AE$33</definedName>
    <definedName name="_xlnm.Print_Area" localSheetId="0">'Raw Data'!$C$1:$V$33</definedName>
    <definedName name="_xlnm.Print_Titles" localSheetId="0">'Raw Data'!$B:$B</definedName>
    <definedName name="Ref">40218</definedName>
  </definedNames>
  <calcPr calcId="145621" iterate="1" iterateCount="2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6" i="3" l="1"/>
  <c r="J5" i="3"/>
  <c r="I5" i="3"/>
  <c r="H6" i="3"/>
  <c r="E6" i="3"/>
  <c r="D6" i="3"/>
  <c r="I6" i="3"/>
  <c r="I7" i="3"/>
  <c r="H8" i="3"/>
  <c r="E8" i="3"/>
  <c r="D8" i="3"/>
  <c r="I8" i="3"/>
  <c r="I9" i="3"/>
  <c r="H10" i="3"/>
  <c r="E10" i="3"/>
  <c r="D10" i="3"/>
  <c r="I10" i="3"/>
  <c r="I11" i="3"/>
  <c r="H12" i="3"/>
  <c r="E12" i="3"/>
  <c r="D12" i="3"/>
  <c r="I12" i="3"/>
  <c r="I13" i="3"/>
  <c r="H14" i="3"/>
  <c r="E14" i="3"/>
  <c r="D14" i="3"/>
  <c r="I14" i="3"/>
  <c r="I15" i="3"/>
  <c r="H16" i="3"/>
  <c r="E16" i="3"/>
  <c r="D16" i="3"/>
  <c r="I16" i="3"/>
  <c r="I17" i="3"/>
  <c r="H18" i="3"/>
  <c r="E18" i="3"/>
  <c r="D18" i="3"/>
  <c r="I18" i="3"/>
  <c r="I19" i="3"/>
  <c r="H20" i="3"/>
  <c r="E20" i="3"/>
  <c r="D20" i="3"/>
  <c r="I20" i="3"/>
  <c r="I21" i="3"/>
  <c r="H22" i="3"/>
  <c r="E22" i="3"/>
  <c r="D22" i="3"/>
  <c r="I22" i="3"/>
  <c r="I23" i="3"/>
  <c r="H24" i="3"/>
  <c r="E24" i="3"/>
  <c r="D24" i="3"/>
  <c r="I24" i="3"/>
  <c r="I25" i="3"/>
  <c r="H26" i="3"/>
  <c r="E26" i="3"/>
  <c r="D26" i="3"/>
  <c r="I26" i="3"/>
  <c r="I27" i="3"/>
  <c r="H28" i="3"/>
  <c r="E28" i="3"/>
  <c r="D28" i="3"/>
  <c r="I28" i="3"/>
  <c r="I29" i="3"/>
  <c r="H30" i="3"/>
  <c r="E30" i="3"/>
  <c r="D30" i="3"/>
  <c r="I30" i="3"/>
  <c r="I31" i="3"/>
  <c r="H32" i="3"/>
  <c r="E32" i="3"/>
  <c r="D32" i="3"/>
  <c r="I32" i="3"/>
  <c r="I33" i="3"/>
  <c r="H34" i="3"/>
  <c r="E34" i="3"/>
  <c r="D34" i="3"/>
  <c r="I34" i="3"/>
  <c r="I35" i="3"/>
  <c r="H36" i="3"/>
  <c r="E36" i="3"/>
  <c r="D36" i="3"/>
  <c r="I36" i="3"/>
  <c r="I37" i="3"/>
  <c r="H38" i="3"/>
  <c r="E38" i="3"/>
  <c r="D38" i="3"/>
  <c r="I38" i="3"/>
  <c r="I39" i="3"/>
  <c r="H40" i="3"/>
  <c r="E40" i="3"/>
  <c r="D40" i="3"/>
  <c r="I40" i="3"/>
  <c r="I41" i="3"/>
  <c r="J42" i="3" a="1"/>
  <c r="J42" i="3"/>
  <c r="L43" i="3"/>
  <c r="I42" i="3" a="1"/>
  <c r="I42" i="3"/>
  <c r="M41" i="3"/>
  <c r="J41" i="3"/>
  <c r="L41" i="3"/>
  <c r="M40" i="3"/>
  <c r="C40" i="3"/>
  <c r="F40" i="3"/>
  <c r="J40" i="3"/>
  <c r="L40" i="3"/>
  <c r="M39" i="3"/>
  <c r="J39" i="3"/>
  <c r="L39" i="3"/>
  <c r="M38" i="3"/>
  <c r="C38" i="3"/>
  <c r="F38" i="3"/>
  <c r="J38" i="3"/>
  <c r="L38" i="3"/>
  <c r="M37" i="3"/>
  <c r="J37" i="3"/>
  <c r="L37" i="3"/>
  <c r="M36" i="3"/>
  <c r="C36" i="3"/>
  <c r="F36" i="3"/>
  <c r="J36" i="3"/>
  <c r="L36" i="3"/>
  <c r="M35" i="3"/>
  <c r="J35" i="3"/>
  <c r="L35" i="3"/>
  <c r="M34" i="3"/>
  <c r="C34" i="3"/>
  <c r="F34" i="3"/>
  <c r="J34" i="3"/>
  <c r="L34" i="3"/>
  <c r="M33" i="3"/>
  <c r="J33" i="3"/>
  <c r="L33" i="3"/>
  <c r="M32" i="3"/>
  <c r="C32" i="3"/>
  <c r="F32" i="3"/>
  <c r="J32" i="3"/>
  <c r="L32" i="3"/>
  <c r="M31" i="3"/>
  <c r="J31" i="3"/>
  <c r="L31" i="3"/>
  <c r="M30" i="3"/>
  <c r="C30" i="3"/>
  <c r="F30" i="3"/>
  <c r="J30" i="3"/>
  <c r="L30" i="3"/>
  <c r="M29" i="3"/>
  <c r="J29" i="3"/>
  <c r="L29" i="3"/>
  <c r="M28" i="3"/>
  <c r="C28" i="3"/>
  <c r="F28" i="3"/>
  <c r="J28" i="3"/>
  <c r="L28" i="3"/>
  <c r="M27" i="3"/>
  <c r="J27" i="3"/>
  <c r="L27" i="3"/>
  <c r="M26" i="3"/>
  <c r="C26" i="3"/>
  <c r="F26" i="3"/>
  <c r="J26" i="3"/>
  <c r="L26" i="3"/>
  <c r="M25" i="3"/>
  <c r="J25" i="3"/>
  <c r="L25" i="3"/>
  <c r="M24" i="3"/>
  <c r="C24" i="3"/>
  <c r="F24" i="3"/>
  <c r="J24" i="3"/>
  <c r="L24" i="3"/>
  <c r="M23" i="3"/>
  <c r="J23" i="3"/>
  <c r="L23" i="3"/>
  <c r="M22" i="3"/>
  <c r="C22" i="3"/>
  <c r="F22" i="3"/>
  <c r="J22" i="3"/>
  <c r="L22" i="3"/>
  <c r="M21" i="3"/>
  <c r="J21" i="3"/>
  <c r="L21" i="3"/>
  <c r="M20" i="3"/>
  <c r="C20" i="3"/>
  <c r="F20" i="3"/>
  <c r="J20" i="3"/>
  <c r="L20" i="3"/>
  <c r="M19" i="3"/>
  <c r="J19" i="3"/>
  <c r="L19" i="3"/>
  <c r="M18" i="3"/>
  <c r="C18" i="3"/>
  <c r="F18" i="3"/>
  <c r="J18" i="3"/>
  <c r="L18" i="3"/>
  <c r="M17" i="3"/>
  <c r="J17" i="3"/>
  <c r="L17" i="3"/>
  <c r="M16" i="3"/>
  <c r="C16" i="3"/>
  <c r="F16" i="3"/>
  <c r="J16" i="3"/>
  <c r="L16" i="3"/>
  <c r="M15" i="3"/>
  <c r="J15" i="3"/>
  <c r="L15" i="3"/>
  <c r="M14" i="3"/>
  <c r="C14" i="3"/>
  <c r="F14" i="3"/>
  <c r="J14" i="3"/>
  <c r="L14" i="3"/>
  <c r="M13" i="3"/>
  <c r="J13" i="3"/>
  <c r="L13" i="3"/>
  <c r="M12" i="3"/>
  <c r="C12" i="3"/>
  <c r="F12" i="3"/>
  <c r="J12" i="3"/>
  <c r="L12" i="3"/>
  <c r="M11" i="3"/>
  <c r="J11" i="3"/>
  <c r="L11" i="3"/>
  <c r="M10" i="3"/>
  <c r="C10" i="3"/>
  <c r="F10" i="3"/>
  <c r="J10" i="3"/>
  <c r="L10" i="3"/>
  <c r="M9" i="3"/>
  <c r="J9" i="3"/>
  <c r="L9" i="3"/>
  <c r="M8" i="3"/>
  <c r="C8" i="3"/>
  <c r="F8" i="3"/>
  <c r="J8" i="3"/>
  <c r="L8" i="3"/>
  <c r="M7" i="3"/>
  <c r="J58" i="3"/>
  <c r="J7" i="3"/>
  <c r="L7" i="3"/>
  <c r="M6" i="3"/>
  <c r="C6" i="3"/>
  <c r="J57" i="3"/>
  <c r="J6" i="3"/>
  <c r="L6" i="3"/>
  <c r="M5" i="3"/>
  <c r="L5" i="3"/>
  <c r="M4" i="3"/>
  <c r="A11" i="3"/>
  <c r="A13" i="3"/>
  <c r="AB26" i="3"/>
  <c r="AB25" i="3"/>
  <c r="U26" i="3"/>
  <c r="U25" i="3"/>
  <c r="R5" i="3"/>
  <c r="K56" i="3"/>
  <c r="K5" i="3"/>
  <c r="M43" i="3" a="1"/>
  <c r="N45" i="3"/>
  <c r="M47" i="3"/>
  <c r="M43" i="3"/>
  <c r="L45" i="3"/>
  <c r="N41" i="3"/>
  <c r="K41" i="3"/>
  <c r="N40" i="3"/>
  <c r="G40" i="3"/>
  <c r="K40" i="3"/>
  <c r="N39" i="3"/>
  <c r="K39" i="3"/>
  <c r="N38" i="3"/>
  <c r="G38" i="3"/>
  <c r="K38" i="3"/>
  <c r="N37" i="3"/>
  <c r="K37" i="3"/>
  <c r="N36" i="3"/>
  <c r="G36" i="3"/>
  <c r="K36" i="3"/>
  <c r="N35" i="3"/>
  <c r="K35" i="3"/>
  <c r="N34" i="3"/>
  <c r="G34" i="3"/>
  <c r="K34" i="3"/>
  <c r="N33" i="3"/>
  <c r="K33" i="3"/>
  <c r="N32" i="3"/>
  <c r="G32" i="3"/>
  <c r="K32" i="3"/>
  <c r="N31" i="3"/>
  <c r="K31" i="3"/>
  <c r="N30" i="3"/>
  <c r="G30" i="3"/>
  <c r="K30" i="3"/>
  <c r="N29" i="3"/>
  <c r="K29" i="3"/>
  <c r="N28" i="3"/>
  <c r="G28" i="3"/>
  <c r="K28" i="3"/>
  <c r="N27" i="3"/>
  <c r="K27" i="3"/>
  <c r="N26" i="3"/>
  <c r="G26" i="3"/>
  <c r="K26" i="3"/>
  <c r="N25" i="3"/>
  <c r="K25" i="3"/>
  <c r="N24" i="3"/>
  <c r="G24" i="3"/>
  <c r="K24" i="3"/>
  <c r="N23" i="3"/>
  <c r="K23" i="3"/>
  <c r="N22" i="3"/>
  <c r="G22" i="3"/>
  <c r="K22" i="3"/>
  <c r="N21" i="3"/>
  <c r="K21" i="3"/>
  <c r="N20" i="3"/>
  <c r="G20" i="3"/>
  <c r="K20" i="3"/>
  <c r="N19" i="3"/>
  <c r="K19" i="3"/>
  <c r="N18" i="3"/>
  <c r="G18" i="3"/>
  <c r="K18" i="3"/>
  <c r="N17" i="3"/>
  <c r="K17" i="3"/>
  <c r="N16" i="3"/>
  <c r="G16" i="3"/>
  <c r="K16" i="3"/>
  <c r="N15" i="3"/>
  <c r="K15" i="3"/>
  <c r="N14" i="3"/>
  <c r="G14" i="3"/>
  <c r="K14" i="3"/>
  <c r="N13" i="3"/>
  <c r="K13" i="3"/>
  <c r="N12" i="3"/>
  <c r="G12" i="3"/>
  <c r="K12" i="3"/>
  <c r="N11" i="3"/>
  <c r="K11" i="3"/>
  <c r="N10" i="3"/>
  <c r="G10" i="3"/>
  <c r="K10" i="3"/>
  <c r="N9" i="3"/>
  <c r="K9" i="3"/>
  <c r="N8" i="3"/>
  <c r="G8" i="3"/>
  <c r="K8" i="3"/>
  <c r="N7" i="3"/>
  <c r="K58" i="3"/>
  <c r="K7" i="3"/>
  <c r="N6" i="3"/>
  <c r="K57" i="3"/>
  <c r="K6" i="3"/>
  <c r="N5" i="3"/>
  <c r="S5" i="3"/>
  <c r="R6" i="3"/>
  <c r="S6" i="3"/>
  <c r="R7" i="3"/>
  <c r="S7" i="3"/>
  <c r="R8" i="3"/>
  <c r="S8" i="3"/>
  <c r="R9" i="3"/>
  <c r="S9" i="3"/>
  <c r="R10" i="3"/>
  <c r="S10" i="3"/>
  <c r="R11" i="3"/>
  <c r="S11" i="3"/>
  <c r="R12" i="3"/>
  <c r="S12" i="3"/>
  <c r="R13" i="3"/>
  <c r="S13" i="3"/>
  <c r="R14" i="3"/>
  <c r="S14" i="3"/>
  <c r="R15" i="3"/>
  <c r="S15" i="3"/>
  <c r="R16" i="3"/>
  <c r="S16" i="3"/>
  <c r="R17" i="3"/>
  <c r="S17" i="3"/>
  <c r="R18" i="3"/>
  <c r="S18" i="3"/>
  <c r="R19" i="3"/>
  <c r="S19" i="3"/>
  <c r="R20" i="3"/>
  <c r="S20" i="3"/>
  <c r="R21" i="3"/>
  <c r="S21" i="3"/>
  <c r="R22" i="3"/>
  <c r="S22" i="3"/>
  <c r="R23" i="3"/>
  <c r="S23" i="3"/>
  <c r="R24" i="3"/>
  <c r="S24" i="3"/>
  <c r="R25" i="3"/>
  <c r="S25" i="3"/>
  <c r="R26" i="3"/>
  <c r="S26" i="3"/>
  <c r="R27" i="3"/>
  <c r="S27" i="3"/>
  <c r="R28" i="3"/>
  <c r="S28" i="3"/>
  <c r="R29" i="3"/>
  <c r="S29" i="3"/>
  <c r="R30" i="3"/>
  <c r="S30" i="3"/>
  <c r="R31" i="3"/>
  <c r="S31" i="3"/>
  <c r="R32" i="3"/>
  <c r="S32" i="3"/>
  <c r="R33" i="3"/>
  <c r="S33" i="3"/>
  <c r="R34" i="3"/>
  <c r="S34" i="3"/>
  <c r="R35" i="3"/>
  <c r="S35" i="3"/>
  <c r="R36" i="3"/>
  <c r="S36" i="3"/>
  <c r="R37" i="3"/>
  <c r="S37" i="3"/>
  <c r="R38" i="3"/>
  <c r="S38" i="3"/>
  <c r="R39" i="3"/>
  <c r="S39" i="3"/>
  <c r="R40" i="3"/>
  <c r="S40" i="3"/>
  <c r="R41" i="3"/>
  <c r="S41" i="3"/>
  <c r="O5" i="3"/>
  <c r="Q5" i="3"/>
  <c r="O6" i="3"/>
  <c r="Q6" i="3"/>
  <c r="O7" i="3"/>
  <c r="Q7" i="3"/>
  <c r="O8" i="3"/>
  <c r="Q8" i="3"/>
  <c r="O9" i="3"/>
  <c r="Q9" i="3"/>
  <c r="O10" i="3"/>
  <c r="Q10" i="3"/>
  <c r="O11" i="3"/>
  <c r="Q11" i="3"/>
  <c r="O12" i="3"/>
  <c r="Q12" i="3"/>
  <c r="O13" i="3"/>
  <c r="Q13" i="3"/>
  <c r="O14" i="3"/>
  <c r="Q14" i="3"/>
  <c r="O15" i="3"/>
  <c r="Q15" i="3"/>
  <c r="O16" i="3"/>
  <c r="Q16" i="3"/>
  <c r="O17" i="3"/>
  <c r="Q17" i="3"/>
  <c r="O18" i="3"/>
  <c r="Q18" i="3"/>
  <c r="O19" i="3"/>
  <c r="Q19" i="3"/>
  <c r="O20" i="3"/>
  <c r="Q20" i="3"/>
  <c r="O21" i="3"/>
  <c r="Q21" i="3"/>
  <c r="O22" i="3"/>
  <c r="Q22" i="3"/>
  <c r="O23" i="3"/>
  <c r="Q23" i="3"/>
  <c r="O24" i="3"/>
  <c r="Q24" i="3"/>
  <c r="O25" i="3"/>
  <c r="Q25" i="3"/>
  <c r="O26" i="3"/>
  <c r="Q26" i="3"/>
  <c r="O27" i="3"/>
  <c r="Q27" i="3"/>
  <c r="O28" i="3"/>
  <c r="Q28" i="3"/>
  <c r="O29" i="3"/>
  <c r="Q29" i="3"/>
  <c r="O30" i="3"/>
  <c r="Q30" i="3"/>
  <c r="O31" i="3"/>
  <c r="Q31" i="3"/>
  <c r="O32" i="3"/>
  <c r="Q32" i="3"/>
  <c r="O33" i="3"/>
  <c r="Q33" i="3"/>
  <c r="O34" i="3"/>
  <c r="Q34" i="3"/>
  <c r="O35" i="3"/>
  <c r="Q35" i="3"/>
  <c r="O36" i="3"/>
  <c r="Q36" i="3"/>
  <c r="O37" i="3"/>
  <c r="Q37" i="3"/>
  <c r="O38" i="3"/>
  <c r="Q38" i="3"/>
  <c r="O39" i="3"/>
  <c r="Q39" i="3"/>
  <c r="O40" i="3"/>
  <c r="Q40" i="3"/>
  <c r="O41" i="3"/>
  <c r="Q41" i="3"/>
  <c r="N4" i="3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K42" i="3"/>
  <c r="N43" i="3"/>
  <c r="M44" i="3"/>
  <c r="N44" i="3"/>
  <c r="M45" i="3"/>
  <c r="M46" i="3"/>
  <c r="N46" i="3"/>
  <c r="N47" i="3"/>
  <c r="F6" i="3"/>
  <c r="G6" i="3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S3" i="1"/>
  <c r="T3" i="1"/>
  <c r="S4" i="1"/>
  <c r="T4" i="1"/>
  <c r="S5" i="1"/>
  <c r="T5" i="1"/>
  <c r="S6" i="1"/>
  <c r="T6" i="1"/>
  <c r="S7" i="1"/>
  <c r="T7" i="1"/>
  <c r="S8" i="1"/>
  <c r="T8" i="1"/>
  <c r="S9" i="1"/>
  <c r="T9" i="1"/>
  <c r="S10" i="1"/>
  <c r="T10" i="1"/>
  <c r="S11" i="1"/>
  <c r="T11" i="1"/>
  <c r="S12" i="1"/>
  <c r="T12" i="1"/>
  <c r="S13" i="1"/>
  <c r="T13" i="1"/>
  <c r="S14" i="1"/>
  <c r="T14" i="1"/>
  <c r="S15" i="1"/>
  <c r="T15" i="1"/>
  <c r="S16" i="1"/>
  <c r="T16" i="1"/>
  <c r="S17" i="1"/>
  <c r="T17" i="1"/>
  <c r="S18" i="1"/>
  <c r="T18" i="1"/>
  <c r="S19" i="1"/>
  <c r="T19" i="1"/>
  <c r="S20" i="1"/>
  <c r="T20" i="1"/>
  <c r="S21" i="1"/>
  <c r="T21" i="1"/>
  <c r="S22" i="1"/>
  <c r="T22" i="1"/>
  <c r="S23" i="1"/>
  <c r="T23" i="1"/>
  <c r="S24" i="1"/>
  <c r="T24" i="1"/>
  <c r="S25" i="1"/>
  <c r="T25" i="1"/>
  <c r="S26" i="1"/>
  <c r="T26" i="1"/>
</calcChain>
</file>

<file path=xl/sharedStrings.xml><?xml version="1.0" encoding="utf-8"?>
<sst xmlns="http://schemas.openxmlformats.org/spreadsheetml/2006/main" count="167" uniqueCount="114">
  <si>
    <t>Blake Lake 1A</t>
  </si>
  <si>
    <t>Polk Co, WI</t>
  </si>
  <si>
    <t>BL1A</t>
  </si>
  <si>
    <t>NEW</t>
  </si>
  <si>
    <t>Po-209 Spike Act:</t>
  </si>
  <si>
    <t>Reference Date:</t>
  </si>
  <si>
    <t>Background 25</t>
  </si>
  <si>
    <t>Detector</t>
  </si>
  <si>
    <t>209Po (dpm)</t>
  </si>
  <si>
    <t>210Po (dpm)</t>
  </si>
  <si>
    <t>Bkg Date</t>
  </si>
  <si>
    <t>% Efficiency</t>
  </si>
  <si>
    <t>Eff Date</t>
  </si>
  <si>
    <t>Code #</t>
  </si>
  <si>
    <t>Int. Top</t>
  </si>
  <si>
    <t>Int. Base</t>
  </si>
  <si>
    <t>Sed. Wt.</t>
  </si>
  <si>
    <t>Spike Wt.</t>
  </si>
  <si>
    <t>Extr. Date</t>
  </si>
  <si>
    <t>Rho</t>
  </si>
  <si>
    <t>Seg.No.</t>
  </si>
  <si>
    <t>Count Time</t>
  </si>
  <si>
    <t>Start Count</t>
  </si>
  <si>
    <t>End Count</t>
  </si>
  <si>
    <t>1st 209 Ch</t>
  </si>
  <si>
    <t>Nth 209 Ch</t>
  </si>
  <si>
    <t>1st 210 Ch</t>
  </si>
  <si>
    <t>Nth 210 Ch</t>
  </si>
  <si>
    <t>209 Counts</t>
  </si>
  <si>
    <t>210 Counts</t>
  </si>
  <si>
    <t>210 Act.</t>
  </si>
  <si>
    <t>∆210 Act.</t>
  </si>
  <si>
    <t>Plat. Effic.</t>
  </si>
  <si>
    <t>Series #</t>
  </si>
  <si>
    <t>(cm)</t>
  </si>
  <si>
    <t>(g dry)</t>
  </si>
  <si>
    <t>(g)</t>
  </si>
  <si>
    <t>(m/d/y)</t>
  </si>
  <si>
    <t>(g/cm3)</t>
  </si>
  <si>
    <t>(s)</t>
  </si>
  <si>
    <t>(pCi/g)</t>
  </si>
  <si>
    <t>(±s.d.)</t>
  </si>
  <si>
    <t>(%)</t>
  </si>
  <si>
    <t>BL1A-1</t>
  </si>
  <si>
    <t>BL1A-7</t>
  </si>
  <si>
    <t>BL1A-13</t>
  </si>
  <si>
    <t>BL1A-19</t>
  </si>
  <si>
    <t>BL1A-25</t>
  </si>
  <si>
    <t>BL1A-31</t>
  </si>
  <si>
    <t>BL1A-35</t>
  </si>
  <si>
    <t>BL1A-39</t>
  </si>
  <si>
    <t>BL1A-45</t>
  </si>
  <si>
    <t>BL1A-69</t>
  </si>
  <si>
    <t>BL1A-4</t>
  </si>
  <si>
    <t>BL1A-10</t>
  </si>
  <si>
    <t>BL1A-16</t>
  </si>
  <si>
    <t>BL1A-21</t>
  </si>
  <si>
    <t>BL1A-23</t>
  </si>
  <si>
    <t>BL1A-27</t>
  </si>
  <si>
    <t>BL1A-29</t>
  </si>
  <si>
    <t>BL1A-33</t>
  </si>
  <si>
    <t>BL1A-37</t>
  </si>
  <si>
    <t>BL1A-42</t>
  </si>
  <si>
    <t>BL1A-57</t>
  </si>
  <si>
    <t>BL1A-79</t>
  </si>
  <si>
    <t>BL1A-93</t>
  </si>
  <si>
    <t>BL1A-103</t>
  </si>
  <si>
    <t>Interpolate</t>
  </si>
  <si>
    <t>N</t>
  </si>
  <si>
    <t>Xt</t>
  </si>
  <si>
    <t>Xb</t>
  </si>
  <si>
    <t>Cti</t>
  </si>
  <si>
    <t>dCti</t>
  </si>
  <si>
    <t>Li</t>
  </si>
  <si>
    <t>Ci</t>
  </si>
  <si>
    <t>dCi</t>
  </si>
  <si>
    <t>Di</t>
  </si>
  <si>
    <t>Ai&lt;=0.05*Ao</t>
  </si>
  <si>
    <t>dAi</t>
  </si>
  <si>
    <t>Ti</t>
  </si>
  <si>
    <t>dTi</t>
  </si>
  <si>
    <t>Date</t>
  </si>
  <si>
    <t>Ri</t>
  </si>
  <si>
    <t>dRi</t>
  </si>
  <si>
    <t>=</t>
  </si>
  <si>
    <t>&gt;0</t>
  </si>
  <si>
    <t>Ai</t>
  </si>
  <si>
    <t>Int.</t>
  </si>
  <si>
    <t>Po/Pb-210</t>
  </si>
  <si>
    <t>Cti*</t>
  </si>
  <si>
    <t>dCti*</t>
  </si>
  <si>
    <t>Top of</t>
  </si>
  <si>
    <t>Interval</t>
  </si>
  <si>
    <t>Base of</t>
  </si>
  <si>
    <t>Cum.</t>
  </si>
  <si>
    <t>Dry Mass</t>
  </si>
  <si>
    <t>(g/cm2)</t>
  </si>
  <si>
    <t>Unsup.</t>
  </si>
  <si>
    <t>Activity</t>
  </si>
  <si>
    <t>Error of</t>
  </si>
  <si>
    <t>Unsup. Act.</t>
  </si>
  <si>
    <t>Cum. Act.</t>
  </si>
  <si>
    <t>below Int.</t>
  </si>
  <si>
    <t>(pCi/cm2)</t>
  </si>
  <si>
    <t>Age: Base</t>
  </si>
  <si>
    <t>of Int.</t>
  </si>
  <si>
    <t>(yr)</t>
  </si>
  <si>
    <t xml:space="preserve">Error of </t>
  </si>
  <si>
    <t>Age</t>
  </si>
  <si>
    <t>A.D.</t>
  </si>
  <si>
    <t>Sediment</t>
  </si>
  <si>
    <t>Accum.</t>
  </si>
  <si>
    <t>(g/cm2 yr)</t>
  </si>
  <si>
    <t>Sed. Accum.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</si>
</sst>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.####\ &quot;(pCi/g)&quot;"/>
    <numFmt numFmtId="165" formatCode="0.0000"/>
    <numFmt numFmtId="166" formatCode="0.0"/>
    <numFmt numFmtId="167" formatCode="&quot;Core:    &quot;m/d/yy"/>
    <numFmt numFmtId="168" formatCode="0.00000"/>
  </numFmts>
  <fonts count="6">
    <font>
      <sz val="10"/>
      <color theme="1"/>
      <name val="Geneva"/>
      <family val="2"/>
    </font>
    <font>
      <sz val="9"/>
      <name val="Geneva"/>
    </font>
    <font>
      <u/>
      <sz val="10"/>
      <color theme="10"/>
      <name val="Geneva"/>
      <family val="2"/>
    </font>
    <font>
      <u/>
      <sz val="10"/>
      <color theme="11"/>
      <name val="Geneva"/>
      <family val="2"/>
    </font>
    <font>
      <sz val="8"/>
      <name val="Geneva"/>
      <family val="2"/>
    </font>
    <font>
      <sz val="10"/>
      <name val="Geneva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3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Fill="1" applyBorder="1"/>
    <xf numFmtId="165" fontId="1" fillId="0" borderId="0" xfId="0" applyNumberFormat="1" applyFont="1" applyFill="1" applyBorder="1"/>
    <xf numFmtId="14" fontId="1" fillId="0" borderId="0" xfId="0" applyNumberFormat="1" applyFont="1" applyFill="1" applyBorder="1"/>
    <xf numFmtId="166" fontId="1" fillId="0" borderId="0" xfId="0" applyNumberFormat="1" applyFont="1" applyFill="1" applyBorder="1"/>
    <xf numFmtId="0" fontId="1" fillId="0" borderId="0" xfId="0" applyFont="1" applyBorder="1"/>
    <xf numFmtId="14" fontId="0" fillId="0" borderId="0" xfId="0" applyNumberFormat="1" applyFont="1" applyFill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6" xfId="0" applyBorder="1"/>
    <xf numFmtId="165" fontId="0" fillId="0" borderId="0" xfId="0" applyNumberFormat="1"/>
    <xf numFmtId="167" fontId="0" fillId="0" borderId="0" xfId="0" applyNumberFormat="1"/>
    <xf numFmtId="0" fontId="0" fillId="0" borderId="8" xfId="0" applyBorder="1"/>
    <xf numFmtId="0" fontId="0" fillId="0" borderId="1" xfId="0" applyBorder="1"/>
    <xf numFmtId="0" fontId="0" fillId="0" borderId="2" xfId="0" applyBorder="1"/>
    <xf numFmtId="0" fontId="0" fillId="0" borderId="9" xfId="0" applyBorder="1"/>
    <xf numFmtId="0" fontId="0" fillId="0" borderId="0" xfId="0" applyBorder="1"/>
    <xf numFmtId="0" fontId="0" fillId="0" borderId="11" xfId="0" applyBorder="1"/>
    <xf numFmtId="0" fontId="0" fillId="0" borderId="3" xfId="0" applyBorder="1"/>
    <xf numFmtId="165" fontId="0" fillId="0" borderId="0" xfId="0" applyNumberFormat="1" applyBorder="1"/>
    <xf numFmtId="165" fontId="0" fillId="0" borderId="3" xfId="0" applyNumberFormat="1" applyBorder="1"/>
    <xf numFmtId="2" fontId="0" fillId="0" borderId="0" xfId="0" applyNumberFormat="1" applyBorder="1"/>
    <xf numFmtId="2" fontId="0" fillId="0" borderId="3" xfId="0" applyNumberFormat="1" applyBorder="1"/>
    <xf numFmtId="166" fontId="0" fillId="0" borderId="0" xfId="0" applyNumberFormat="1" applyBorder="1"/>
    <xf numFmtId="166" fontId="0" fillId="0" borderId="3" xfId="0" applyNumberFormat="1" applyBorder="1"/>
    <xf numFmtId="168" fontId="0" fillId="0" borderId="10" xfId="0" applyNumberFormat="1" applyBorder="1"/>
    <xf numFmtId="168" fontId="0" fillId="0" borderId="4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5" fillId="0" borderId="7" xfId="0" applyFont="1" applyBorder="1"/>
  </cellXfs>
  <cellStyles count="4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Sediment Accum. Blake Lake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Dating!$AD$1:$AD$2</c:f>
              <c:strCache>
                <c:ptCount val="1"/>
                <c:pt idx="0">
                  <c:v>Sediment Accum.</c:v>
                </c:pt>
              </c:strCache>
            </c:strRef>
          </c:tx>
          <c:spPr>
            <a:ln w="28575">
              <a:solidFill>
                <a:schemeClr val="accent1"/>
              </a:solidFill>
            </a:ln>
          </c:spPr>
          <c:xVal>
            <c:numRef>
              <c:f>Dating!$AD$5:$AD$23</c:f>
              <c:numCache>
                <c:formatCode>0.0000</c:formatCode>
                <c:ptCount val="19"/>
                <c:pt idx="0">
                  <c:v>2.7099999999999999E-2</c:v>
                </c:pt>
                <c:pt idx="1">
                  <c:v>2.7799999999999998E-2</c:v>
                </c:pt>
                <c:pt idx="2">
                  <c:v>2.0299999999999999E-2</c:v>
                </c:pt>
                <c:pt idx="3">
                  <c:v>1.7399999999999999E-2</c:v>
                </c:pt>
                <c:pt idx="4">
                  <c:v>1.5900000000000001E-2</c:v>
                </c:pt>
                <c:pt idx="5">
                  <c:v>1.37E-2</c:v>
                </c:pt>
                <c:pt idx="6">
                  <c:v>1.3299999999999999E-2</c:v>
                </c:pt>
                <c:pt idx="7">
                  <c:v>1.2800000000000001E-2</c:v>
                </c:pt>
                <c:pt idx="8">
                  <c:v>1.23E-2</c:v>
                </c:pt>
                <c:pt idx="9">
                  <c:v>1.0999999999999999E-2</c:v>
                </c:pt>
                <c:pt idx="10">
                  <c:v>1.0500000000000001E-2</c:v>
                </c:pt>
                <c:pt idx="11">
                  <c:v>9.7000000000000003E-3</c:v>
                </c:pt>
                <c:pt idx="12">
                  <c:v>8.0999999999999996E-3</c:v>
                </c:pt>
                <c:pt idx="13">
                  <c:v>6.7000000000000002E-3</c:v>
                </c:pt>
                <c:pt idx="14">
                  <c:v>5.7000000000000002E-3</c:v>
                </c:pt>
                <c:pt idx="15">
                  <c:v>8.0000000000000002E-3</c:v>
                </c:pt>
                <c:pt idx="16">
                  <c:v>5.7000000000000002E-3</c:v>
                </c:pt>
                <c:pt idx="17">
                  <c:v>6.1000000000000004E-3</c:v>
                </c:pt>
                <c:pt idx="18">
                  <c:v>6.6E-3</c:v>
                </c:pt>
              </c:numCache>
            </c:numRef>
          </c:xVal>
          <c:yVal>
            <c:numRef>
              <c:f>Dating!$AC$5:$AC$23</c:f>
              <c:numCache>
                <c:formatCode>0.0</c:formatCode>
                <c:ptCount val="19"/>
                <c:pt idx="0">
                  <c:v>2012.6</c:v>
                </c:pt>
                <c:pt idx="1">
                  <c:v>2008.7</c:v>
                </c:pt>
                <c:pt idx="2">
                  <c:v>2003</c:v>
                </c:pt>
                <c:pt idx="3">
                  <c:v>1995.3</c:v>
                </c:pt>
                <c:pt idx="4">
                  <c:v>1986.7</c:v>
                </c:pt>
                <c:pt idx="5">
                  <c:v>1976</c:v>
                </c:pt>
                <c:pt idx="6">
                  <c:v>1963.4</c:v>
                </c:pt>
                <c:pt idx="7">
                  <c:v>1954.3</c:v>
                </c:pt>
                <c:pt idx="8">
                  <c:v>1944.6</c:v>
                </c:pt>
                <c:pt idx="9">
                  <c:v>1933.8</c:v>
                </c:pt>
                <c:pt idx="10">
                  <c:v>1922.5</c:v>
                </c:pt>
                <c:pt idx="11">
                  <c:v>1910.7</c:v>
                </c:pt>
                <c:pt idx="12">
                  <c:v>1897.5</c:v>
                </c:pt>
                <c:pt idx="13">
                  <c:v>1882.3</c:v>
                </c:pt>
                <c:pt idx="14">
                  <c:v>1865.5</c:v>
                </c:pt>
                <c:pt idx="15">
                  <c:v>1852.5</c:v>
                </c:pt>
                <c:pt idx="16">
                  <c:v>1838.1</c:v>
                </c:pt>
                <c:pt idx="17">
                  <c:v>1815</c:v>
                </c:pt>
                <c:pt idx="18">
                  <c:v>1792.8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684608"/>
        <c:axId val="63686528"/>
      </c:scatterChart>
      <c:valAx>
        <c:axId val="63684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g/cm</a:t>
                </a:r>
                <a:r>
                  <a:rPr lang="en-US" baseline="30000"/>
                  <a:t>2</a:t>
                </a:r>
                <a:r>
                  <a:rPr lang="en-US"/>
                  <a:t>yr</a:t>
                </a:r>
                <a:r>
                  <a:rPr lang="en-US" baseline="30000"/>
                  <a:t>-1</a:t>
                </a:r>
              </a:p>
            </c:rich>
          </c:tx>
          <c:layout/>
          <c:overlay val="0"/>
        </c:title>
        <c:numFmt formatCode="0.0000" sourceLinked="1"/>
        <c:majorTickMark val="out"/>
        <c:minorTickMark val="none"/>
        <c:tickLblPos val="nextTo"/>
        <c:crossAx val="63686528"/>
        <c:crosses val="autoZero"/>
        <c:crossBetween val="midCat"/>
      </c:valAx>
      <c:valAx>
        <c:axId val="636865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Date A.D.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636846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323850</xdr:colOff>
      <xdr:row>27</xdr:row>
      <xdr:rowOff>133349</xdr:rowOff>
    </xdr:from>
    <xdr:to>
      <xdr:col>28</xdr:col>
      <xdr:colOff>95250</xdr:colOff>
      <xdr:row>64</xdr:row>
      <xdr:rowOff>123825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workbookViewId="0">
      <selection activeCell="B27" sqref="B27"/>
    </sheetView>
  </sheetViews>
  <sheetFormatPr defaultColWidth="11.42578125" defaultRowHeight="12.75"/>
  <cols>
    <col min="1" max="1" width="15.7109375" customWidth="1"/>
    <col min="2" max="22" width="9" customWidth="1"/>
  </cols>
  <sheetData>
    <row r="1" spans="1:22">
      <c r="A1" t="s">
        <v>0</v>
      </c>
      <c r="B1" s="14" t="s">
        <v>13</v>
      </c>
      <c r="C1" s="10" t="s">
        <v>14</v>
      </c>
      <c r="D1" s="10" t="s">
        <v>15</v>
      </c>
      <c r="E1" s="10" t="s">
        <v>16</v>
      </c>
      <c r="F1" s="10" t="s">
        <v>17</v>
      </c>
      <c r="G1" s="10" t="s">
        <v>18</v>
      </c>
      <c r="H1" s="10" t="s">
        <v>19</v>
      </c>
      <c r="I1" s="10" t="s">
        <v>20</v>
      </c>
      <c r="J1" s="10" t="s">
        <v>21</v>
      </c>
      <c r="K1" s="10" t="s">
        <v>22</v>
      </c>
      <c r="L1" s="10" t="s">
        <v>23</v>
      </c>
      <c r="M1" s="10" t="s">
        <v>24</v>
      </c>
      <c r="N1" s="10" t="s">
        <v>25</v>
      </c>
      <c r="O1" s="10" t="s">
        <v>26</v>
      </c>
      <c r="P1" s="10" t="s">
        <v>27</v>
      </c>
      <c r="Q1" s="10" t="s">
        <v>28</v>
      </c>
      <c r="R1" s="10" t="s">
        <v>29</v>
      </c>
      <c r="S1" s="10" t="s">
        <v>30</v>
      </c>
      <c r="T1" s="10" t="s">
        <v>31</v>
      </c>
      <c r="U1" s="10" t="s">
        <v>32</v>
      </c>
      <c r="V1" s="11" t="s">
        <v>33</v>
      </c>
    </row>
    <row r="2" spans="1:22">
      <c r="A2" t="s">
        <v>1</v>
      </c>
      <c r="B2" s="15"/>
      <c r="C2" s="12" t="s">
        <v>34</v>
      </c>
      <c r="D2" s="12" t="s">
        <v>34</v>
      </c>
      <c r="E2" s="12" t="s">
        <v>35</v>
      </c>
      <c r="F2" s="12" t="s">
        <v>36</v>
      </c>
      <c r="G2" s="12" t="s">
        <v>37</v>
      </c>
      <c r="H2" s="12" t="s">
        <v>38</v>
      </c>
      <c r="I2" s="12"/>
      <c r="J2" s="12" t="s">
        <v>39</v>
      </c>
      <c r="K2" s="12" t="s">
        <v>37</v>
      </c>
      <c r="L2" s="12" t="s">
        <v>37</v>
      </c>
      <c r="M2" s="12"/>
      <c r="N2" s="12"/>
      <c r="O2" s="12"/>
      <c r="P2" s="12"/>
      <c r="Q2" s="12"/>
      <c r="R2" s="12"/>
      <c r="S2" s="12" t="s">
        <v>40</v>
      </c>
      <c r="T2" s="12" t="s">
        <v>41</v>
      </c>
      <c r="U2" s="12" t="s">
        <v>42</v>
      </c>
      <c r="V2" s="13"/>
    </row>
    <row r="3" spans="1:22">
      <c r="A3" t="s">
        <v>2</v>
      </c>
      <c r="B3" s="16" t="s">
        <v>43</v>
      </c>
      <c r="C3">
        <v>0</v>
      </c>
      <c r="D3">
        <v>1</v>
      </c>
      <c r="E3">
        <v>0.25979999999999998</v>
      </c>
      <c r="F3">
        <v>0.99680000000000002</v>
      </c>
      <c r="G3" s="1">
        <v>40284</v>
      </c>
      <c r="H3" s="19">
        <v>2.960325534079377E-2</v>
      </c>
      <c r="I3">
        <v>19</v>
      </c>
      <c r="J3">
        <v>65570</v>
      </c>
      <c r="K3" s="1">
        <v>40284</v>
      </c>
      <c r="L3" s="1">
        <v>40285</v>
      </c>
      <c r="M3">
        <v>151</v>
      </c>
      <c r="N3">
        <v>163</v>
      </c>
      <c r="O3">
        <v>237</v>
      </c>
      <c r="P3">
        <v>249</v>
      </c>
      <c r="Q3">
        <v>1184</v>
      </c>
      <c r="R3">
        <v>1627</v>
      </c>
      <c r="S3">
        <f t="shared" ref="S3:S26" si="0">ROUND((R3-(INDEX(back210,(I3))*J3/60))*_Act209*EXP(-0.000018605*((K3+L3)/2-Ref))*F3*EXP(0.005*((K3+L3)/2-G3))/((Q3-(INDEX(back209,(I3))*J3/60))*E3),4)</f>
        <v>18.888500000000001</v>
      </c>
      <c r="T3">
        <f t="shared" ref="T3:T26" si="1">ROUND(SQRT(1/(Q3-(INDEX(back209,(I3))*J3/60))+1/(R3-(INDEX(back210,(I3))*J3/60)))*S3,4)</f>
        <v>0.72170000000000001</v>
      </c>
      <c r="U3">
        <f t="shared" ref="U3:U26" si="2">ROUND((Q3-(INDEX(back209,(I3))*J3/60))*6000/(J3*2.22*F3*_Act209*EXP(-0.000018605*((K3+L3)/2-Ref))*INDEX(efficiency,(I3))/100),0)</f>
        <v>79</v>
      </c>
      <c r="V3">
        <v>1</v>
      </c>
    </row>
    <row r="4" spans="1:22">
      <c r="A4" s="1">
        <v>40067</v>
      </c>
      <c r="B4" s="17" t="s">
        <v>53</v>
      </c>
      <c r="C4">
        <v>3</v>
      </c>
      <c r="D4">
        <v>4</v>
      </c>
      <c r="E4" s="19">
        <v>0.438</v>
      </c>
      <c r="F4">
        <v>0.99919999999999998</v>
      </c>
      <c r="G4" s="1">
        <v>40296</v>
      </c>
      <c r="H4" s="19">
        <v>3.8584779706274934E-2</v>
      </c>
      <c r="I4">
        <v>18</v>
      </c>
      <c r="J4">
        <v>60600</v>
      </c>
      <c r="K4" s="1">
        <v>40296</v>
      </c>
      <c r="L4" s="1">
        <v>40297</v>
      </c>
      <c r="M4">
        <v>158</v>
      </c>
      <c r="N4">
        <v>171</v>
      </c>
      <c r="O4">
        <v>245</v>
      </c>
      <c r="P4">
        <v>258</v>
      </c>
      <c r="Q4">
        <v>1078</v>
      </c>
      <c r="R4">
        <v>2357</v>
      </c>
      <c r="S4" s="19">
        <f t="shared" si="0"/>
        <v>17.863</v>
      </c>
      <c r="T4">
        <f t="shared" si="1"/>
        <v>0.65680000000000005</v>
      </c>
      <c r="U4">
        <f t="shared" si="2"/>
        <v>77</v>
      </c>
      <c r="V4">
        <v>2</v>
      </c>
    </row>
    <row r="5" spans="1:22">
      <c r="A5" t="s">
        <v>3</v>
      </c>
      <c r="B5" s="17" t="s">
        <v>44</v>
      </c>
      <c r="C5">
        <v>6</v>
      </c>
      <c r="D5">
        <v>7</v>
      </c>
      <c r="E5">
        <v>0.51790000000000003</v>
      </c>
      <c r="F5">
        <v>0.99970000000000003</v>
      </c>
      <c r="G5" s="1">
        <v>40284</v>
      </c>
      <c r="H5" s="19">
        <v>4.5637355146557791E-2</v>
      </c>
      <c r="I5">
        <v>21</v>
      </c>
      <c r="J5">
        <v>72900</v>
      </c>
      <c r="K5" s="1">
        <v>40284</v>
      </c>
      <c r="L5" s="1">
        <v>40285</v>
      </c>
      <c r="M5">
        <v>154</v>
      </c>
      <c r="N5">
        <v>164</v>
      </c>
      <c r="O5">
        <v>241</v>
      </c>
      <c r="P5">
        <v>251</v>
      </c>
      <c r="Q5">
        <v>1057</v>
      </c>
      <c r="R5">
        <v>3151</v>
      </c>
      <c r="S5">
        <f t="shared" si="0"/>
        <v>20.619599999999998</v>
      </c>
      <c r="T5">
        <f t="shared" si="1"/>
        <v>0.73309999999999997</v>
      </c>
      <c r="U5">
        <f t="shared" si="2"/>
        <v>66</v>
      </c>
      <c r="V5">
        <v>3</v>
      </c>
    </row>
    <row r="6" spans="1:22">
      <c r="B6" s="17" t="s">
        <v>54</v>
      </c>
      <c r="C6">
        <v>9</v>
      </c>
      <c r="D6">
        <v>10</v>
      </c>
      <c r="E6" s="19">
        <v>0.52100000000000002</v>
      </c>
      <c r="F6">
        <v>1.0004999999999999</v>
      </c>
      <c r="G6" s="1">
        <v>40296</v>
      </c>
      <c r="H6" s="19">
        <v>4.7607973421926908E-2</v>
      </c>
      <c r="I6">
        <v>20</v>
      </c>
      <c r="J6">
        <v>60700</v>
      </c>
      <c r="K6" s="1">
        <v>40296</v>
      </c>
      <c r="L6" s="1">
        <v>40297</v>
      </c>
      <c r="M6">
        <v>155</v>
      </c>
      <c r="N6">
        <v>168</v>
      </c>
      <c r="O6">
        <v>242</v>
      </c>
      <c r="P6">
        <v>255</v>
      </c>
      <c r="Q6">
        <v>1089</v>
      </c>
      <c r="R6">
        <v>3030</v>
      </c>
      <c r="S6">
        <f t="shared" si="0"/>
        <v>19.140799999999999</v>
      </c>
      <c r="T6">
        <f t="shared" si="1"/>
        <v>0.6764</v>
      </c>
      <c r="U6">
        <f t="shared" si="2"/>
        <v>80</v>
      </c>
      <c r="V6">
        <v>4</v>
      </c>
    </row>
    <row r="7" spans="1:22">
      <c r="A7" t="s">
        <v>4</v>
      </c>
      <c r="B7" s="17" t="s">
        <v>45</v>
      </c>
      <c r="C7">
        <v>12</v>
      </c>
      <c r="D7">
        <v>13</v>
      </c>
      <c r="E7">
        <v>0.52680000000000005</v>
      </c>
      <c r="F7">
        <v>0.99860000000000004</v>
      </c>
      <c r="G7" s="1">
        <v>40284</v>
      </c>
      <c r="H7" s="19">
        <v>4.7495798319327799E-2</v>
      </c>
      <c r="I7">
        <v>22</v>
      </c>
      <c r="J7">
        <v>65670</v>
      </c>
      <c r="K7" s="1">
        <v>40284</v>
      </c>
      <c r="L7" s="1">
        <v>40285</v>
      </c>
      <c r="M7">
        <v>150</v>
      </c>
      <c r="N7">
        <v>165</v>
      </c>
      <c r="O7">
        <v>237</v>
      </c>
      <c r="P7">
        <v>252</v>
      </c>
      <c r="Q7">
        <v>1285</v>
      </c>
      <c r="R7">
        <v>3051</v>
      </c>
      <c r="S7">
        <f t="shared" si="0"/>
        <v>16.121300000000002</v>
      </c>
      <c r="T7">
        <f t="shared" si="1"/>
        <v>0.53620000000000001</v>
      </c>
      <c r="U7">
        <f t="shared" si="2"/>
        <v>92</v>
      </c>
      <c r="V7">
        <v>5</v>
      </c>
    </row>
    <row r="8" spans="1:22">
      <c r="A8" s="2">
        <v>3.577</v>
      </c>
      <c r="B8" s="17" t="s">
        <v>55</v>
      </c>
      <c r="C8">
        <v>15</v>
      </c>
      <c r="D8">
        <v>16</v>
      </c>
      <c r="E8">
        <v>0.60980000000000001</v>
      </c>
      <c r="F8">
        <v>1.0008999999999999</v>
      </c>
      <c r="G8" s="1">
        <v>40296</v>
      </c>
      <c r="H8" s="19">
        <v>5.3296703296703225E-2</v>
      </c>
      <c r="I8">
        <v>13</v>
      </c>
      <c r="J8">
        <v>60900</v>
      </c>
      <c r="K8" s="1">
        <v>40296</v>
      </c>
      <c r="L8" s="1">
        <v>40297</v>
      </c>
      <c r="M8">
        <v>155</v>
      </c>
      <c r="N8">
        <v>165</v>
      </c>
      <c r="O8">
        <v>241</v>
      </c>
      <c r="P8">
        <v>251</v>
      </c>
      <c r="Q8">
        <v>1092</v>
      </c>
      <c r="R8">
        <v>2535</v>
      </c>
      <c r="S8">
        <f t="shared" si="0"/>
        <v>13.694100000000001</v>
      </c>
      <c r="T8">
        <f t="shared" si="1"/>
        <v>0.49640000000000001</v>
      </c>
      <c r="U8">
        <f t="shared" si="2"/>
        <v>78</v>
      </c>
      <c r="V8">
        <v>6</v>
      </c>
    </row>
    <row r="9" spans="1:22">
      <c r="A9" t="s">
        <v>5</v>
      </c>
      <c r="B9" s="17" t="s">
        <v>46</v>
      </c>
      <c r="C9">
        <v>18</v>
      </c>
      <c r="D9">
        <v>19</v>
      </c>
      <c r="E9">
        <v>0.50660000000000005</v>
      </c>
      <c r="F9">
        <v>0.99850000000000005</v>
      </c>
      <c r="G9" s="1">
        <v>40283</v>
      </c>
      <c r="H9" s="19">
        <v>5.892917655032183E-2</v>
      </c>
      <c r="I9">
        <v>9</v>
      </c>
      <c r="J9">
        <v>63400</v>
      </c>
      <c r="K9" s="1">
        <v>40283</v>
      </c>
      <c r="L9" s="1">
        <v>40284</v>
      </c>
      <c r="M9">
        <v>152</v>
      </c>
      <c r="N9">
        <v>162</v>
      </c>
      <c r="O9">
        <v>237</v>
      </c>
      <c r="P9">
        <v>247</v>
      </c>
      <c r="Q9">
        <v>1316</v>
      </c>
      <c r="R9">
        <v>1810</v>
      </c>
      <c r="S9">
        <f t="shared" si="0"/>
        <v>9.7157999999999998</v>
      </c>
      <c r="T9">
        <f t="shared" si="1"/>
        <v>0.35210000000000002</v>
      </c>
      <c r="U9">
        <f t="shared" si="2"/>
        <v>92</v>
      </c>
      <c r="V9">
        <v>7</v>
      </c>
    </row>
    <row r="10" spans="1:22">
      <c r="A10" s="1">
        <v>40218</v>
      </c>
      <c r="B10" s="17" t="s">
        <v>56</v>
      </c>
      <c r="C10">
        <v>20</v>
      </c>
      <c r="D10">
        <v>21</v>
      </c>
      <c r="E10">
        <v>0.54159999999999997</v>
      </c>
      <c r="F10">
        <v>1.0024</v>
      </c>
      <c r="G10" s="1">
        <v>40296</v>
      </c>
      <c r="H10" s="19">
        <v>5.8471986417657093E-2</v>
      </c>
      <c r="I10">
        <v>14</v>
      </c>
      <c r="J10">
        <v>61000</v>
      </c>
      <c r="K10" s="1">
        <v>40296</v>
      </c>
      <c r="L10" s="1">
        <v>40297</v>
      </c>
      <c r="M10">
        <v>148</v>
      </c>
      <c r="N10">
        <v>158</v>
      </c>
      <c r="O10">
        <v>234</v>
      </c>
      <c r="P10">
        <v>244</v>
      </c>
      <c r="Q10">
        <v>1238</v>
      </c>
      <c r="R10">
        <v>1442</v>
      </c>
      <c r="S10">
        <f t="shared" si="0"/>
        <v>7.7558999999999996</v>
      </c>
      <c r="T10">
        <f t="shared" si="1"/>
        <v>0.3009</v>
      </c>
      <c r="U10">
        <f t="shared" si="2"/>
        <v>87</v>
      </c>
      <c r="V10">
        <v>8</v>
      </c>
    </row>
    <row r="11" spans="1:22">
      <c r="B11" s="17" t="s">
        <v>57</v>
      </c>
      <c r="C11">
        <v>22</v>
      </c>
      <c r="D11">
        <v>23</v>
      </c>
      <c r="E11">
        <v>0.54110000000000003</v>
      </c>
      <c r="F11" s="19">
        <v>1</v>
      </c>
      <c r="G11" s="1">
        <v>40296</v>
      </c>
      <c r="H11" s="19">
        <v>6.0764012852552465E-2</v>
      </c>
      <c r="I11">
        <v>1</v>
      </c>
      <c r="J11">
        <v>61240</v>
      </c>
      <c r="K11" s="1">
        <v>40296</v>
      </c>
      <c r="L11" s="1">
        <v>40297</v>
      </c>
      <c r="M11">
        <v>163</v>
      </c>
      <c r="N11">
        <v>175</v>
      </c>
      <c r="O11">
        <v>250</v>
      </c>
      <c r="P11">
        <v>262</v>
      </c>
      <c r="Q11">
        <v>1259</v>
      </c>
      <c r="R11">
        <v>1160</v>
      </c>
      <c r="S11">
        <f t="shared" si="0"/>
        <v>6.1074999999999999</v>
      </c>
      <c r="T11">
        <f t="shared" si="1"/>
        <v>0.2487</v>
      </c>
      <c r="U11">
        <f t="shared" si="2"/>
        <v>92</v>
      </c>
      <c r="V11">
        <v>9</v>
      </c>
    </row>
    <row r="12" spans="1:22">
      <c r="A12" t="s">
        <v>6</v>
      </c>
      <c r="B12" s="17" t="s">
        <v>47</v>
      </c>
      <c r="C12">
        <v>24</v>
      </c>
      <c r="D12">
        <v>25</v>
      </c>
      <c r="E12">
        <v>0.52849999999999997</v>
      </c>
      <c r="F12">
        <v>1.0025999999999999</v>
      </c>
      <c r="G12" s="1">
        <v>40283</v>
      </c>
      <c r="H12" s="19">
        <v>6.0895008605851925E-2</v>
      </c>
      <c r="I12">
        <v>10</v>
      </c>
      <c r="J12">
        <v>150800</v>
      </c>
      <c r="K12" s="1">
        <v>40283</v>
      </c>
      <c r="L12" s="1">
        <v>40285</v>
      </c>
      <c r="M12">
        <v>150</v>
      </c>
      <c r="N12">
        <v>162</v>
      </c>
      <c r="O12">
        <v>236</v>
      </c>
      <c r="P12">
        <v>248</v>
      </c>
      <c r="Q12">
        <v>2311</v>
      </c>
      <c r="R12">
        <v>1695</v>
      </c>
      <c r="S12">
        <f t="shared" si="0"/>
        <v>5.0183999999999997</v>
      </c>
      <c r="T12">
        <f t="shared" si="1"/>
        <v>0.16070000000000001</v>
      </c>
      <c r="U12">
        <f t="shared" si="2"/>
        <v>71</v>
      </c>
      <c r="V12">
        <v>10</v>
      </c>
    </row>
    <row r="13" spans="1:22">
      <c r="B13" s="17" t="s">
        <v>58</v>
      </c>
      <c r="C13">
        <v>26</v>
      </c>
      <c r="D13">
        <v>27</v>
      </c>
      <c r="E13">
        <v>0.5121</v>
      </c>
      <c r="F13">
        <v>0.99760000000000004</v>
      </c>
      <c r="G13" s="1">
        <v>40295</v>
      </c>
      <c r="H13" s="19">
        <v>5.9828178694158123E-2</v>
      </c>
      <c r="I13">
        <v>16</v>
      </c>
      <c r="J13">
        <v>145660</v>
      </c>
      <c r="K13" s="1">
        <v>40295</v>
      </c>
      <c r="L13" s="1">
        <v>40297</v>
      </c>
      <c r="M13">
        <v>148</v>
      </c>
      <c r="N13">
        <v>160</v>
      </c>
      <c r="O13">
        <v>233</v>
      </c>
      <c r="P13">
        <v>245</v>
      </c>
      <c r="Q13">
        <v>3055</v>
      </c>
      <c r="R13">
        <v>1664</v>
      </c>
      <c r="S13">
        <f t="shared" si="0"/>
        <v>3.8151000000000002</v>
      </c>
      <c r="T13">
        <f t="shared" si="1"/>
        <v>0.1163</v>
      </c>
      <c r="U13">
        <f t="shared" si="2"/>
        <v>91</v>
      </c>
      <c r="V13">
        <v>11</v>
      </c>
    </row>
    <row r="14" spans="1:22">
      <c r="B14" s="17" t="s">
        <v>59</v>
      </c>
      <c r="C14">
        <v>28</v>
      </c>
      <c r="D14">
        <v>29</v>
      </c>
      <c r="E14">
        <v>0.53049999999999997</v>
      </c>
      <c r="F14">
        <v>1.0022</v>
      </c>
      <c r="G14" s="1">
        <v>40295</v>
      </c>
      <c r="H14" s="19">
        <v>5.7350456235214509E-2</v>
      </c>
      <c r="I14">
        <v>9</v>
      </c>
      <c r="J14">
        <v>145620</v>
      </c>
      <c r="K14" s="1">
        <v>40295</v>
      </c>
      <c r="L14" s="1">
        <v>40297</v>
      </c>
      <c r="M14">
        <v>151</v>
      </c>
      <c r="N14">
        <v>162</v>
      </c>
      <c r="O14">
        <v>237</v>
      </c>
      <c r="P14">
        <v>248</v>
      </c>
      <c r="Q14">
        <v>2826</v>
      </c>
      <c r="R14">
        <v>1241</v>
      </c>
      <c r="S14" s="19">
        <f t="shared" si="0"/>
        <v>2.9790000000000001</v>
      </c>
      <c r="T14">
        <f t="shared" si="1"/>
        <v>0.10150000000000001</v>
      </c>
      <c r="U14">
        <f t="shared" si="2"/>
        <v>86</v>
      </c>
      <c r="V14">
        <v>12</v>
      </c>
    </row>
    <row r="15" spans="1:22">
      <c r="B15" s="17" t="s">
        <v>48</v>
      </c>
      <c r="C15">
        <v>30</v>
      </c>
      <c r="D15">
        <v>31</v>
      </c>
      <c r="E15">
        <v>0.53349999999999997</v>
      </c>
      <c r="F15">
        <v>1.0008999999999999</v>
      </c>
      <c r="G15" s="1">
        <v>40283</v>
      </c>
      <c r="H15" s="19">
        <v>5.6273504273504305E-2</v>
      </c>
      <c r="I15">
        <v>11</v>
      </c>
      <c r="J15">
        <v>151110</v>
      </c>
      <c r="K15" s="1">
        <v>40283</v>
      </c>
      <c r="L15" s="1">
        <v>40285</v>
      </c>
      <c r="M15">
        <v>142</v>
      </c>
      <c r="N15">
        <v>154</v>
      </c>
      <c r="O15">
        <v>227</v>
      </c>
      <c r="P15">
        <v>239</v>
      </c>
      <c r="Q15">
        <v>2874</v>
      </c>
      <c r="R15">
        <v>1053</v>
      </c>
      <c r="S15">
        <f t="shared" si="0"/>
        <v>2.4710999999999999</v>
      </c>
      <c r="T15">
        <f t="shared" si="1"/>
        <v>8.9099999999999999E-2</v>
      </c>
      <c r="U15">
        <f t="shared" si="2"/>
        <v>85</v>
      </c>
      <c r="V15">
        <v>13</v>
      </c>
    </row>
    <row r="16" spans="1:22">
      <c r="B16" s="42" t="s">
        <v>60</v>
      </c>
      <c r="C16">
        <v>32</v>
      </c>
      <c r="D16">
        <v>33</v>
      </c>
      <c r="E16">
        <v>0.52159999999999995</v>
      </c>
      <c r="F16" s="19">
        <v>0.999</v>
      </c>
      <c r="G16" s="1">
        <v>40295</v>
      </c>
      <c r="H16" s="19">
        <v>5.2691121014741389E-2</v>
      </c>
      <c r="I16">
        <v>10</v>
      </c>
      <c r="J16">
        <v>233510</v>
      </c>
      <c r="K16" s="1">
        <v>40295</v>
      </c>
      <c r="L16" s="1">
        <v>40298</v>
      </c>
      <c r="M16">
        <v>151</v>
      </c>
      <c r="N16">
        <v>162</v>
      </c>
      <c r="O16">
        <v>237</v>
      </c>
      <c r="P16">
        <v>248</v>
      </c>
      <c r="Q16">
        <v>4658</v>
      </c>
      <c r="R16">
        <v>1345</v>
      </c>
      <c r="S16">
        <f t="shared" si="0"/>
        <v>1.9952000000000001</v>
      </c>
      <c r="T16">
        <f t="shared" si="1"/>
        <v>6.1800000000000001E-2</v>
      </c>
      <c r="U16">
        <f t="shared" si="2"/>
        <v>92</v>
      </c>
      <c r="V16">
        <v>14</v>
      </c>
    </row>
    <row r="17" spans="2:22">
      <c r="B17" s="17" t="s">
        <v>49</v>
      </c>
      <c r="C17">
        <v>34</v>
      </c>
      <c r="D17">
        <v>35</v>
      </c>
      <c r="E17">
        <v>0.53080000000000005</v>
      </c>
      <c r="F17">
        <v>1.0014000000000001</v>
      </c>
      <c r="G17" s="1">
        <v>40283</v>
      </c>
      <c r="H17" s="19">
        <v>4.8629198080877512E-2</v>
      </c>
      <c r="I17">
        <v>12</v>
      </c>
      <c r="J17">
        <v>411660</v>
      </c>
      <c r="K17" s="1">
        <v>40283</v>
      </c>
      <c r="L17" s="1">
        <v>40288</v>
      </c>
      <c r="M17">
        <v>149</v>
      </c>
      <c r="N17">
        <v>161</v>
      </c>
      <c r="O17">
        <v>235</v>
      </c>
      <c r="P17">
        <v>247</v>
      </c>
      <c r="Q17">
        <v>7747</v>
      </c>
      <c r="R17">
        <v>1761</v>
      </c>
      <c r="S17">
        <f t="shared" si="0"/>
        <v>1.5511999999999999</v>
      </c>
      <c r="T17" s="19">
        <f t="shared" si="1"/>
        <v>4.1000000000000002E-2</v>
      </c>
      <c r="U17">
        <f t="shared" si="2"/>
        <v>82</v>
      </c>
      <c r="V17">
        <v>15</v>
      </c>
    </row>
    <row r="18" spans="2:22">
      <c r="B18" s="42" t="s">
        <v>61</v>
      </c>
      <c r="C18">
        <v>36</v>
      </c>
      <c r="D18">
        <v>37</v>
      </c>
      <c r="E18">
        <v>0.53359999999999996</v>
      </c>
      <c r="F18" s="19">
        <v>1.004</v>
      </c>
      <c r="G18" s="1">
        <v>40295</v>
      </c>
      <c r="H18" s="19">
        <v>4.5069000336586902E-2</v>
      </c>
      <c r="I18">
        <v>11</v>
      </c>
      <c r="J18">
        <v>582050</v>
      </c>
      <c r="K18" s="1">
        <v>40295</v>
      </c>
      <c r="L18" s="1">
        <v>40302</v>
      </c>
      <c r="M18">
        <v>142</v>
      </c>
      <c r="N18">
        <v>154</v>
      </c>
      <c r="O18">
        <v>228</v>
      </c>
      <c r="P18">
        <v>240</v>
      </c>
      <c r="Q18">
        <v>10038</v>
      </c>
      <c r="R18">
        <v>1383</v>
      </c>
      <c r="S18">
        <f t="shared" si="0"/>
        <v>0.94220000000000004</v>
      </c>
      <c r="T18">
        <f t="shared" si="1"/>
        <v>2.7099999999999999E-2</v>
      </c>
      <c r="U18">
        <f t="shared" si="2"/>
        <v>77</v>
      </c>
      <c r="V18">
        <v>16</v>
      </c>
    </row>
    <row r="19" spans="2:22">
      <c r="B19" s="17" t="s">
        <v>50</v>
      </c>
      <c r="C19">
        <v>38</v>
      </c>
      <c r="D19">
        <v>39</v>
      </c>
      <c r="E19">
        <v>0.5131</v>
      </c>
      <c r="F19">
        <v>1.0067999999999999</v>
      </c>
      <c r="G19" s="1">
        <v>40283</v>
      </c>
      <c r="H19" s="19">
        <v>4.4743935309973205E-2</v>
      </c>
      <c r="I19">
        <v>13</v>
      </c>
      <c r="J19">
        <v>426860</v>
      </c>
      <c r="K19" s="1">
        <v>40283</v>
      </c>
      <c r="L19" s="1">
        <v>40288</v>
      </c>
      <c r="M19">
        <v>154</v>
      </c>
      <c r="N19">
        <v>165</v>
      </c>
      <c r="O19">
        <v>241</v>
      </c>
      <c r="P19">
        <v>252</v>
      </c>
      <c r="Q19">
        <v>8080</v>
      </c>
      <c r="R19">
        <v>1027</v>
      </c>
      <c r="S19">
        <f t="shared" si="0"/>
        <v>0.90349999999999997</v>
      </c>
      <c r="T19" s="19">
        <f t="shared" si="1"/>
        <v>0.03</v>
      </c>
      <c r="U19">
        <f t="shared" si="2"/>
        <v>82</v>
      </c>
      <c r="V19">
        <v>17</v>
      </c>
    </row>
    <row r="20" spans="2:22">
      <c r="B20" s="42" t="s">
        <v>62</v>
      </c>
      <c r="C20">
        <v>41</v>
      </c>
      <c r="D20">
        <v>42</v>
      </c>
      <c r="E20">
        <v>0.52959999999999996</v>
      </c>
      <c r="F20" s="19">
        <v>0.99539999999999995</v>
      </c>
      <c r="G20" s="1">
        <v>40292</v>
      </c>
      <c r="H20" s="19">
        <v>4.4130656685947497E-2</v>
      </c>
      <c r="I20">
        <v>5</v>
      </c>
      <c r="J20">
        <v>577420</v>
      </c>
      <c r="K20" s="1">
        <v>40292</v>
      </c>
      <c r="L20" s="1">
        <v>40299</v>
      </c>
      <c r="M20">
        <v>81</v>
      </c>
      <c r="N20">
        <v>97</v>
      </c>
      <c r="O20">
        <v>161</v>
      </c>
      <c r="P20">
        <v>177</v>
      </c>
      <c r="Q20">
        <v>10929</v>
      </c>
      <c r="R20">
        <v>1040</v>
      </c>
      <c r="S20">
        <f t="shared" si="0"/>
        <v>0.64929999999999999</v>
      </c>
      <c r="T20">
        <f t="shared" si="1"/>
        <v>2.1100000000000001E-2</v>
      </c>
      <c r="U20">
        <f t="shared" si="2"/>
        <v>81</v>
      </c>
      <c r="V20">
        <v>18</v>
      </c>
    </row>
    <row r="21" spans="2:22">
      <c r="B21" s="17" t="s">
        <v>51</v>
      </c>
      <c r="C21">
        <v>44</v>
      </c>
      <c r="D21">
        <v>45</v>
      </c>
      <c r="E21">
        <v>0.55249999999999999</v>
      </c>
      <c r="F21">
        <v>1.0036</v>
      </c>
      <c r="G21" s="1">
        <v>40283</v>
      </c>
      <c r="H21" s="19">
        <v>4.6452702702702763E-2</v>
      </c>
      <c r="I21">
        <v>14</v>
      </c>
      <c r="J21">
        <v>666930</v>
      </c>
      <c r="K21" s="1">
        <v>40283</v>
      </c>
      <c r="L21" s="1">
        <v>40291</v>
      </c>
      <c r="M21">
        <v>147</v>
      </c>
      <c r="N21">
        <v>159</v>
      </c>
      <c r="O21">
        <v>233</v>
      </c>
      <c r="P21">
        <v>245</v>
      </c>
      <c r="Q21">
        <v>12723</v>
      </c>
      <c r="R21">
        <v>1024</v>
      </c>
      <c r="S21">
        <f t="shared" si="0"/>
        <v>0.53469999999999995</v>
      </c>
      <c r="T21">
        <f t="shared" si="1"/>
        <v>1.7399999999999999E-2</v>
      </c>
      <c r="U21">
        <f t="shared" si="2"/>
        <v>82</v>
      </c>
      <c r="V21">
        <v>19</v>
      </c>
    </row>
    <row r="22" spans="2:22">
      <c r="B22" s="42" t="s">
        <v>63</v>
      </c>
      <c r="C22">
        <v>56</v>
      </c>
      <c r="D22">
        <v>57</v>
      </c>
      <c r="E22">
        <v>0.31230000000000002</v>
      </c>
      <c r="F22" s="19">
        <v>1.0001</v>
      </c>
      <c r="G22" s="1">
        <v>40283</v>
      </c>
      <c r="H22" s="19">
        <v>5.6137247966041921E-2</v>
      </c>
      <c r="I22">
        <v>19</v>
      </c>
      <c r="J22">
        <v>1214420</v>
      </c>
      <c r="K22" s="1">
        <v>40288</v>
      </c>
      <c r="L22" s="1">
        <v>40302</v>
      </c>
      <c r="M22">
        <v>152</v>
      </c>
      <c r="N22">
        <v>163</v>
      </c>
      <c r="O22">
        <v>238</v>
      </c>
      <c r="P22">
        <v>249</v>
      </c>
      <c r="Q22">
        <v>26428</v>
      </c>
      <c r="R22">
        <v>955</v>
      </c>
      <c r="S22">
        <f t="shared" si="0"/>
        <v>0.43619999999999998</v>
      </c>
      <c r="T22">
        <f t="shared" si="1"/>
        <v>1.44E-2</v>
      </c>
      <c r="U22">
        <f t="shared" si="2"/>
        <v>95</v>
      </c>
      <c r="V22">
        <v>20</v>
      </c>
    </row>
    <row r="23" spans="2:22">
      <c r="B23" s="17" t="s">
        <v>52</v>
      </c>
      <c r="C23">
        <v>68</v>
      </c>
      <c r="D23">
        <v>69</v>
      </c>
      <c r="E23">
        <v>0.35089999999999999</v>
      </c>
      <c r="F23" s="19">
        <v>1</v>
      </c>
      <c r="G23" s="1">
        <v>40283</v>
      </c>
      <c r="H23" s="19">
        <v>6.6008999653859354E-2</v>
      </c>
      <c r="I23">
        <v>16</v>
      </c>
      <c r="J23">
        <v>1015760</v>
      </c>
      <c r="K23" s="1">
        <v>40283</v>
      </c>
      <c r="L23" s="1">
        <v>40295</v>
      </c>
      <c r="M23">
        <v>148</v>
      </c>
      <c r="N23">
        <v>160</v>
      </c>
      <c r="O23">
        <v>234</v>
      </c>
      <c r="P23">
        <v>246</v>
      </c>
      <c r="Q23">
        <v>20584</v>
      </c>
      <c r="R23">
        <v>963</v>
      </c>
      <c r="S23">
        <f t="shared" si="0"/>
        <v>0.48980000000000001</v>
      </c>
      <c r="T23">
        <f t="shared" si="1"/>
        <v>1.6199999999999999E-2</v>
      </c>
      <c r="U23">
        <f t="shared" si="2"/>
        <v>88</v>
      </c>
      <c r="V23">
        <v>21</v>
      </c>
    </row>
    <row r="24" spans="2:22">
      <c r="B24" s="42" t="s">
        <v>64</v>
      </c>
      <c r="C24">
        <v>78</v>
      </c>
      <c r="D24">
        <v>79</v>
      </c>
      <c r="E24">
        <v>0.41310000000000002</v>
      </c>
      <c r="F24" s="19">
        <v>1.0008999999999999</v>
      </c>
      <c r="G24" s="1">
        <v>40292</v>
      </c>
      <c r="H24" s="19">
        <v>6.8325326012354012E-2</v>
      </c>
      <c r="I24">
        <v>6</v>
      </c>
      <c r="J24">
        <v>993000</v>
      </c>
      <c r="K24" s="1">
        <v>40292</v>
      </c>
      <c r="L24" s="1">
        <v>40304</v>
      </c>
      <c r="M24">
        <v>161</v>
      </c>
      <c r="N24">
        <v>173</v>
      </c>
      <c r="O24">
        <v>248</v>
      </c>
      <c r="P24">
        <v>260</v>
      </c>
      <c r="Q24">
        <v>20032</v>
      </c>
      <c r="R24">
        <v>1016</v>
      </c>
      <c r="S24">
        <f t="shared" si="0"/>
        <v>0.4496</v>
      </c>
      <c r="T24">
        <f t="shared" si="1"/>
        <v>1.4500000000000001E-2</v>
      </c>
      <c r="U24">
        <f t="shared" si="2"/>
        <v>87</v>
      </c>
      <c r="V24">
        <v>22</v>
      </c>
    </row>
    <row r="25" spans="2:22">
      <c r="B25" s="42" t="s">
        <v>65</v>
      </c>
      <c r="C25">
        <v>92</v>
      </c>
      <c r="D25">
        <v>93</v>
      </c>
      <c r="E25">
        <v>0.50570000000000004</v>
      </c>
      <c r="F25" s="19">
        <v>1.0033000000000001</v>
      </c>
      <c r="G25" s="1">
        <v>40292</v>
      </c>
      <c r="H25" s="19">
        <v>7.6565232598810651E-2</v>
      </c>
      <c r="I25">
        <v>7</v>
      </c>
      <c r="J25">
        <v>908410</v>
      </c>
      <c r="K25" s="1">
        <v>40292</v>
      </c>
      <c r="L25" s="1">
        <v>40303</v>
      </c>
      <c r="M25">
        <v>160</v>
      </c>
      <c r="N25">
        <v>170</v>
      </c>
      <c r="O25">
        <v>248</v>
      </c>
      <c r="P25">
        <v>258</v>
      </c>
      <c r="Q25">
        <v>18098</v>
      </c>
      <c r="R25">
        <v>1046</v>
      </c>
      <c r="S25">
        <f t="shared" si="0"/>
        <v>0.42109999999999997</v>
      </c>
      <c r="T25">
        <f t="shared" si="1"/>
        <v>1.34E-2</v>
      </c>
      <c r="U25">
        <f t="shared" si="2"/>
        <v>86</v>
      </c>
      <c r="V25">
        <v>23</v>
      </c>
    </row>
    <row r="26" spans="2:22">
      <c r="B26" s="42" t="s">
        <v>66</v>
      </c>
      <c r="C26">
        <v>102</v>
      </c>
      <c r="D26">
        <v>103</v>
      </c>
      <c r="E26">
        <v>0.52929999999999999</v>
      </c>
      <c r="F26" s="19">
        <v>1.0004</v>
      </c>
      <c r="G26" s="1">
        <v>40292</v>
      </c>
      <c r="H26" s="19">
        <v>8.2970768184908061E-2</v>
      </c>
      <c r="I26">
        <v>8</v>
      </c>
      <c r="J26">
        <v>826370</v>
      </c>
      <c r="K26" s="1">
        <v>40292</v>
      </c>
      <c r="L26" s="1">
        <v>40302</v>
      </c>
      <c r="M26">
        <v>158</v>
      </c>
      <c r="N26">
        <v>171</v>
      </c>
      <c r="O26">
        <v>246</v>
      </c>
      <c r="P26">
        <v>259</v>
      </c>
      <c r="Q26">
        <v>17020</v>
      </c>
      <c r="R26">
        <v>1011</v>
      </c>
      <c r="S26">
        <f t="shared" si="0"/>
        <v>0.41139999999999999</v>
      </c>
      <c r="T26">
        <f t="shared" si="1"/>
        <v>1.3299999999999999E-2</v>
      </c>
      <c r="U26">
        <f t="shared" si="2"/>
        <v>90</v>
      </c>
      <c r="V26">
        <v>24</v>
      </c>
    </row>
    <row r="27" spans="2:22">
      <c r="B27" s="17"/>
      <c r="G27" s="1"/>
      <c r="K27" s="1"/>
      <c r="L27" s="1"/>
    </row>
    <row r="28" spans="2:22">
      <c r="B28" s="17"/>
      <c r="G28" s="1"/>
      <c r="K28" s="1"/>
      <c r="L28" s="1"/>
    </row>
    <row r="29" spans="2:22">
      <c r="B29" s="17"/>
      <c r="G29" s="1"/>
      <c r="K29" s="1"/>
      <c r="L29" s="1"/>
    </row>
    <row r="30" spans="2:22">
      <c r="B30" s="17"/>
      <c r="G30" s="1"/>
      <c r="K30" s="1"/>
      <c r="L30" s="1"/>
    </row>
    <row r="31" spans="2:22">
      <c r="B31" s="17"/>
      <c r="G31" s="1"/>
      <c r="K31" s="1"/>
      <c r="L31" s="1"/>
    </row>
    <row r="32" spans="2:22">
      <c r="B32" s="17"/>
      <c r="G32" s="1"/>
      <c r="K32" s="1"/>
      <c r="L32" s="1"/>
    </row>
    <row r="33" spans="2:12">
      <c r="B33" s="18"/>
      <c r="G33" s="1"/>
      <c r="K33" s="1"/>
      <c r="L33" s="1"/>
    </row>
    <row r="34" spans="2:12">
      <c r="G34" s="1"/>
      <c r="K34" s="1"/>
      <c r="L34" s="1"/>
    </row>
    <row r="35" spans="2:12">
      <c r="G35" s="1"/>
      <c r="K35" s="1"/>
      <c r="L35" s="1"/>
    </row>
    <row r="36" spans="2:12">
      <c r="G36" s="1"/>
      <c r="K36" s="1"/>
      <c r="L36" s="1"/>
    </row>
  </sheetData>
  <sortState ref="B3:V36">
    <sortCondition ref="D1"/>
  </sortState>
  <printOptions horizontalCentered="1" verticalCentered="1" gridLines="1"/>
  <pageMargins left="0.5" right="0.5" top="1" bottom="1" header="0.5" footer="0.5"/>
  <pageSetup orientation="landscape" horizontalDpi="4294967292" verticalDpi="4294967292"/>
  <headerFooter>
    <oddHeader xml:space="preserve">&amp;C&amp;BBlake Lake 1A, Polk Co, WI:  BL1A&amp;R&amp;BCoring Date:  9/12/2013  </oddHeader>
    <oddFooter>&amp;L&amp;B&amp;D&amp;C&amp;BLead-210: Raw Data&amp;R&amp;BPage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E2" sqref="E2:E25"/>
    </sheetView>
  </sheetViews>
  <sheetFormatPr defaultColWidth="11.42578125" defaultRowHeight="12.75"/>
  <sheetData>
    <row r="1" spans="1:6">
      <c r="A1" s="3" t="s">
        <v>7</v>
      </c>
      <c r="B1" s="3" t="s">
        <v>8</v>
      </c>
      <c r="C1" s="3" t="s">
        <v>9</v>
      </c>
      <c r="D1" s="3" t="s">
        <v>10</v>
      </c>
      <c r="E1" s="3" t="s">
        <v>11</v>
      </c>
      <c r="F1" s="3" t="s">
        <v>12</v>
      </c>
    </row>
    <row r="2" spans="1:6">
      <c r="A2" s="4">
        <v>1</v>
      </c>
      <c r="B2" s="5">
        <v>2.5200000000000001E-3</v>
      </c>
      <c r="C2" s="5">
        <v>3.8999999999999999E-4</v>
      </c>
      <c r="D2" s="6">
        <v>40212</v>
      </c>
      <c r="E2" s="7">
        <v>16.91</v>
      </c>
      <c r="F2" s="6">
        <v>40218</v>
      </c>
    </row>
    <row r="3" spans="1:6">
      <c r="A3" s="4">
        <v>2</v>
      </c>
      <c r="B3" s="5">
        <v>2.15E-3</v>
      </c>
      <c r="C3" s="5">
        <v>2.0000000000000001E-4</v>
      </c>
      <c r="D3" s="6">
        <v>40185</v>
      </c>
      <c r="E3" s="7">
        <v>17.05</v>
      </c>
      <c r="F3" s="6">
        <v>40190</v>
      </c>
    </row>
    <row r="4" spans="1:6">
      <c r="A4" s="4">
        <v>3</v>
      </c>
      <c r="B4" s="5">
        <v>5.7000000000000002E-3</v>
      </c>
      <c r="C4" s="5">
        <v>3.4000000000000002E-4</v>
      </c>
      <c r="D4" s="6">
        <v>40185</v>
      </c>
      <c r="E4" s="7">
        <v>16.670000000000002</v>
      </c>
      <c r="F4" s="6">
        <v>40190</v>
      </c>
    </row>
    <row r="5" spans="1:6">
      <c r="A5" s="4">
        <v>4</v>
      </c>
      <c r="B5" s="5">
        <v>9.3999999999999997E-4</v>
      </c>
      <c r="C5" s="5">
        <v>3.4000000000000002E-4</v>
      </c>
      <c r="D5" s="6">
        <v>40185</v>
      </c>
      <c r="E5" s="7">
        <v>17.13</v>
      </c>
      <c r="F5" s="6">
        <v>40190</v>
      </c>
    </row>
    <row r="6" spans="1:6">
      <c r="A6" s="4">
        <v>5</v>
      </c>
      <c r="B6" s="5">
        <v>2.15E-3</v>
      </c>
      <c r="C6" s="5">
        <v>3.4000000000000002E-4</v>
      </c>
      <c r="D6" s="6">
        <v>40185</v>
      </c>
      <c r="E6" s="7">
        <v>17.64</v>
      </c>
      <c r="F6" s="6">
        <v>40193</v>
      </c>
    </row>
    <row r="7" spans="1:6">
      <c r="A7" s="4">
        <v>6</v>
      </c>
      <c r="B7" s="5">
        <v>7.3999999999999999E-4</v>
      </c>
      <c r="C7" s="5">
        <v>4.0000000000000002E-4</v>
      </c>
      <c r="D7" s="6">
        <v>40185</v>
      </c>
      <c r="E7" s="7">
        <v>17.53</v>
      </c>
      <c r="F7" s="6">
        <v>40193</v>
      </c>
    </row>
    <row r="8" spans="1:6">
      <c r="A8" s="4">
        <v>7</v>
      </c>
      <c r="B8" s="5">
        <v>2.5500000000000002E-3</v>
      </c>
      <c r="C8" s="5">
        <v>1.2999999999999999E-4</v>
      </c>
      <c r="D8" s="6">
        <v>40185</v>
      </c>
      <c r="E8" s="7">
        <v>17.420000000000002</v>
      </c>
      <c r="F8" s="6">
        <v>40193</v>
      </c>
    </row>
    <row r="9" spans="1:6">
      <c r="A9" s="4">
        <v>8</v>
      </c>
      <c r="B9" s="5">
        <v>4.1599999999999996E-3</v>
      </c>
      <c r="C9" s="5">
        <v>2.0000000000000001E-4</v>
      </c>
      <c r="D9" s="6">
        <v>40185</v>
      </c>
      <c r="E9" s="7">
        <v>17.239999999999998</v>
      </c>
      <c r="F9" s="6">
        <v>40193</v>
      </c>
    </row>
    <row r="10" spans="1:6">
      <c r="A10" s="8">
        <v>9</v>
      </c>
      <c r="B10" s="5">
        <v>1.08E-3</v>
      </c>
      <c r="C10" s="5">
        <v>3.1E-4</v>
      </c>
      <c r="D10" s="6">
        <v>40175</v>
      </c>
      <c r="E10" s="7">
        <v>17.100000000000001</v>
      </c>
      <c r="F10" s="6">
        <v>40179</v>
      </c>
    </row>
    <row r="11" spans="1:6">
      <c r="A11" s="8">
        <v>10</v>
      </c>
      <c r="B11" s="5">
        <v>4.8700000000000002E-3</v>
      </c>
      <c r="C11" s="5">
        <v>5.4000000000000001E-4</v>
      </c>
      <c r="D11" s="6">
        <v>40175</v>
      </c>
      <c r="E11" s="7">
        <v>16.309999999999999</v>
      </c>
      <c r="F11" s="6">
        <v>40179</v>
      </c>
    </row>
    <row r="12" spans="1:6">
      <c r="A12" s="8">
        <v>11</v>
      </c>
      <c r="B12" s="5">
        <v>2.2399999999999998E-3</v>
      </c>
      <c r="C12" s="5">
        <v>3.1E-4</v>
      </c>
      <c r="D12" s="6">
        <v>40175</v>
      </c>
      <c r="E12" s="7">
        <v>16.899999999999999</v>
      </c>
      <c r="F12" s="6">
        <v>40179</v>
      </c>
    </row>
    <row r="13" spans="1:6">
      <c r="A13" s="8">
        <v>12</v>
      </c>
      <c r="B13" s="5">
        <v>1.24E-3</v>
      </c>
      <c r="C13" s="5">
        <v>3.1E-4</v>
      </c>
      <c r="D13" s="6">
        <v>40175</v>
      </c>
      <c r="E13" s="7">
        <v>17.309999999999999</v>
      </c>
      <c r="F13" s="9">
        <v>40179</v>
      </c>
    </row>
    <row r="14" spans="1:6">
      <c r="A14" s="8">
        <v>13</v>
      </c>
      <c r="B14" s="5">
        <v>4.1000000000000003E-3</v>
      </c>
      <c r="C14" s="5">
        <v>3.1E-4</v>
      </c>
      <c r="D14" s="6">
        <v>40175</v>
      </c>
      <c r="E14" s="7">
        <v>17.38</v>
      </c>
      <c r="F14" s="6">
        <v>40179</v>
      </c>
    </row>
    <row r="15" spans="1:6">
      <c r="A15" s="8">
        <v>14</v>
      </c>
      <c r="B15" s="5">
        <v>5.8799999999999998E-3</v>
      </c>
      <c r="C15" s="5">
        <v>1.4999999999999999E-4</v>
      </c>
      <c r="D15" s="6">
        <v>40175</v>
      </c>
      <c r="E15" s="7">
        <v>17.45</v>
      </c>
      <c r="F15" s="6">
        <v>40180</v>
      </c>
    </row>
    <row r="16" spans="1:6">
      <c r="A16" s="8">
        <v>15</v>
      </c>
      <c r="B16" s="5">
        <v>2.7799999999999999E-3</v>
      </c>
      <c r="C16" s="5">
        <v>1.4999999999999999E-4</v>
      </c>
      <c r="D16" s="6">
        <v>40175</v>
      </c>
      <c r="E16" s="7">
        <v>14.95</v>
      </c>
      <c r="F16" s="6">
        <v>40180</v>
      </c>
    </row>
    <row r="17" spans="1:6">
      <c r="A17" s="8">
        <v>16</v>
      </c>
      <c r="B17" s="5">
        <v>2.47E-3</v>
      </c>
      <c r="C17" s="5">
        <v>2.3000000000000001E-4</v>
      </c>
      <c r="D17" s="6">
        <v>40175</v>
      </c>
      <c r="E17" s="7">
        <v>17.36</v>
      </c>
      <c r="F17" s="6">
        <v>40180</v>
      </c>
    </row>
    <row r="18" spans="1:6">
      <c r="A18" s="4">
        <v>17</v>
      </c>
      <c r="B18" s="5">
        <v>4.6000000000000001E-4</v>
      </c>
      <c r="C18" s="5">
        <v>8.0000000000000007E-5</v>
      </c>
      <c r="D18" s="6">
        <v>40175</v>
      </c>
      <c r="E18" s="7">
        <v>17.170000000000002</v>
      </c>
      <c r="F18" s="6">
        <v>40180</v>
      </c>
    </row>
    <row r="19" spans="1:6">
      <c r="A19" s="4">
        <v>18</v>
      </c>
      <c r="B19" s="5">
        <v>2.3000000000000001E-4</v>
      </c>
      <c r="C19" s="5">
        <v>1.4999999999999999E-4</v>
      </c>
      <c r="D19" s="9">
        <v>40175</v>
      </c>
      <c r="E19" s="7">
        <v>17.600000000000001</v>
      </c>
      <c r="F19" s="6">
        <v>40180</v>
      </c>
    </row>
    <row r="20" spans="1:6">
      <c r="A20" s="4">
        <v>19</v>
      </c>
      <c r="B20" s="5">
        <v>5.4000000000000001E-4</v>
      </c>
      <c r="C20" s="5">
        <v>3.1E-4</v>
      </c>
      <c r="D20" s="6">
        <v>40175</v>
      </c>
      <c r="E20" s="7">
        <v>17.34</v>
      </c>
      <c r="F20" s="6">
        <v>40180</v>
      </c>
    </row>
    <row r="21" spans="1:6">
      <c r="A21" s="4">
        <v>20</v>
      </c>
      <c r="B21" s="5">
        <v>5.4000000000000001E-4</v>
      </c>
      <c r="C21" s="5">
        <v>1.4999999999999999E-4</v>
      </c>
      <c r="D21" s="6">
        <v>40175</v>
      </c>
      <c r="E21" s="7">
        <v>16.86</v>
      </c>
      <c r="F21" s="6">
        <v>40180</v>
      </c>
    </row>
    <row r="22" spans="1:6">
      <c r="A22" s="4">
        <v>21</v>
      </c>
      <c r="B22" s="5">
        <v>4.6000000000000001E-4</v>
      </c>
      <c r="C22" s="5">
        <v>8.0000000000000007E-5</v>
      </c>
      <c r="D22" s="6">
        <v>40175</v>
      </c>
      <c r="E22" s="7">
        <v>16.66</v>
      </c>
      <c r="F22" s="6">
        <v>40190</v>
      </c>
    </row>
    <row r="23" spans="1:6">
      <c r="A23" s="4">
        <v>22</v>
      </c>
      <c r="B23" s="5">
        <v>2.9E-4</v>
      </c>
      <c r="C23" s="5">
        <v>3.8999999999999999E-4</v>
      </c>
      <c r="D23" s="6">
        <v>40222</v>
      </c>
      <c r="E23" s="7">
        <v>16.16</v>
      </c>
      <c r="F23" s="6">
        <v>40225</v>
      </c>
    </row>
    <row r="24" spans="1:6">
      <c r="A24" s="4">
        <v>23</v>
      </c>
      <c r="B24" s="5">
        <v>6.2E-4</v>
      </c>
      <c r="C24" s="5">
        <v>1.4999999999999999E-4</v>
      </c>
      <c r="D24" s="6">
        <v>40175</v>
      </c>
      <c r="E24" s="7">
        <v>17.059999999999999</v>
      </c>
      <c r="F24" s="6">
        <v>40190</v>
      </c>
    </row>
    <row r="25" spans="1:6">
      <c r="A25" s="4">
        <v>24</v>
      </c>
      <c r="B25" s="5">
        <v>6.9999999999999999E-4</v>
      </c>
      <c r="C25" s="5">
        <v>3.1E-4</v>
      </c>
      <c r="D25" s="6">
        <v>40175</v>
      </c>
      <c r="E25" s="7">
        <v>17.02</v>
      </c>
      <c r="F25" s="6">
        <v>40190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3"/>
  <sheetViews>
    <sheetView tabSelected="1" topLeftCell="P1" workbookViewId="0">
      <selection activeCell="G20" sqref="A20:XFD20"/>
    </sheetView>
  </sheetViews>
  <sheetFormatPr defaultColWidth="11.42578125" defaultRowHeight="12.75"/>
  <cols>
    <col min="1" max="1" width="15.7109375" customWidth="1"/>
    <col min="2" max="3" width="10.7109375" customWidth="1"/>
    <col min="21" max="31" width="9" customWidth="1"/>
  </cols>
  <sheetData>
    <row r="1" spans="1:31">
      <c r="A1" t="s">
        <v>0</v>
      </c>
      <c r="B1" t="s">
        <v>67</v>
      </c>
      <c r="C1" t="s">
        <v>68</v>
      </c>
      <c r="D1" t="s">
        <v>69</v>
      </c>
      <c r="E1" t="s">
        <v>70</v>
      </c>
      <c r="F1" t="s">
        <v>71</v>
      </c>
      <c r="G1" t="s">
        <v>72</v>
      </c>
      <c r="H1" t="s">
        <v>19</v>
      </c>
      <c r="I1" t="s">
        <v>73</v>
      </c>
      <c r="J1" t="s">
        <v>74</v>
      </c>
      <c r="K1" t="s">
        <v>75</v>
      </c>
      <c r="L1" t="s">
        <v>76</v>
      </c>
      <c r="M1" t="s">
        <v>77</v>
      </c>
      <c r="N1" t="s">
        <v>78</v>
      </c>
      <c r="O1" t="s">
        <v>79</v>
      </c>
      <c r="P1" t="s">
        <v>80</v>
      </c>
      <c r="Q1" t="s">
        <v>81</v>
      </c>
      <c r="R1" t="s">
        <v>82</v>
      </c>
      <c r="S1" t="s">
        <v>83</v>
      </c>
      <c r="U1" s="3" t="s">
        <v>91</v>
      </c>
      <c r="V1" s="3" t="s">
        <v>93</v>
      </c>
      <c r="W1" s="3" t="s">
        <v>94</v>
      </c>
      <c r="X1" s="3" t="s">
        <v>97</v>
      </c>
      <c r="Y1" s="3" t="s">
        <v>99</v>
      </c>
      <c r="Z1" s="3" t="s">
        <v>101</v>
      </c>
      <c r="AA1" s="3" t="s">
        <v>104</v>
      </c>
      <c r="AB1" s="3" t="s">
        <v>107</v>
      </c>
      <c r="AC1" s="3" t="s">
        <v>81</v>
      </c>
      <c r="AD1" s="3" t="s">
        <v>110</v>
      </c>
      <c r="AE1" s="3" t="s">
        <v>99</v>
      </c>
    </row>
    <row r="2" spans="1:31">
      <c r="A2" t="s">
        <v>1</v>
      </c>
      <c r="B2" t="s">
        <v>84</v>
      </c>
      <c r="K2" t="s">
        <v>85</v>
      </c>
      <c r="N2" t="s">
        <v>85</v>
      </c>
      <c r="U2" s="3" t="s">
        <v>92</v>
      </c>
      <c r="V2" s="3" t="s">
        <v>92</v>
      </c>
      <c r="W2" s="3" t="s">
        <v>95</v>
      </c>
      <c r="X2" s="3" t="s">
        <v>98</v>
      </c>
      <c r="Y2" s="3" t="s">
        <v>100</v>
      </c>
      <c r="Z2" s="3" t="s">
        <v>102</v>
      </c>
      <c r="AA2" s="3" t="s">
        <v>105</v>
      </c>
      <c r="AB2" s="3" t="s">
        <v>108</v>
      </c>
      <c r="AC2" s="3" t="s">
        <v>109</v>
      </c>
      <c r="AD2" s="3" t="s">
        <v>111</v>
      </c>
      <c r="AE2" s="3" t="s">
        <v>113</v>
      </c>
    </row>
    <row r="3" spans="1:31">
      <c r="A3" t="s">
        <v>2</v>
      </c>
      <c r="B3" t="s">
        <v>67</v>
      </c>
      <c r="C3" t="s">
        <v>68</v>
      </c>
      <c r="D3" t="s">
        <v>69</v>
      </c>
      <c r="E3" t="s">
        <v>70</v>
      </c>
      <c r="F3" t="s">
        <v>71</v>
      </c>
      <c r="G3" t="s">
        <v>72</v>
      </c>
      <c r="H3" t="s">
        <v>19</v>
      </c>
      <c r="I3" t="s">
        <v>73</v>
      </c>
      <c r="J3" t="s">
        <v>74</v>
      </c>
      <c r="K3" t="s">
        <v>75</v>
      </c>
      <c r="L3" t="s">
        <v>76</v>
      </c>
      <c r="M3" t="s">
        <v>86</v>
      </c>
      <c r="N3" t="s">
        <v>78</v>
      </c>
      <c r="O3" t="s">
        <v>79</v>
      </c>
      <c r="P3" t="s">
        <v>80</v>
      </c>
      <c r="Q3" t="s">
        <v>81</v>
      </c>
      <c r="R3" t="s">
        <v>82</v>
      </c>
      <c r="S3" t="s">
        <v>83</v>
      </c>
      <c r="U3" s="39" t="s">
        <v>34</v>
      </c>
      <c r="V3" s="40" t="s">
        <v>34</v>
      </c>
      <c r="W3" s="40" t="s">
        <v>96</v>
      </c>
      <c r="X3" s="40" t="s">
        <v>40</v>
      </c>
      <c r="Y3" s="40" t="s">
        <v>41</v>
      </c>
      <c r="Z3" s="40" t="s">
        <v>103</v>
      </c>
      <c r="AA3" s="40" t="s">
        <v>106</v>
      </c>
      <c r="AB3" s="40" t="s">
        <v>41</v>
      </c>
      <c r="AC3" s="40"/>
      <c r="AD3" s="40" t="s">
        <v>112</v>
      </c>
      <c r="AE3" s="41" t="s">
        <v>41</v>
      </c>
    </row>
    <row r="4" spans="1:31">
      <c r="A4" s="20">
        <v>40067</v>
      </c>
      <c r="M4">
        <f t="shared" ref="M4:M40" si="0">ROUND(M5+L5,4)</f>
        <v>17.775600000000001</v>
      </c>
      <c r="N4">
        <f t="shared" ref="N4:N40" si="1">SQRT(N5^2+(K5*H5*(E5-D5))^2)</f>
        <v>0.36516652731871946</v>
      </c>
      <c r="P4">
        <f>(N4/k/Ao)^2</f>
        <v>0.43520729722222734</v>
      </c>
    </row>
    <row r="5" spans="1:31">
      <c r="A5">
        <v>19</v>
      </c>
      <c r="C5">
        <v>1</v>
      </c>
      <c r="D5">
        <v>0</v>
      </c>
      <c r="E5">
        <v>1</v>
      </c>
      <c r="F5">
        <v>18.888500000000001</v>
      </c>
      <c r="G5">
        <v>0.72170000000000001</v>
      </c>
      <c r="H5">
        <v>2.960325534079377E-2</v>
      </c>
      <c r="I5">
        <f t="shared" ref="I5:I41" si="2">ROUND(I4+H5*(E5-D5),4)</f>
        <v>2.9600000000000001E-2</v>
      </c>
      <c r="J5">
        <f t="shared" ref="J5:J7" si="3">J56-$A$8</f>
        <v>20.0457</v>
      </c>
      <c r="K5">
        <f t="shared" ref="K5:K7" si="4">ROUND(SQRT(K56^2+$A$9^2),4)</f>
        <v>0.78449999999999998</v>
      </c>
      <c r="L5">
        <f t="shared" ref="L5:L41" si="5">J5*H5*(E5-D5)</f>
        <v>0.59341797558494969</v>
      </c>
      <c r="M5">
        <f t="shared" si="0"/>
        <v>17.182200000000002</v>
      </c>
      <c r="N5">
        <f t="shared" si="1"/>
        <v>0.36442729032381782</v>
      </c>
      <c r="O5">
        <f t="shared" ref="O5:O41" si="6">ROUND(1/k*LN($A$11/M5),2)</f>
        <v>1.0900000000000001</v>
      </c>
      <c r="P5">
        <f t="shared" ref="P5:P41" si="7">ROUND(SQRT(delAo+(N5/k/M5)^2),2)</f>
        <v>0.95</v>
      </c>
      <c r="Q5">
        <f t="shared" ref="Q5:Q41" si="8">ROUND(2000-(35064-Coring_Date)/365.25-O5,1)</f>
        <v>2012.6</v>
      </c>
      <c r="R5">
        <f t="shared" ref="R5:R41" si="9">ROUND((I5-I4)*k/LN(M4/M5),4)</f>
        <v>2.7099999999999999E-2</v>
      </c>
      <c r="S5">
        <f t="shared" ref="S5:S41" si="10">ROUND(R5*L5/LN(M4/M5)/M4*SQRT((K5*H5*(E5-D5)/L5)^2+(N5/M5)^2),5)</f>
        <v>1.1900000000000001E-3</v>
      </c>
      <c r="U5" s="24">
        <v>0</v>
      </c>
      <c r="V5" s="25">
        <v>1</v>
      </c>
      <c r="W5" s="28">
        <v>2.9600000000000001E-2</v>
      </c>
      <c r="X5" s="28">
        <v>20.0457</v>
      </c>
      <c r="Y5" s="28">
        <v>0.78449999999999998</v>
      </c>
      <c r="Z5" s="28">
        <v>17.182200000000002</v>
      </c>
      <c r="AA5" s="30">
        <v>1.0900000000000001</v>
      </c>
      <c r="AB5" s="30">
        <v>0.95</v>
      </c>
      <c r="AC5" s="32">
        <v>2012.6</v>
      </c>
      <c r="AD5" s="28">
        <v>2.7099999999999999E-2</v>
      </c>
      <c r="AE5" s="34">
        <v>1.1900000000000001E-3</v>
      </c>
    </row>
    <row r="6" spans="1:31">
      <c r="A6">
        <v>5</v>
      </c>
      <c r="B6" t="s">
        <v>87</v>
      </c>
      <c r="C6">
        <f>(E6-D5)/(E7-D6+E6-D5)</f>
        <v>0.5</v>
      </c>
      <c r="D6">
        <f>E5</f>
        <v>1</v>
      </c>
      <c r="E6">
        <f>D7</f>
        <v>3</v>
      </c>
      <c r="F6">
        <f>ROUND(F7^C6*F5^(1-C6),4)</f>
        <v>18.368600000000001</v>
      </c>
      <c r="G6">
        <f>ROUND(SQRT((((F6-F5)/G5)^2+((F6-F7)/G7)^2+1)/(1/G5^2+1/G7^2)),4)</f>
        <v>0.70589999999999997</v>
      </c>
      <c r="H6">
        <f>(H5+H7)/2</f>
        <v>3.4094017523534352E-2</v>
      </c>
      <c r="I6">
        <f t="shared" si="2"/>
        <v>9.7799999999999998E-2</v>
      </c>
      <c r="J6">
        <f t="shared" si="3"/>
        <v>18.691500000000001</v>
      </c>
      <c r="K6">
        <f t="shared" si="4"/>
        <v>1.3965000000000001</v>
      </c>
      <c r="L6">
        <f t="shared" si="5"/>
        <v>1.2745366570822847</v>
      </c>
      <c r="M6">
        <f t="shared" si="0"/>
        <v>15.9077</v>
      </c>
      <c r="N6">
        <f t="shared" si="1"/>
        <v>0.35176629629976552</v>
      </c>
      <c r="O6">
        <f t="shared" si="6"/>
        <v>3.57</v>
      </c>
      <c r="P6">
        <f t="shared" si="7"/>
        <v>0.97</v>
      </c>
      <c r="Q6">
        <f t="shared" si="8"/>
        <v>2010.1</v>
      </c>
      <c r="R6">
        <f t="shared" si="9"/>
        <v>2.76E-2</v>
      </c>
      <c r="S6">
        <f t="shared" si="10"/>
        <v>2.0699999999999998E-3</v>
      </c>
      <c r="U6" s="24">
        <v>3</v>
      </c>
      <c r="V6" s="25">
        <v>4</v>
      </c>
      <c r="W6" s="28">
        <v>0.13639999999999999</v>
      </c>
      <c r="X6" s="28">
        <v>17.4268</v>
      </c>
      <c r="Y6" s="28">
        <v>0.65739999999999998</v>
      </c>
      <c r="Z6" s="28">
        <v>15.235300000000001</v>
      </c>
      <c r="AA6" s="30">
        <v>4.95</v>
      </c>
      <c r="AB6" s="30">
        <v>0.99</v>
      </c>
      <c r="AC6" s="32">
        <v>2008.7</v>
      </c>
      <c r="AD6" s="28">
        <v>2.7799999999999998E-2</v>
      </c>
      <c r="AE6" s="34">
        <v>1.1999999999999999E-3</v>
      </c>
    </row>
    <row r="7" spans="1:31">
      <c r="C7">
        <v>2</v>
      </c>
      <c r="D7">
        <v>3</v>
      </c>
      <c r="E7">
        <v>4</v>
      </c>
      <c r="F7">
        <v>17.863</v>
      </c>
      <c r="G7">
        <v>0.65680000000000005</v>
      </c>
      <c r="H7">
        <v>3.8584779706274934E-2</v>
      </c>
      <c r="I7">
        <f t="shared" si="2"/>
        <v>0.13639999999999999</v>
      </c>
      <c r="J7">
        <f t="shared" si="3"/>
        <v>17.4268</v>
      </c>
      <c r="K7">
        <f t="shared" si="4"/>
        <v>0.65739999999999998</v>
      </c>
      <c r="L7">
        <f t="shared" si="5"/>
        <v>0.67240923898531202</v>
      </c>
      <c r="M7">
        <f t="shared" si="0"/>
        <v>15.235300000000001</v>
      </c>
      <c r="N7">
        <f t="shared" si="1"/>
        <v>0.3508505548166575</v>
      </c>
      <c r="O7">
        <f t="shared" si="6"/>
        <v>4.95</v>
      </c>
      <c r="P7">
        <f t="shared" si="7"/>
        <v>0.99</v>
      </c>
      <c r="Q7">
        <f t="shared" si="8"/>
        <v>2008.7</v>
      </c>
      <c r="R7">
        <f t="shared" si="9"/>
        <v>2.7799999999999998E-2</v>
      </c>
      <c r="S7">
        <f t="shared" si="10"/>
        <v>1.1999999999999999E-3</v>
      </c>
      <c r="U7" s="24">
        <v>6</v>
      </c>
      <c r="V7" s="25">
        <v>7</v>
      </c>
      <c r="W7" s="28">
        <v>0.26619999999999999</v>
      </c>
      <c r="X7" s="28">
        <v>20.1816</v>
      </c>
      <c r="Y7" s="28">
        <v>0.73319999999999996</v>
      </c>
      <c r="Z7" s="28">
        <v>12.7348</v>
      </c>
      <c r="AA7" s="30">
        <v>10.71</v>
      </c>
      <c r="AB7" s="30">
        <v>1.06</v>
      </c>
      <c r="AC7" s="32">
        <v>2003</v>
      </c>
      <c r="AD7" s="28">
        <v>2.0299999999999999E-2</v>
      </c>
      <c r="AE7" s="34">
        <v>8.7000000000000001E-4</v>
      </c>
    </row>
    <row r="8" spans="1:31">
      <c r="A8">
        <v>0.438</v>
      </c>
      <c r="B8" t="s">
        <v>87</v>
      </c>
      <c r="C8">
        <f>(E8-D7)/(E9-D8+E8-D7)</f>
        <v>0.5</v>
      </c>
      <c r="D8">
        <f>E7</f>
        <v>4</v>
      </c>
      <c r="E8">
        <f>D9</f>
        <v>6</v>
      </c>
      <c r="F8">
        <f>ROUND(F9^C8*F7^(1-C8),4)</f>
        <v>19.1919</v>
      </c>
      <c r="G8">
        <f>ROUND(SQRT((((F8-F7)/G7)^2+((F8-F9)/G9)^2+1)/(1/G7^2+1/G9^2)),4)</f>
        <v>1.4582999999999999</v>
      </c>
      <c r="H8">
        <f>(H7+H9)/2</f>
        <v>4.2111067426416363E-2</v>
      </c>
      <c r="I8">
        <f t="shared" si="2"/>
        <v>0.22059999999999999</v>
      </c>
      <c r="J8">
        <f t="shared" ref="J8:J41" si="11">F8-$A$8</f>
        <v>18.753900000000002</v>
      </c>
      <c r="K8">
        <f t="shared" ref="K8:K41" si="12">ROUND(SQRT(G8^2+$A$9^2),4)</f>
        <v>1.4583999999999999</v>
      </c>
      <c r="L8">
        <f t="shared" si="5"/>
        <v>1.5794934948165398</v>
      </c>
      <c r="M8">
        <f t="shared" si="0"/>
        <v>13.655799999999999</v>
      </c>
      <c r="N8">
        <f t="shared" si="1"/>
        <v>0.32864724347603819</v>
      </c>
      <c r="O8">
        <f t="shared" si="6"/>
        <v>8.4700000000000006</v>
      </c>
      <c r="P8">
        <f t="shared" si="7"/>
        <v>1.02</v>
      </c>
      <c r="Q8">
        <f t="shared" si="8"/>
        <v>2005.2</v>
      </c>
      <c r="R8">
        <f t="shared" si="9"/>
        <v>2.4E-2</v>
      </c>
      <c r="S8">
        <f t="shared" si="10"/>
        <v>1.8500000000000001E-3</v>
      </c>
      <c r="U8" s="24">
        <v>9</v>
      </c>
      <c r="V8" s="25">
        <v>10</v>
      </c>
      <c r="W8" s="28">
        <v>0.40699999999999997</v>
      </c>
      <c r="X8" s="28">
        <v>18.7028</v>
      </c>
      <c r="Y8" s="28">
        <v>0.67659999999999998</v>
      </c>
      <c r="Z8" s="28">
        <v>10.0328</v>
      </c>
      <c r="AA8" s="30">
        <v>18.37</v>
      </c>
      <c r="AB8" s="30">
        <v>1.2</v>
      </c>
      <c r="AC8" s="32">
        <v>1995.3</v>
      </c>
      <c r="AD8" s="28">
        <v>1.7399999999999999E-2</v>
      </c>
      <c r="AE8" s="34">
        <v>8.0000000000000004E-4</v>
      </c>
    </row>
    <row r="9" spans="1:31">
      <c r="A9">
        <v>1.44E-2</v>
      </c>
      <c r="C9">
        <v>3</v>
      </c>
      <c r="D9">
        <v>6</v>
      </c>
      <c r="E9">
        <v>7</v>
      </c>
      <c r="F9">
        <v>20.619599999999998</v>
      </c>
      <c r="G9">
        <v>0.73309999999999997</v>
      </c>
      <c r="H9">
        <v>4.5637355146557791E-2</v>
      </c>
      <c r="I9">
        <f t="shared" si="2"/>
        <v>0.26619999999999999</v>
      </c>
      <c r="J9">
        <f t="shared" si="11"/>
        <v>20.1816</v>
      </c>
      <c r="K9">
        <f t="shared" si="12"/>
        <v>0.73319999999999996</v>
      </c>
      <c r="L9">
        <f t="shared" si="5"/>
        <v>0.92103484662577073</v>
      </c>
      <c r="M9">
        <f t="shared" si="0"/>
        <v>12.7348</v>
      </c>
      <c r="N9">
        <f t="shared" si="1"/>
        <v>0.32693936969754389</v>
      </c>
      <c r="O9">
        <f t="shared" si="6"/>
        <v>10.71</v>
      </c>
      <c r="P9">
        <f t="shared" si="7"/>
        <v>1.06</v>
      </c>
      <c r="Q9">
        <f t="shared" si="8"/>
        <v>2003</v>
      </c>
      <c r="R9">
        <f t="shared" si="9"/>
        <v>2.0299999999999999E-2</v>
      </c>
      <c r="S9">
        <f t="shared" si="10"/>
        <v>8.7000000000000001E-4</v>
      </c>
      <c r="U9" s="24">
        <v>12</v>
      </c>
      <c r="V9" s="25">
        <v>13</v>
      </c>
      <c r="W9" s="28">
        <v>0.54959999999999998</v>
      </c>
      <c r="X9" s="28">
        <v>15.683300000000001</v>
      </c>
      <c r="Y9" s="28">
        <v>0.53639999999999999</v>
      </c>
      <c r="Z9" s="28">
        <v>7.6589</v>
      </c>
      <c r="AA9" s="30">
        <v>27.04</v>
      </c>
      <c r="AB9" s="30">
        <v>1.33</v>
      </c>
      <c r="AC9" s="32">
        <v>1986.7</v>
      </c>
      <c r="AD9" s="28">
        <v>1.5900000000000001E-2</v>
      </c>
      <c r="AE9" s="34">
        <v>7.6000000000000004E-4</v>
      </c>
    </row>
    <row r="10" spans="1:31">
      <c r="B10" t="s">
        <v>87</v>
      </c>
      <c r="C10">
        <f>(E10-D9)/(E11-D10+E10-D9)</f>
        <v>0.5</v>
      </c>
      <c r="D10">
        <f>E9</f>
        <v>7</v>
      </c>
      <c r="E10">
        <f>D11</f>
        <v>9</v>
      </c>
      <c r="F10">
        <f>ROUND(F11^C10*F9^(1-C10),4)</f>
        <v>19.866399999999999</v>
      </c>
      <c r="G10">
        <f>ROUND(SQRT((((F10-F9)/G9)^2+((F10-F11)/G11)^2+1)/(1/G9^2+1/G11^2)),4)</f>
        <v>0.89019999999999999</v>
      </c>
      <c r="H10">
        <f>(H9+H11)/2</f>
        <v>4.6622664284242346E-2</v>
      </c>
      <c r="I10">
        <f t="shared" si="2"/>
        <v>0.3594</v>
      </c>
      <c r="J10">
        <f t="shared" si="11"/>
        <v>19.4284</v>
      </c>
      <c r="K10">
        <f t="shared" si="12"/>
        <v>0.89029999999999998</v>
      </c>
      <c r="L10">
        <f t="shared" si="5"/>
        <v>1.811607541559948</v>
      </c>
      <c r="M10">
        <f t="shared" si="0"/>
        <v>10.9232</v>
      </c>
      <c r="N10">
        <f t="shared" si="1"/>
        <v>0.31622403882681654</v>
      </c>
      <c r="O10">
        <f t="shared" si="6"/>
        <v>15.64</v>
      </c>
      <c r="P10">
        <f t="shared" si="7"/>
        <v>1.1399999999999999</v>
      </c>
      <c r="Q10">
        <f t="shared" si="8"/>
        <v>1998.1</v>
      </c>
      <c r="R10">
        <f t="shared" si="9"/>
        <v>1.89E-2</v>
      </c>
      <c r="S10">
        <f t="shared" si="10"/>
        <v>9.5E-4</v>
      </c>
      <c r="U10" s="24">
        <v>15</v>
      </c>
      <c r="V10" s="25">
        <v>16</v>
      </c>
      <c r="W10" s="28">
        <v>0.70369999999999999</v>
      </c>
      <c r="X10" s="28">
        <v>13.2561</v>
      </c>
      <c r="Y10" s="28">
        <v>0.49659999999999999</v>
      </c>
      <c r="Z10" s="28">
        <v>5.4989999999999997</v>
      </c>
      <c r="AA10" s="30">
        <v>37.68</v>
      </c>
      <c r="AB10" s="30">
        <v>1.57</v>
      </c>
      <c r="AC10" s="32">
        <v>1976</v>
      </c>
      <c r="AD10" s="28">
        <v>1.37E-2</v>
      </c>
      <c r="AE10" s="34">
        <v>7.5000000000000002E-4</v>
      </c>
    </row>
    <row r="11" spans="1:31">
      <c r="A11">
        <f>ROUND(M4,4)</f>
        <v>17.775600000000001</v>
      </c>
      <c r="C11">
        <v>4</v>
      </c>
      <c r="D11">
        <v>9</v>
      </c>
      <c r="E11">
        <v>10</v>
      </c>
      <c r="F11">
        <v>19.140799999999999</v>
      </c>
      <c r="G11">
        <v>0.6764</v>
      </c>
      <c r="H11">
        <v>4.7607973421926908E-2</v>
      </c>
      <c r="I11">
        <f t="shared" si="2"/>
        <v>0.40699999999999997</v>
      </c>
      <c r="J11">
        <f t="shared" si="11"/>
        <v>18.7028</v>
      </c>
      <c r="K11">
        <f t="shared" si="12"/>
        <v>0.67659999999999998</v>
      </c>
      <c r="L11">
        <f t="shared" si="5"/>
        <v>0.89040240531561454</v>
      </c>
      <c r="M11">
        <f t="shared" si="0"/>
        <v>10.0328</v>
      </c>
      <c r="N11">
        <f t="shared" si="1"/>
        <v>0.31457917678733538</v>
      </c>
      <c r="O11">
        <f t="shared" si="6"/>
        <v>18.37</v>
      </c>
      <c r="P11">
        <f t="shared" si="7"/>
        <v>1.2</v>
      </c>
      <c r="Q11">
        <f t="shared" si="8"/>
        <v>1995.3</v>
      </c>
      <c r="R11">
        <f t="shared" si="9"/>
        <v>1.7399999999999999E-2</v>
      </c>
      <c r="S11">
        <f t="shared" si="10"/>
        <v>8.0000000000000004E-4</v>
      </c>
      <c r="U11" s="24">
        <v>18</v>
      </c>
      <c r="V11" s="25">
        <v>19</v>
      </c>
      <c r="W11" s="28">
        <v>0.87480000000000002</v>
      </c>
      <c r="X11" s="28">
        <v>9.2777999999999992</v>
      </c>
      <c r="Y11" s="28">
        <v>0.35239999999999999</v>
      </c>
      <c r="Z11" s="28">
        <v>3.7069999999999999</v>
      </c>
      <c r="AA11" s="30">
        <v>50.34</v>
      </c>
      <c r="AB11" s="30">
        <v>1.1100000000000001</v>
      </c>
      <c r="AC11" s="32">
        <v>1963.4</v>
      </c>
      <c r="AD11" s="28">
        <v>1.3299999999999999E-2</v>
      </c>
      <c r="AE11" s="34">
        <v>5.9000000000000003E-4</v>
      </c>
    </row>
    <row r="12" spans="1:31">
      <c r="B12" t="s">
        <v>87</v>
      </c>
      <c r="C12">
        <f>(E12-D11)/(E13-D12+E12-D11)</f>
        <v>0.5</v>
      </c>
      <c r="D12">
        <f>E11</f>
        <v>10</v>
      </c>
      <c r="E12">
        <f>D13</f>
        <v>12</v>
      </c>
      <c r="F12">
        <f>ROUND(F13^C12*F11^(1-C12),4)</f>
        <v>17.566299999999998</v>
      </c>
      <c r="G12">
        <f>ROUND(SQRT((((F12-F11)/G11)^2+((F12-F13)/G13)^2+1)/(1/G11^2+1/G13^2)),4)</f>
        <v>1.5542</v>
      </c>
      <c r="H12">
        <f>(H11+H13)/2</f>
        <v>4.755188587062735E-2</v>
      </c>
      <c r="I12">
        <f t="shared" si="2"/>
        <v>0.50209999999999999</v>
      </c>
      <c r="J12">
        <f t="shared" si="11"/>
        <v>17.128299999999999</v>
      </c>
      <c r="K12">
        <f t="shared" si="12"/>
        <v>1.5543</v>
      </c>
      <c r="L12">
        <f t="shared" si="5"/>
        <v>1.6289659335157329</v>
      </c>
      <c r="M12">
        <f t="shared" si="0"/>
        <v>8.4038000000000004</v>
      </c>
      <c r="N12">
        <f t="shared" si="1"/>
        <v>0.27768573502768351</v>
      </c>
      <c r="O12">
        <f t="shared" si="6"/>
        <v>24.06</v>
      </c>
      <c r="P12">
        <f t="shared" si="7"/>
        <v>1.25</v>
      </c>
      <c r="Q12">
        <f t="shared" si="8"/>
        <v>1989.6</v>
      </c>
      <c r="R12">
        <f t="shared" si="9"/>
        <v>1.67E-2</v>
      </c>
      <c r="S12">
        <f t="shared" si="10"/>
        <v>1.48E-3</v>
      </c>
      <c r="U12" s="24">
        <v>20</v>
      </c>
      <c r="V12" s="25">
        <v>21</v>
      </c>
      <c r="W12" s="28">
        <v>0.99199999999999999</v>
      </c>
      <c r="X12" s="28">
        <v>7.3178999999999998</v>
      </c>
      <c r="Y12" s="28">
        <v>0.30120000000000002</v>
      </c>
      <c r="Z12" s="28">
        <v>2.7951999999999999</v>
      </c>
      <c r="AA12" s="30">
        <v>59.41</v>
      </c>
      <c r="AB12" s="30">
        <v>1.1599999999999999</v>
      </c>
      <c r="AC12" s="32">
        <v>1954.3</v>
      </c>
      <c r="AD12" s="28">
        <v>1.2800000000000001E-2</v>
      </c>
      <c r="AE12" s="34">
        <v>6.0999999999999997E-4</v>
      </c>
    </row>
    <row r="13" spans="1:31">
      <c r="A13">
        <f>ROUND(A11*EXP((Count_Date-Coring_Date)/365.25*k)*k*1.0172,4)</f>
        <v>0.5736</v>
      </c>
      <c r="C13">
        <v>5</v>
      </c>
      <c r="D13">
        <v>12</v>
      </c>
      <c r="E13">
        <v>13</v>
      </c>
      <c r="F13">
        <v>16.121300000000002</v>
      </c>
      <c r="G13">
        <v>0.53620000000000001</v>
      </c>
      <c r="H13">
        <v>4.7495798319327799E-2</v>
      </c>
      <c r="I13">
        <f t="shared" si="2"/>
        <v>0.54959999999999998</v>
      </c>
      <c r="J13">
        <f t="shared" si="11"/>
        <v>15.683300000000001</v>
      </c>
      <c r="K13">
        <f t="shared" si="12"/>
        <v>0.53639999999999999</v>
      </c>
      <c r="L13">
        <f t="shared" si="5"/>
        <v>0.74489085378151376</v>
      </c>
      <c r="M13">
        <f t="shared" si="0"/>
        <v>7.6589</v>
      </c>
      <c r="N13">
        <f t="shared" si="1"/>
        <v>0.27651456171417743</v>
      </c>
      <c r="O13">
        <f t="shared" si="6"/>
        <v>27.04</v>
      </c>
      <c r="P13">
        <f t="shared" si="7"/>
        <v>1.33</v>
      </c>
      <c r="Q13">
        <f t="shared" si="8"/>
        <v>1986.7</v>
      </c>
      <c r="R13">
        <f t="shared" si="9"/>
        <v>1.5900000000000001E-2</v>
      </c>
      <c r="S13">
        <f t="shared" si="10"/>
        <v>7.6000000000000004E-4</v>
      </c>
      <c r="U13" s="24">
        <v>22</v>
      </c>
      <c r="V13" s="25">
        <v>23</v>
      </c>
      <c r="W13" s="28">
        <v>1.1124000000000001</v>
      </c>
      <c r="X13" s="28">
        <v>5.6695000000000002</v>
      </c>
      <c r="Y13" s="28">
        <v>0.24909999999999999</v>
      </c>
      <c r="Z13" s="28">
        <v>2.0665</v>
      </c>
      <c r="AA13" s="30">
        <v>69.11</v>
      </c>
      <c r="AB13" s="30">
        <v>1.2</v>
      </c>
      <c r="AC13" s="32">
        <v>1944.6</v>
      </c>
      <c r="AD13" s="28">
        <v>1.23E-2</v>
      </c>
      <c r="AE13" s="34">
        <v>6.0999999999999997E-4</v>
      </c>
    </row>
    <row r="14" spans="1:31">
      <c r="B14" t="s">
        <v>87</v>
      </c>
      <c r="C14">
        <f>(E14-D13)/(E15-D14+E14-D13)</f>
        <v>0.5</v>
      </c>
      <c r="D14">
        <f>E13</f>
        <v>13</v>
      </c>
      <c r="E14">
        <f>D15</f>
        <v>15</v>
      </c>
      <c r="F14">
        <f>ROUND(F15^C14*F13^(1-C14),4)</f>
        <v>14.8582</v>
      </c>
      <c r="G14">
        <f>ROUND(SQRT((((F14-F13)/G13)^2+((F14-F15)/G15)^2+1)/(1/G13^2+1/G15^2)),4)</f>
        <v>1.2644</v>
      </c>
      <c r="H14">
        <f>(H13+H15)/2</f>
        <v>5.0396250808015512E-2</v>
      </c>
      <c r="I14">
        <f t="shared" si="2"/>
        <v>0.65039999999999998</v>
      </c>
      <c r="J14">
        <f t="shared" si="11"/>
        <v>14.420199999999999</v>
      </c>
      <c r="K14">
        <f t="shared" si="12"/>
        <v>1.2645</v>
      </c>
      <c r="L14">
        <f t="shared" si="5"/>
        <v>1.4534480318034906</v>
      </c>
      <c r="M14">
        <f t="shared" si="0"/>
        <v>6.2054999999999998</v>
      </c>
      <c r="N14">
        <f t="shared" si="1"/>
        <v>0.24539001687617745</v>
      </c>
      <c r="O14">
        <f t="shared" si="6"/>
        <v>33.799999999999997</v>
      </c>
      <c r="P14">
        <f t="shared" si="7"/>
        <v>1.43</v>
      </c>
      <c r="Q14">
        <f t="shared" si="8"/>
        <v>1979.9</v>
      </c>
      <c r="R14">
        <f t="shared" si="9"/>
        <v>1.49E-2</v>
      </c>
      <c r="S14">
        <f t="shared" si="10"/>
        <v>1.2899999999999999E-3</v>
      </c>
      <c r="U14" s="24">
        <v>24</v>
      </c>
      <c r="V14" s="25">
        <v>25</v>
      </c>
      <c r="W14" s="28">
        <v>1.2341</v>
      </c>
      <c r="X14" s="28">
        <v>4.5804</v>
      </c>
      <c r="Y14" s="28">
        <v>0.1613</v>
      </c>
      <c r="Z14" s="28">
        <v>1.4775</v>
      </c>
      <c r="AA14" s="30">
        <v>79.88</v>
      </c>
      <c r="AB14" s="30">
        <v>1.35</v>
      </c>
      <c r="AC14" s="32">
        <v>1933.8</v>
      </c>
      <c r="AD14" s="28">
        <v>1.0999999999999999E-2</v>
      </c>
      <c r="AE14" s="34">
        <v>5.1000000000000004E-4</v>
      </c>
    </row>
    <row r="15" spans="1:31">
      <c r="C15">
        <v>6</v>
      </c>
      <c r="D15">
        <v>15</v>
      </c>
      <c r="E15">
        <v>16</v>
      </c>
      <c r="F15">
        <v>13.694100000000001</v>
      </c>
      <c r="G15">
        <v>0.49640000000000001</v>
      </c>
      <c r="H15">
        <v>5.3296703296703225E-2</v>
      </c>
      <c r="I15">
        <f t="shared" si="2"/>
        <v>0.70369999999999999</v>
      </c>
      <c r="J15">
        <f t="shared" si="11"/>
        <v>13.2561</v>
      </c>
      <c r="K15">
        <f t="shared" si="12"/>
        <v>0.49659999999999999</v>
      </c>
      <c r="L15">
        <f t="shared" si="5"/>
        <v>0.70650642857142765</v>
      </c>
      <c r="M15">
        <f t="shared" si="0"/>
        <v>5.4989999999999997</v>
      </c>
      <c r="N15">
        <f t="shared" si="1"/>
        <v>0.24395850206842606</v>
      </c>
      <c r="O15">
        <f t="shared" si="6"/>
        <v>37.68</v>
      </c>
      <c r="P15">
        <f t="shared" si="7"/>
        <v>1.57</v>
      </c>
      <c r="Q15">
        <f t="shared" si="8"/>
        <v>1976</v>
      </c>
      <c r="R15">
        <f t="shared" si="9"/>
        <v>1.37E-2</v>
      </c>
      <c r="S15">
        <f t="shared" si="10"/>
        <v>7.5000000000000002E-4</v>
      </c>
      <c r="U15" s="24">
        <v>26</v>
      </c>
      <c r="V15" s="25">
        <v>27</v>
      </c>
      <c r="W15" s="28">
        <v>1.3543000000000001</v>
      </c>
      <c r="X15" s="28">
        <v>3.3771</v>
      </c>
      <c r="Y15" s="28">
        <v>0.1172</v>
      </c>
      <c r="Z15" s="28">
        <v>1.0378000000000001</v>
      </c>
      <c r="AA15" s="30">
        <v>91.22</v>
      </c>
      <c r="AB15" s="30">
        <v>1.41</v>
      </c>
      <c r="AC15" s="32">
        <v>1922.5</v>
      </c>
      <c r="AD15" s="28">
        <v>1.0500000000000001E-2</v>
      </c>
      <c r="AE15" s="34">
        <v>5.0000000000000001E-4</v>
      </c>
    </row>
    <row r="16" spans="1:31">
      <c r="B16" t="s">
        <v>87</v>
      </c>
      <c r="C16">
        <f>(E16-D15)/(E17-D16+E16-D15)</f>
        <v>0.5</v>
      </c>
      <c r="D16">
        <f>E15</f>
        <v>16</v>
      </c>
      <c r="E16">
        <f>D17</f>
        <v>18</v>
      </c>
      <c r="F16">
        <f>ROUND(F17^C16*F15^(1-C16),4)</f>
        <v>11.534700000000001</v>
      </c>
      <c r="G16">
        <f>ROUND(SQRT((((F16-F15)/G15)^2+((F16-F17)/G17)^2+1)/(1/G15^2+1/G17^2)),4)</f>
        <v>1.9607000000000001</v>
      </c>
      <c r="H16">
        <f>(H15+H17)/2</f>
        <v>5.6112939923512531E-2</v>
      </c>
      <c r="I16">
        <f t="shared" si="2"/>
        <v>0.81589999999999996</v>
      </c>
      <c r="J16">
        <f t="shared" si="11"/>
        <v>11.0967</v>
      </c>
      <c r="K16">
        <f t="shared" si="12"/>
        <v>1.9608000000000001</v>
      </c>
      <c r="L16">
        <f t="shared" si="5"/>
        <v>1.245336920898483</v>
      </c>
      <c r="M16">
        <f t="shared" si="0"/>
        <v>4.2537000000000003</v>
      </c>
      <c r="N16">
        <f t="shared" si="1"/>
        <v>0.10532162971058322</v>
      </c>
      <c r="O16">
        <f t="shared" si="6"/>
        <v>45.92</v>
      </c>
      <c r="P16">
        <f t="shared" si="7"/>
        <v>1.03</v>
      </c>
      <c r="Q16">
        <f t="shared" si="8"/>
        <v>1967.8</v>
      </c>
      <c r="R16">
        <f t="shared" si="9"/>
        <v>1.3599999999999999E-2</v>
      </c>
      <c r="S16">
        <f t="shared" si="10"/>
        <v>2.14E-3</v>
      </c>
      <c r="U16" s="24">
        <v>28</v>
      </c>
      <c r="V16" s="25">
        <v>29</v>
      </c>
      <c r="W16" s="28">
        <v>1.4702999999999999</v>
      </c>
      <c r="X16" s="28">
        <v>2.5409999999999999</v>
      </c>
      <c r="Y16" s="28">
        <v>0.10249999999999999</v>
      </c>
      <c r="Z16" s="28">
        <v>0.72019999999999995</v>
      </c>
      <c r="AA16" s="30">
        <v>102.96</v>
      </c>
      <c r="AB16" s="30">
        <v>1.53</v>
      </c>
      <c r="AC16" s="32">
        <v>1910.7</v>
      </c>
      <c r="AD16" s="28">
        <v>9.7000000000000003E-3</v>
      </c>
      <c r="AE16" s="34">
        <v>5.1999999999999995E-4</v>
      </c>
    </row>
    <row r="17" spans="2:31">
      <c r="C17">
        <v>7</v>
      </c>
      <c r="D17">
        <v>18</v>
      </c>
      <c r="E17">
        <v>19</v>
      </c>
      <c r="F17">
        <v>9.7157999999999998</v>
      </c>
      <c r="G17">
        <v>0.35210000000000002</v>
      </c>
      <c r="H17">
        <v>5.892917655032183E-2</v>
      </c>
      <c r="I17">
        <f t="shared" si="2"/>
        <v>0.87480000000000002</v>
      </c>
      <c r="J17">
        <f t="shared" si="11"/>
        <v>9.2777999999999992</v>
      </c>
      <c r="K17">
        <f t="shared" si="12"/>
        <v>0.35239999999999999</v>
      </c>
      <c r="L17">
        <f t="shared" si="5"/>
        <v>0.54673311419857584</v>
      </c>
      <c r="M17">
        <f t="shared" si="0"/>
        <v>3.7069999999999999</v>
      </c>
      <c r="N17">
        <f t="shared" si="1"/>
        <v>0.10325401819089326</v>
      </c>
      <c r="O17">
        <f t="shared" si="6"/>
        <v>50.34</v>
      </c>
      <c r="P17">
        <f t="shared" si="7"/>
        <v>1.1100000000000001</v>
      </c>
      <c r="Q17">
        <f t="shared" si="8"/>
        <v>1963.4</v>
      </c>
      <c r="R17">
        <f t="shared" si="9"/>
        <v>1.3299999999999999E-2</v>
      </c>
      <c r="S17">
        <f t="shared" si="10"/>
        <v>5.9000000000000003E-4</v>
      </c>
      <c r="U17" s="24">
        <v>30</v>
      </c>
      <c r="V17" s="25">
        <v>31</v>
      </c>
      <c r="W17" s="28">
        <v>1.5833999999999999</v>
      </c>
      <c r="X17" s="28">
        <v>2.0330999999999997</v>
      </c>
      <c r="Y17" s="28">
        <v>9.0300000000000005E-2</v>
      </c>
      <c r="Z17" s="28">
        <v>0.47649999999999998</v>
      </c>
      <c r="AA17" s="30">
        <v>116.22</v>
      </c>
      <c r="AB17" s="30">
        <v>1.92</v>
      </c>
      <c r="AC17" s="32">
        <v>1897.5</v>
      </c>
      <c r="AD17" s="28">
        <v>8.0999999999999996E-3</v>
      </c>
      <c r="AE17" s="34">
        <v>5.1999999999999995E-4</v>
      </c>
    </row>
    <row r="18" spans="2:31">
      <c r="B18" t="s">
        <v>87</v>
      </c>
      <c r="C18">
        <f>(E18-D17)/(E19-D18+E18-D17)</f>
        <v>0.5</v>
      </c>
      <c r="D18">
        <f>E17</f>
        <v>19</v>
      </c>
      <c r="E18">
        <f>D19</f>
        <v>20</v>
      </c>
      <c r="F18">
        <f>ROUND(F19^C18*F17^(1-C18),4)</f>
        <v>8.6806999999999999</v>
      </c>
      <c r="G18">
        <f>ROUND(SQRT((((F18-F17)/G17)^2+((F18-F19)/G19)^2+1)/(1/G17^2+1/G19^2)),4)</f>
        <v>0.99939999999999996</v>
      </c>
      <c r="H18">
        <f>(H17+H19)/2</f>
        <v>5.8700581483989461E-2</v>
      </c>
      <c r="I18">
        <f t="shared" si="2"/>
        <v>0.9335</v>
      </c>
      <c r="J18">
        <f t="shared" si="11"/>
        <v>8.2426999999999992</v>
      </c>
      <c r="K18">
        <f t="shared" si="12"/>
        <v>0.99950000000000006</v>
      </c>
      <c r="L18">
        <f t="shared" si="5"/>
        <v>0.48385128299807989</v>
      </c>
      <c r="M18">
        <f t="shared" si="0"/>
        <v>3.2231000000000001</v>
      </c>
      <c r="N18">
        <f t="shared" si="1"/>
        <v>8.4965162877698411E-2</v>
      </c>
      <c r="O18">
        <f t="shared" si="6"/>
        <v>54.83</v>
      </c>
      <c r="P18">
        <f t="shared" si="7"/>
        <v>1.07</v>
      </c>
      <c r="Q18">
        <f t="shared" si="8"/>
        <v>1958.9</v>
      </c>
      <c r="R18">
        <f t="shared" si="9"/>
        <v>1.3100000000000001E-2</v>
      </c>
      <c r="S18">
        <f t="shared" si="10"/>
        <v>1.5200000000000001E-3</v>
      </c>
      <c r="U18" s="24">
        <v>32</v>
      </c>
      <c r="V18" s="25">
        <v>33</v>
      </c>
      <c r="W18" s="28">
        <v>1.6906000000000001</v>
      </c>
      <c r="X18" s="28">
        <v>1.5572000000000001</v>
      </c>
      <c r="Y18" s="28">
        <v>6.3500000000000001E-2</v>
      </c>
      <c r="Z18" s="28">
        <v>0.29730000000000001</v>
      </c>
      <c r="AA18" s="30">
        <v>131.37</v>
      </c>
      <c r="AB18" s="30">
        <v>2.58</v>
      </c>
      <c r="AC18" s="32">
        <v>1882.3</v>
      </c>
      <c r="AD18" s="28">
        <v>6.7000000000000002E-3</v>
      </c>
      <c r="AE18" s="34">
        <v>5.1999999999999995E-4</v>
      </c>
    </row>
    <row r="19" spans="2:31">
      <c r="C19">
        <v>8</v>
      </c>
      <c r="D19">
        <v>20</v>
      </c>
      <c r="E19">
        <v>21</v>
      </c>
      <c r="F19">
        <v>7.7558999999999996</v>
      </c>
      <c r="G19">
        <v>0.3009</v>
      </c>
      <c r="H19">
        <v>5.8471986417657093E-2</v>
      </c>
      <c r="I19">
        <f t="shared" si="2"/>
        <v>0.99199999999999999</v>
      </c>
      <c r="J19">
        <f t="shared" si="11"/>
        <v>7.3178999999999998</v>
      </c>
      <c r="K19">
        <f t="shared" si="12"/>
        <v>0.30120000000000002</v>
      </c>
      <c r="L19">
        <f t="shared" si="5"/>
        <v>0.42789214940577286</v>
      </c>
      <c r="M19">
        <f t="shared" si="0"/>
        <v>2.7951999999999999</v>
      </c>
      <c r="N19">
        <f t="shared" si="1"/>
        <v>8.3119821530157095E-2</v>
      </c>
      <c r="O19">
        <f t="shared" si="6"/>
        <v>59.41</v>
      </c>
      <c r="P19">
        <f t="shared" si="7"/>
        <v>1.1599999999999999</v>
      </c>
      <c r="Q19">
        <f t="shared" si="8"/>
        <v>1954.3</v>
      </c>
      <c r="R19">
        <f t="shared" si="9"/>
        <v>1.2800000000000001E-2</v>
      </c>
      <c r="S19">
        <f t="shared" si="10"/>
        <v>6.0999999999999997E-4</v>
      </c>
      <c r="U19" s="24">
        <v>34</v>
      </c>
      <c r="V19" s="25">
        <v>35</v>
      </c>
      <c r="W19" s="28">
        <v>1.7899</v>
      </c>
      <c r="X19" s="28">
        <v>1.1132</v>
      </c>
      <c r="Y19" s="28">
        <v>4.3499999999999997E-2</v>
      </c>
      <c r="Z19" s="28">
        <v>0.17630000000000001</v>
      </c>
      <c r="AA19" s="30">
        <v>148.15</v>
      </c>
      <c r="AB19" s="30">
        <v>3.72</v>
      </c>
      <c r="AC19" s="32">
        <v>1865.5</v>
      </c>
      <c r="AD19" s="28">
        <v>5.7000000000000002E-3</v>
      </c>
      <c r="AE19" s="34">
        <v>5.9999999999999995E-4</v>
      </c>
    </row>
    <row r="20" spans="2:31">
      <c r="B20" t="s">
        <v>87</v>
      </c>
      <c r="C20">
        <f>(E20-D19)/(E21-D20+E20-D19)</f>
        <v>0.5</v>
      </c>
      <c r="D20">
        <f>E19</f>
        <v>21</v>
      </c>
      <c r="E20">
        <f>D21</f>
        <v>22</v>
      </c>
      <c r="F20">
        <f>ROUND(F21^C20*F19^(1-C20),4)</f>
        <v>6.8825000000000003</v>
      </c>
      <c r="G20">
        <f>ROUND(SQRT((((F20-F19)/G19)^2+((F20-F21)/G21)^2+1)/(1/G19^2+1/G21^2)),4)</f>
        <v>0.83860000000000001</v>
      </c>
      <c r="H20">
        <f>(H19+H21)/2</f>
        <v>5.9617999635104779E-2</v>
      </c>
      <c r="I20">
        <f t="shared" si="2"/>
        <v>1.0516000000000001</v>
      </c>
      <c r="J20">
        <f t="shared" si="11"/>
        <v>6.4445000000000006</v>
      </c>
      <c r="K20">
        <f t="shared" si="12"/>
        <v>0.8387</v>
      </c>
      <c r="L20">
        <f t="shared" si="5"/>
        <v>0.38420819864843281</v>
      </c>
      <c r="M20">
        <f t="shared" si="0"/>
        <v>2.411</v>
      </c>
      <c r="N20">
        <f t="shared" si="1"/>
        <v>6.6398366690729099E-2</v>
      </c>
      <c r="O20">
        <f t="shared" si="6"/>
        <v>64.150000000000006</v>
      </c>
      <c r="P20">
        <f t="shared" si="7"/>
        <v>1.1000000000000001</v>
      </c>
      <c r="Q20">
        <f t="shared" si="8"/>
        <v>1949.5</v>
      </c>
      <c r="R20">
        <f t="shared" si="9"/>
        <v>1.26E-2</v>
      </c>
      <c r="S20">
        <f t="shared" si="10"/>
        <v>1.56E-3</v>
      </c>
      <c r="U20" s="24">
        <v>36</v>
      </c>
      <c r="V20" s="25">
        <v>37</v>
      </c>
      <c r="W20" s="28">
        <v>1.8817999999999999</v>
      </c>
      <c r="X20" s="28">
        <v>0.50419999999999998</v>
      </c>
      <c r="Y20" s="28">
        <v>3.0700000000000002E-2</v>
      </c>
      <c r="Z20" s="28">
        <v>0.11749999999999999</v>
      </c>
      <c r="AA20" s="30">
        <v>161.18</v>
      </c>
      <c r="AB20" s="30">
        <v>4.04</v>
      </c>
      <c r="AC20" s="32">
        <v>1852.5</v>
      </c>
      <c r="AD20" s="28">
        <v>8.0000000000000002E-3</v>
      </c>
      <c r="AE20" s="34">
        <v>1.0200000000000001E-3</v>
      </c>
    </row>
    <row r="21" spans="2:31">
      <c r="C21">
        <v>9</v>
      </c>
      <c r="D21">
        <v>22</v>
      </c>
      <c r="E21">
        <v>23</v>
      </c>
      <c r="F21">
        <v>6.1074999999999999</v>
      </c>
      <c r="G21">
        <v>0.2487</v>
      </c>
      <c r="H21">
        <v>6.0764012852552465E-2</v>
      </c>
      <c r="I21">
        <f t="shared" si="2"/>
        <v>1.1124000000000001</v>
      </c>
      <c r="J21">
        <f t="shared" si="11"/>
        <v>5.6695000000000002</v>
      </c>
      <c r="K21">
        <f t="shared" si="12"/>
        <v>0.24909999999999999</v>
      </c>
      <c r="L21">
        <f t="shared" si="5"/>
        <v>0.34450157086754624</v>
      </c>
      <c r="M21">
        <f t="shared" si="0"/>
        <v>2.0665</v>
      </c>
      <c r="N21">
        <f t="shared" si="1"/>
        <v>6.4650097054885905E-2</v>
      </c>
      <c r="O21">
        <f t="shared" si="6"/>
        <v>69.11</v>
      </c>
      <c r="P21">
        <f t="shared" si="7"/>
        <v>1.2</v>
      </c>
      <c r="Q21">
        <f t="shared" si="8"/>
        <v>1944.6</v>
      </c>
      <c r="R21">
        <f t="shared" si="9"/>
        <v>1.23E-2</v>
      </c>
      <c r="S21">
        <f t="shared" si="10"/>
        <v>6.0999999999999997E-4</v>
      </c>
      <c r="U21" s="24">
        <v>38</v>
      </c>
      <c r="V21" s="25">
        <v>39</v>
      </c>
      <c r="W21" s="28">
        <v>1.9714</v>
      </c>
      <c r="X21" s="28">
        <v>0.46549999999999997</v>
      </c>
      <c r="Y21" s="28">
        <v>3.3300000000000003E-2</v>
      </c>
      <c r="Z21" s="28">
        <v>7.4899999999999994E-2</v>
      </c>
      <c r="AA21" s="30">
        <v>175.64</v>
      </c>
      <c r="AB21" s="30">
        <v>6.23</v>
      </c>
      <c r="AC21" s="32">
        <v>1838.1</v>
      </c>
      <c r="AD21" s="28">
        <v>5.7000000000000002E-3</v>
      </c>
      <c r="AE21" s="34">
        <v>1.0399999999999999E-3</v>
      </c>
    </row>
    <row r="22" spans="2:31">
      <c r="B22" t="s">
        <v>87</v>
      </c>
      <c r="C22">
        <f>(E22-D21)/(E23-D22+E22-D21)</f>
        <v>0.5</v>
      </c>
      <c r="D22">
        <f>E21</f>
        <v>23</v>
      </c>
      <c r="E22">
        <f>D23</f>
        <v>24</v>
      </c>
      <c r="F22">
        <f>ROUND(F23^C22*F21^(1-C22),4)</f>
        <v>5.5362</v>
      </c>
      <c r="G22">
        <f>ROUND(SQRT((((F22-F21)/G21)^2+((F22-F23)/G23)^2+1)/(1/G21^2+1/G23^2)),4)</f>
        <v>0.55089999999999995</v>
      </c>
      <c r="H22">
        <f>(H21+H23)/2</f>
        <v>6.0829510729202195E-2</v>
      </c>
      <c r="I22">
        <f t="shared" si="2"/>
        <v>1.1732</v>
      </c>
      <c r="J22">
        <f t="shared" si="11"/>
        <v>5.0982000000000003</v>
      </c>
      <c r="K22">
        <f t="shared" si="12"/>
        <v>0.55110000000000003</v>
      </c>
      <c r="L22">
        <f t="shared" si="5"/>
        <v>0.31012101159961863</v>
      </c>
      <c r="M22">
        <f t="shared" si="0"/>
        <v>1.7564</v>
      </c>
      <c r="N22">
        <f t="shared" si="1"/>
        <v>5.5279597577036321E-2</v>
      </c>
      <c r="O22">
        <f t="shared" si="6"/>
        <v>74.33</v>
      </c>
      <c r="P22">
        <f t="shared" si="7"/>
        <v>1.21</v>
      </c>
      <c r="Q22">
        <f t="shared" si="8"/>
        <v>1939.4</v>
      </c>
      <c r="R22">
        <f t="shared" si="9"/>
        <v>1.1599999999999999E-2</v>
      </c>
      <c r="S22">
        <f t="shared" si="10"/>
        <v>1.2099999999999999E-3</v>
      </c>
      <c r="U22" s="24">
        <v>41</v>
      </c>
      <c r="V22" s="25">
        <v>42</v>
      </c>
      <c r="W22" s="28">
        <v>2.1044</v>
      </c>
      <c r="X22" s="28">
        <v>0.21129999999999999</v>
      </c>
      <c r="Y22" s="28">
        <v>2.5499999999999998E-2</v>
      </c>
      <c r="Z22" s="28">
        <v>3.6499999999999998E-2</v>
      </c>
      <c r="AA22" s="30">
        <v>198.72</v>
      </c>
      <c r="AB22" s="30">
        <v>8.01</v>
      </c>
      <c r="AC22" s="32">
        <v>1815</v>
      </c>
      <c r="AD22" s="28">
        <v>6.1000000000000004E-3</v>
      </c>
      <c r="AE22" s="34">
        <v>1.5100000000000001E-3</v>
      </c>
    </row>
    <row r="23" spans="2:31">
      <c r="C23">
        <v>10</v>
      </c>
      <c r="D23">
        <v>24</v>
      </c>
      <c r="E23">
        <v>25</v>
      </c>
      <c r="F23">
        <v>5.0183999999999997</v>
      </c>
      <c r="G23">
        <v>0.16070000000000001</v>
      </c>
      <c r="H23">
        <v>6.0895008605851925E-2</v>
      </c>
      <c r="I23">
        <f t="shared" si="2"/>
        <v>1.2341</v>
      </c>
      <c r="J23">
        <f t="shared" si="11"/>
        <v>4.5804</v>
      </c>
      <c r="K23">
        <f t="shared" si="12"/>
        <v>0.1613</v>
      </c>
      <c r="L23">
        <f t="shared" si="5"/>
        <v>0.27892349741824418</v>
      </c>
      <c r="M23">
        <f t="shared" si="0"/>
        <v>1.4775</v>
      </c>
      <c r="N23">
        <f t="shared" si="1"/>
        <v>5.4399954561411445E-2</v>
      </c>
      <c r="O23">
        <f t="shared" si="6"/>
        <v>79.88</v>
      </c>
      <c r="P23">
        <f t="shared" si="7"/>
        <v>1.35</v>
      </c>
      <c r="Q23">
        <f t="shared" si="8"/>
        <v>1933.8</v>
      </c>
      <c r="R23">
        <f t="shared" si="9"/>
        <v>1.0999999999999999E-2</v>
      </c>
      <c r="S23">
        <f t="shared" si="10"/>
        <v>5.1000000000000004E-4</v>
      </c>
      <c r="U23" s="26">
        <v>44</v>
      </c>
      <c r="V23" s="27">
        <v>45</v>
      </c>
      <c r="W23" s="29">
        <v>2.2414999999999998</v>
      </c>
      <c r="X23" s="29">
        <v>9.6699999999999953E-2</v>
      </c>
      <c r="Y23" s="29">
        <v>2.2599999999999999E-2</v>
      </c>
      <c r="Z23" s="29">
        <v>1.83E-2</v>
      </c>
      <c r="AA23" s="31">
        <v>220.9</v>
      </c>
      <c r="AB23" s="31">
        <v>12.62</v>
      </c>
      <c r="AC23" s="33">
        <v>1792.8</v>
      </c>
      <c r="AD23" s="29">
        <v>6.6E-3</v>
      </c>
      <c r="AE23" s="35">
        <v>2.7000000000000001E-3</v>
      </c>
    </row>
    <row r="24" spans="2:31">
      <c r="B24" t="s">
        <v>87</v>
      </c>
      <c r="C24">
        <f>(E24-D23)/(E25-D24+E24-D23)</f>
        <v>0.5</v>
      </c>
      <c r="D24">
        <f>E23</f>
        <v>25</v>
      </c>
      <c r="E24">
        <f>D25</f>
        <v>26</v>
      </c>
      <c r="F24">
        <f>ROUND(F25^C24*F23^(1-C24),4)</f>
        <v>4.3756000000000004</v>
      </c>
      <c r="G24">
        <f>ROUND(SQRT((((F24-F23)/G23)^2+((F24-F25)/G25)^2+1)/(1/G23^2+1/G25^2)),4)</f>
        <v>0.59760000000000002</v>
      </c>
      <c r="H24">
        <f>(H23+H25)/2</f>
        <v>6.0361593650005027E-2</v>
      </c>
      <c r="I24">
        <f t="shared" si="2"/>
        <v>1.2945</v>
      </c>
      <c r="J24">
        <f t="shared" si="11"/>
        <v>3.9376000000000002</v>
      </c>
      <c r="K24">
        <f t="shared" si="12"/>
        <v>0.5978</v>
      </c>
      <c r="L24">
        <f t="shared" si="5"/>
        <v>0.2376798111562598</v>
      </c>
      <c r="M24">
        <f t="shared" si="0"/>
        <v>1.2398</v>
      </c>
      <c r="N24">
        <f t="shared" si="1"/>
        <v>4.0709807221563289E-2</v>
      </c>
      <c r="O24">
        <f t="shared" si="6"/>
        <v>85.51</v>
      </c>
      <c r="P24">
        <f t="shared" si="7"/>
        <v>1.24</v>
      </c>
      <c r="Q24">
        <f t="shared" si="8"/>
        <v>1928.2</v>
      </c>
      <c r="R24">
        <f t="shared" si="9"/>
        <v>1.0699999999999999E-2</v>
      </c>
      <c r="S24">
        <f t="shared" si="10"/>
        <v>1.5200000000000001E-3</v>
      </c>
    </row>
    <row r="25" spans="2:31">
      <c r="C25">
        <v>11</v>
      </c>
      <c r="D25">
        <v>26</v>
      </c>
      <c r="E25">
        <v>27</v>
      </c>
      <c r="F25">
        <v>3.8151000000000002</v>
      </c>
      <c r="G25">
        <v>0.1163</v>
      </c>
      <c r="H25">
        <v>5.9828178694158123E-2</v>
      </c>
      <c r="I25">
        <f t="shared" si="2"/>
        <v>1.3543000000000001</v>
      </c>
      <c r="J25">
        <f t="shared" si="11"/>
        <v>3.3771</v>
      </c>
      <c r="K25">
        <f t="shared" si="12"/>
        <v>0.1172</v>
      </c>
      <c r="L25">
        <f t="shared" si="5"/>
        <v>0.2020457422680414</v>
      </c>
      <c r="M25">
        <f t="shared" si="0"/>
        <v>1.0378000000000001</v>
      </c>
      <c r="N25">
        <f t="shared" si="1"/>
        <v>4.0101398824673763E-2</v>
      </c>
      <c r="O25">
        <f t="shared" si="6"/>
        <v>91.22</v>
      </c>
      <c r="P25">
        <f t="shared" si="7"/>
        <v>1.41</v>
      </c>
      <c r="Q25">
        <f t="shared" si="8"/>
        <v>1922.5</v>
      </c>
      <c r="R25">
        <f t="shared" si="9"/>
        <v>1.0500000000000001E-2</v>
      </c>
      <c r="S25">
        <f t="shared" si="10"/>
        <v>5.0000000000000001E-4</v>
      </c>
      <c r="U25" s="21" t="str">
        <f>"Supported Pb-210:     "&amp;Cs&amp;" ± "&amp;dCs&amp;"  pCi/g"</f>
        <v>Supported Pb-210:     0.438 ± 0.0144  pCi/g</v>
      </c>
      <c r="V25" s="22"/>
      <c r="W25" s="22"/>
      <c r="X25" s="23"/>
      <c r="AB25" s="21" t="str">
        <f>"Cum. Unsup. Pb-210:    "&amp;Ao&amp;"  pCi/cm2"</f>
        <v>Cum. Unsup. Pb-210:    17.7756  pCi/cm2</v>
      </c>
      <c r="AC25" s="22"/>
      <c r="AD25" s="22"/>
      <c r="AE25" s="23"/>
    </row>
    <row r="26" spans="2:31">
      <c r="B26" t="s">
        <v>87</v>
      </c>
      <c r="C26">
        <f>(E26-D25)/(E27-D26+E26-D25)</f>
        <v>0.5</v>
      </c>
      <c r="D26">
        <f>E25</f>
        <v>27</v>
      </c>
      <c r="E26">
        <f>D27</f>
        <v>28</v>
      </c>
      <c r="F26">
        <f>ROUND(F27^C26*F25^(1-C26),4)</f>
        <v>3.3712</v>
      </c>
      <c r="G26">
        <f>ROUND(SQRT((((F26-F25)/G25)^2+((F26-F27)/G27)^2+1)/(1/G25^2+1/G27^2)),4)</f>
        <v>0.42230000000000001</v>
      </c>
      <c r="H26">
        <f>(H25+H27)/2</f>
        <v>5.8589317464686319E-2</v>
      </c>
      <c r="I26">
        <f t="shared" si="2"/>
        <v>1.4129</v>
      </c>
      <c r="J26">
        <f t="shared" si="11"/>
        <v>2.9331999999999998</v>
      </c>
      <c r="K26">
        <f t="shared" si="12"/>
        <v>0.42249999999999999</v>
      </c>
      <c r="L26">
        <f t="shared" si="5"/>
        <v>0.17185418598741789</v>
      </c>
      <c r="M26">
        <f t="shared" si="0"/>
        <v>0.8659</v>
      </c>
      <c r="N26">
        <f t="shared" si="1"/>
        <v>3.1549363443265435E-2</v>
      </c>
      <c r="O26">
        <f t="shared" si="6"/>
        <v>97.04</v>
      </c>
      <c r="P26">
        <f t="shared" si="7"/>
        <v>1.34</v>
      </c>
      <c r="Q26">
        <f t="shared" si="8"/>
        <v>1916.7</v>
      </c>
      <c r="R26">
        <f t="shared" si="9"/>
        <v>1.01E-2</v>
      </c>
      <c r="S26">
        <f t="shared" si="10"/>
        <v>1.3699999999999999E-3</v>
      </c>
      <c r="U26" s="36" t="str">
        <f>"Number of Supported Samples:    "&amp;Ns</f>
        <v>Number of Supported Samples:    5</v>
      </c>
      <c r="V26" s="37"/>
      <c r="W26" s="37"/>
      <c r="X26" s="38"/>
      <c r="AB26" s="36" t="str">
        <f>"Unsup. Pb-210 Flux:       "&amp;$A$13&amp;"  pCi/cm2 yr"</f>
        <v>Unsup. Pb-210 Flux:       0.5736  pCi/cm2 yr</v>
      </c>
      <c r="AC26" s="37"/>
      <c r="AD26" s="37"/>
      <c r="AE26" s="38"/>
    </row>
    <row r="27" spans="2:31">
      <c r="C27">
        <v>12</v>
      </c>
      <c r="D27">
        <v>28</v>
      </c>
      <c r="E27">
        <v>29</v>
      </c>
      <c r="F27">
        <v>2.9790000000000001</v>
      </c>
      <c r="G27">
        <v>0.10150000000000001</v>
      </c>
      <c r="H27">
        <v>5.7350456235214509E-2</v>
      </c>
      <c r="I27">
        <f t="shared" si="2"/>
        <v>1.4702999999999999</v>
      </c>
      <c r="J27">
        <f t="shared" si="11"/>
        <v>2.5409999999999999</v>
      </c>
      <c r="K27">
        <f t="shared" si="12"/>
        <v>0.10249999999999999</v>
      </c>
      <c r="L27">
        <f t="shared" si="5"/>
        <v>0.14572750929368006</v>
      </c>
      <c r="M27">
        <f t="shared" si="0"/>
        <v>0.72019999999999995</v>
      </c>
      <c r="N27">
        <f t="shared" si="1"/>
        <v>3.0996878733809595E-2</v>
      </c>
      <c r="O27">
        <f t="shared" si="6"/>
        <v>102.96</v>
      </c>
      <c r="P27">
        <f t="shared" si="7"/>
        <v>1.53</v>
      </c>
      <c r="Q27">
        <f t="shared" si="8"/>
        <v>1910.7</v>
      </c>
      <c r="R27">
        <f t="shared" si="9"/>
        <v>9.7000000000000003E-3</v>
      </c>
      <c r="S27">
        <f t="shared" si="10"/>
        <v>5.1999999999999995E-4</v>
      </c>
    </row>
    <row r="28" spans="2:31">
      <c r="B28" t="s">
        <v>87</v>
      </c>
      <c r="C28">
        <f>(E28-D27)/(E29-D28+E28-D27)</f>
        <v>0.5</v>
      </c>
      <c r="D28">
        <f>E27</f>
        <v>29</v>
      </c>
      <c r="E28">
        <f>D29</f>
        <v>30</v>
      </c>
      <c r="F28">
        <f>ROUND(F29^C28*F27^(1-C28),4)</f>
        <v>2.7132000000000001</v>
      </c>
      <c r="G28">
        <f>ROUND(SQRT((((F28-F27)/G27)^2+((F28-F29)/G29)^2+1)/(1/G27^2+1/G29^2)),4)</f>
        <v>0.26140000000000002</v>
      </c>
      <c r="H28">
        <f>(H27+H29)/2</f>
        <v>5.6811980254359407E-2</v>
      </c>
      <c r="I28">
        <f t="shared" si="2"/>
        <v>1.5270999999999999</v>
      </c>
      <c r="J28">
        <f t="shared" si="11"/>
        <v>2.2751999999999999</v>
      </c>
      <c r="K28">
        <f t="shared" si="12"/>
        <v>0.26179999999999998</v>
      </c>
      <c r="L28">
        <f t="shared" si="5"/>
        <v>0.12925861747471851</v>
      </c>
      <c r="M28">
        <f t="shared" si="0"/>
        <v>0.59089999999999998</v>
      </c>
      <c r="N28">
        <f t="shared" si="1"/>
        <v>2.7195388667794931E-2</v>
      </c>
      <c r="O28">
        <f t="shared" si="6"/>
        <v>109.31</v>
      </c>
      <c r="P28">
        <f t="shared" si="7"/>
        <v>1.62</v>
      </c>
      <c r="Q28">
        <f t="shared" si="8"/>
        <v>1904.4</v>
      </c>
      <c r="R28">
        <f t="shared" si="9"/>
        <v>8.8999999999999999E-3</v>
      </c>
      <c r="S28">
        <f t="shared" si="10"/>
        <v>1E-3</v>
      </c>
    </row>
    <row r="29" spans="2:31">
      <c r="C29">
        <v>13</v>
      </c>
      <c r="D29">
        <v>30</v>
      </c>
      <c r="E29">
        <v>31</v>
      </c>
      <c r="F29">
        <v>2.4710999999999999</v>
      </c>
      <c r="G29">
        <v>8.9099999999999999E-2</v>
      </c>
      <c r="H29">
        <v>5.6273504273504305E-2</v>
      </c>
      <c r="I29">
        <f t="shared" si="2"/>
        <v>1.5833999999999999</v>
      </c>
      <c r="J29">
        <f t="shared" si="11"/>
        <v>2.0330999999999997</v>
      </c>
      <c r="K29">
        <f t="shared" si="12"/>
        <v>9.0300000000000005E-2</v>
      </c>
      <c r="L29">
        <f t="shared" si="5"/>
        <v>0.11440966153846159</v>
      </c>
      <c r="M29">
        <f t="shared" si="0"/>
        <v>0.47649999999999998</v>
      </c>
      <c r="N29">
        <f t="shared" si="1"/>
        <v>2.6716428440220014E-2</v>
      </c>
      <c r="O29">
        <f t="shared" si="6"/>
        <v>116.22</v>
      </c>
      <c r="P29">
        <f t="shared" si="7"/>
        <v>1.92</v>
      </c>
      <c r="Q29">
        <f t="shared" si="8"/>
        <v>1897.5</v>
      </c>
      <c r="R29">
        <f t="shared" si="9"/>
        <v>8.0999999999999996E-3</v>
      </c>
      <c r="S29">
        <f t="shared" si="10"/>
        <v>5.1999999999999995E-4</v>
      </c>
    </row>
    <row r="30" spans="2:31">
      <c r="B30" t="s">
        <v>87</v>
      </c>
      <c r="C30">
        <f>(E30-D29)/(E31-D30+E30-D29)</f>
        <v>0.5</v>
      </c>
      <c r="D30">
        <f>E29</f>
        <v>31</v>
      </c>
      <c r="E30">
        <f>D31</f>
        <v>32</v>
      </c>
      <c r="F30">
        <f>ROUND(F31^C30*F29^(1-C30),4)</f>
        <v>2.2204000000000002</v>
      </c>
      <c r="G30">
        <f>ROUND(SQRT((((F30-F29)/G29)^2+((F30-F31)/G31)^2+1)/(1/G29^2+1/G31^2)),4)</f>
        <v>0.2392</v>
      </c>
      <c r="H30">
        <f>(H29+H31)/2</f>
        <v>5.4482312644122843E-2</v>
      </c>
      <c r="I30">
        <f t="shared" si="2"/>
        <v>1.6378999999999999</v>
      </c>
      <c r="J30">
        <f t="shared" si="11"/>
        <v>1.7824000000000002</v>
      </c>
      <c r="K30">
        <f t="shared" si="12"/>
        <v>0.23960000000000001</v>
      </c>
      <c r="L30">
        <f t="shared" si="5"/>
        <v>9.7109274056884562E-2</v>
      </c>
      <c r="M30">
        <f t="shared" si="0"/>
        <v>0.37940000000000002</v>
      </c>
      <c r="N30">
        <f t="shared" si="1"/>
        <v>2.3310118443377846E-2</v>
      </c>
      <c r="O30">
        <f t="shared" si="6"/>
        <v>123.54</v>
      </c>
      <c r="P30">
        <f t="shared" si="7"/>
        <v>2.08</v>
      </c>
      <c r="Q30">
        <f t="shared" si="8"/>
        <v>1890.2</v>
      </c>
      <c r="R30">
        <f t="shared" si="9"/>
        <v>7.4000000000000003E-3</v>
      </c>
      <c r="S30">
        <f t="shared" si="10"/>
        <v>9.7999999999999997E-4</v>
      </c>
    </row>
    <row r="31" spans="2:31">
      <c r="C31">
        <v>14</v>
      </c>
      <c r="D31">
        <v>32</v>
      </c>
      <c r="E31">
        <v>33</v>
      </c>
      <c r="F31">
        <v>1.9952000000000001</v>
      </c>
      <c r="G31">
        <v>6.1800000000000001E-2</v>
      </c>
      <c r="H31">
        <v>5.2691121014741389E-2</v>
      </c>
      <c r="I31">
        <f t="shared" si="2"/>
        <v>1.6906000000000001</v>
      </c>
      <c r="J31">
        <f t="shared" si="11"/>
        <v>1.5572000000000001</v>
      </c>
      <c r="K31">
        <f t="shared" si="12"/>
        <v>6.3500000000000001E-2</v>
      </c>
      <c r="L31">
        <f t="shared" si="5"/>
        <v>8.2050613644155293E-2</v>
      </c>
      <c r="M31">
        <f t="shared" si="0"/>
        <v>0.29730000000000001</v>
      </c>
      <c r="N31">
        <f t="shared" si="1"/>
        <v>2.3068737882361572E-2</v>
      </c>
      <c r="O31">
        <f t="shared" si="6"/>
        <v>131.37</v>
      </c>
      <c r="P31">
        <f t="shared" si="7"/>
        <v>2.58</v>
      </c>
      <c r="Q31">
        <f t="shared" si="8"/>
        <v>1882.3</v>
      </c>
      <c r="R31">
        <f t="shared" si="9"/>
        <v>6.7000000000000002E-3</v>
      </c>
      <c r="S31">
        <f t="shared" si="10"/>
        <v>5.1999999999999995E-4</v>
      </c>
    </row>
    <row r="32" spans="2:31">
      <c r="B32" t="s">
        <v>87</v>
      </c>
      <c r="C32">
        <f>(E32-D31)/(E33-D32+E32-D31)</f>
        <v>0.5</v>
      </c>
      <c r="D32">
        <f>E31</f>
        <v>33</v>
      </c>
      <c r="E32">
        <f>D33</f>
        <v>34</v>
      </c>
      <c r="F32">
        <f>ROUND(F33^C32*F31^(1-C32),4)</f>
        <v>1.7592000000000001</v>
      </c>
      <c r="G32">
        <f>ROUND(SQRT((((F32-F31)/G31)^2+((F32-F33)/G33)^2+1)/(1/G31^2+1/G33^2)),4)</f>
        <v>0.21959999999999999</v>
      </c>
      <c r="H32">
        <f>(H31+H33)/2</f>
        <v>5.0660159547809447E-2</v>
      </c>
      <c r="I32">
        <f t="shared" si="2"/>
        <v>1.7413000000000001</v>
      </c>
      <c r="J32">
        <f t="shared" si="11"/>
        <v>1.3212000000000002</v>
      </c>
      <c r="K32">
        <f t="shared" si="12"/>
        <v>0.22009999999999999</v>
      </c>
      <c r="L32">
        <f t="shared" si="5"/>
        <v>6.6932202794565854E-2</v>
      </c>
      <c r="M32">
        <f t="shared" si="0"/>
        <v>0.23039999999999999</v>
      </c>
      <c r="N32">
        <f t="shared" si="1"/>
        <v>2.0194985825622361E-2</v>
      </c>
      <c r="O32">
        <f t="shared" si="6"/>
        <v>139.56</v>
      </c>
      <c r="P32">
        <f t="shared" si="7"/>
        <v>2.89</v>
      </c>
      <c r="Q32">
        <f t="shared" si="8"/>
        <v>1874.1</v>
      </c>
      <c r="R32">
        <f t="shared" si="9"/>
        <v>6.1999999999999998E-3</v>
      </c>
      <c r="S32">
        <f t="shared" si="10"/>
        <v>1.0300000000000001E-3</v>
      </c>
    </row>
    <row r="33" spans="2:19">
      <c r="C33">
        <v>15</v>
      </c>
      <c r="D33">
        <v>34</v>
      </c>
      <c r="E33">
        <v>35</v>
      </c>
      <c r="F33">
        <v>1.5511999999999999</v>
      </c>
      <c r="G33">
        <v>4.1000000000000002E-2</v>
      </c>
      <c r="H33">
        <v>4.8629198080877512E-2</v>
      </c>
      <c r="I33">
        <f t="shared" si="2"/>
        <v>1.7899</v>
      </c>
      <c r="J33">
        <f t="shared" si="11"/>
        <v>1.1132</v>
      </c>
      <c r="K33">
        <f t="shared" si="12"/>
        <v>4.3499999999999997E-2</v>
      </c>
      <c r="L33">
        <f t="shared" si="5"/>
        <v>5.4134023303632844E-2</v>
      </c>
      <c r="M33">
        <f t="shared" si="0"/>
        <v>0.17630000000000001</v>
      </c>
      <c r="N33">
        <f t="shared" si="1"/>
        <v>2.0083890603347501E-2</v>
      </c>
      <c r="O33">
        <f t="shared" si="6"/>
        <v>148.15</v>
      </c>
      <c r="P33">
        <f t="shared" si="7"/>
        <v>3.72</v>
      </c>
      <c r="Q33">
        <f t="shared" si="8"/>
        <v>1865.5</v>
      </c>
      <c r="R33">
        <f t="shared" si="9"/>
        <v>5.7000000000000002E-3</v>
      </c>
      <c r="S33">
        <f t="shared" si="10"/>
        <v>5.9999999999999995E-4</v>
      </c>
    </row>
    <row r="34" spans="2:19">
      <c r="B34" t="s">
        <v>87</v>
      </c>
      <c r="C34">
        <f>(E34-D33)/(E35-D34+E34-D33)</f>
        <v>0.5</v>
      </c>
      <c r="D34">
        <f>E33</f>
        <v>35</v>
      </c>
      <c r="E34">
        <f>D35</f>
        <v>36</v>
      </c>
      <c r="F34">
        <f>ROUND(F35^C34*F33^(1-C34),4)</f>
        <v>1.2089000000000001</v>
      </c>
      <c r="G34">
        <f>ROUND(SQRT((((F34-F33)/G33)^2+((F34-F35)/G35)^2+1)/(1/G33^2+1/G35^2)),4)</f>
        <v>0.29260000000000003</v>
      </c>
      <c r="H34">
        <f>(H33+H35)/2</f>
        <v>4.6849099208732203E-2</v>
      </c>
      <c r="I34">
        <f t="shared" si="2"/>
        <v>1.8367</v>
      </c>
      <c r="J34">
        <f t="shared" si="11"/>
        <v>0.77090000000000014</v>
      </c>
      <c r="K34">
        <f t="shared" si="12"/>
        <v>0.29299999999999998</v>
      </c>
      <c r="L34">
        <f t="shared" si="5"/>
        <v>3.6115970580011661E-2</v>
      </c>
      <c r="M34">
        <f t="shared" si="0"/>
        <v>0.14019999999999999</v>
      </c>
      <c r="N34">
        <f t="shared" si="1"/>
        <v>1.4660764168563614E-2</v>
      </c>
      <c r="O34">
        <f t="shared" si="6"/>
        <v>155.51</v>
      </c>
      <c r="P34">
        <f t="shared" si="7"/>
        <v>3.42</v>
      </c>
      <c r="Q34">
        <f t="shared" si="8"/>
        <v>1858.2</v>
      </c>
      <c r="R34">
        <f t="shared" si="9"/>
        <v>6.4000000000000003E-3</v>
      </c>
      <c r="S34">
        <f t="shared" si="10"/>
        <v>2.2599999999999999E-3</v>
      </c>
    </row>
    <row r="35" spans="2:19">
      <c r="C35">
        <v>16</v>
      </c>
      <c r="D35">
        <v>36</v>
      </c>
      <c r="E35">
        <v>37</v>
      </c>
      <c r="F35">
        <v>0.94220000000000004</v>
      </c>
      <c r="G35">
        <v>2.7099999999999999E-2</v>
      </c>
      <c r="H35">
        <v>4.5069000336586902E-2</v>
      </c>
      <c r="I35">
        <f t="shared" si="2"/>
        <v>1.8817999999999999</v>
      </c>
      <c r="J35">
        <f t="shared" si="11"/>
        <v>0.50419999999999998</v>
      </c>
      <c r="K35">
        <f t="shared" si="12"/>
        <v>3.0700000000000002E-2</v>
      </c>
      <c r="L35">
        <f t="shared" si="5"/>
        <v>2.2723789969707114E-2</v>
      </c>
      <c r="M35">
        <f t="shared" si="0"/>
        <v>0.11749999999999999</v>
      </c>
      <c r="N35">
        <f t="shared" si="1"/>
        <v>1.4595328238088701E-2</v>
      </c>
      <c r="O35">
        <f t="shared" si="6"/>
        <v>161.18</v>
      </c>
      <c r="P35">
        <f t="shared" si="7"/>
        <v>4.04</v>
      </c>
      <c r="Q35">
        <f t="shared" si="8"/>
        <v>1852.5</v>
      </c>
      <c r="R35">
        <f t="shared" si="9"/>
        <v>8.0000000000000002E-3</v>
      </c>
      <c r="S35">
        <f t="shared" si="10"/>
        <v>1.0200000000000001E-3</v>
      </c>
    </row>
    <row r="36" spans="2:19">
      <c r="B36" t="s">
        <v>87</v>
      </c>
      <c r="C36">
        <f>(E36-D35)/(E37-D36+E36-D35)</f>
        <v>0.5</v>
      </c>
      <c r="D36">
        <f>E35</f>
        <v>37</v>
      </c>
      <c r="E36">
        <f>D37</f>
        <v>38</v>
      </c>
      <c r="F36">
        <f>ROUND(F37^C36*F35^(1-C36),4)</f>
        <v>0.92259999999999998</v>
      </c>
      <c r="G36">
        <f>ROUND(SQRT((((F36-F35)/G35)^2+((F36-F37)/G37)^2+1)/(1/G35^2+1/G37^2)),4)</f>
        <v>2.7900000000000001E-2</v>
      </c>
      <c r="H36">
        <f>(H35+H37)/2</f>
        <v>4.4906467823280054E-2</v>
      </c>
      <c r="I36">
        <f t="shared" si="2"/>
        <v>1.9267000000000001</v>
      </c>
      <c r="J36">
        <f t="shared" si="11"/>
        <v>0.48459999999999998</v>
      </c>
      <c r="K36">
        <f t="shared" si="12"/>
        <v>3.1399999999999997E-2</v>
      </c>
      <c r="L36">
        <f t="shared" si="5"/>
        <v>2.1761674307161513E-2</v>
      </c>
      <c r="M36">
        <f t="shared" si="0"/>
        <v>9.5699999999999993E-2</v>
      </c>
      <c r="N36">
        <f t="shared" si="1"/>
        <v>1.4527055051205435E-2</v>
      </c>
      <c r="O36">
        <f t="shared" si="6"/>
        <v>167.77</v>
      </c>
      <c r="P36">
        <f t="shared" si="7"/>
        <v>4.92</v>
      </c>
      <c r="Q36">
        <f t="shared" si="8"/>
        <v>1845.9</v>
      </c>
      <c r="R36">
        <f t="shared" si="9"/>
        <v>6.7999999999999996E-3</v>
      </c>
      <c r="S36">
        <f t="shared" si="10"/>
        <v>1.01E-3</v>
      </c>
    </row>
    <row r="37" spans="2:19">
      <c r="C37">
        <v>17</v>
      </c>
      <c r="D37">
        <v>38</v>
      </c>
      <c r="E37">
        <v>39</v>
      </c>
      <c r="F37">
        <v>0.90349999999999997</v>
      </c>
      <c r="G37">
        <v>0.03</v>
      </c>
      <c r="H37">
        <v>4.4743935309973205E-2</v>
      </c>
      <c r="I37">
        <f t="shared" si="2"/>
        <v>1.9714</v>
      </c>
      <c r="J37">
        <f t="shared" si="11"/>
        <v>0.46549999999999997</v>
      </c>
      <c r="K37">
        <f t="shared" si="12"/>
        <v>3.3300000000000003E-2</v>
      </c>
      <c r="L37">
        <f t="shared" si="5"/>
        <v>2.0828301886792525E-2</v>
      </c>
      <c r="M37">
        <f t="shared" si="0"/>
        <v>7.4899999999999994E-2</v>
      </c>
      <c r="N37">
        <f t="shared" si="1"/>
        <v>1.4450443203704063E-2</v>
      </c>
      <c r="O37">
        <f t="shared" si="6"/>
        <v>175.64</v>
      </c>
      <c r="P37">
        <f t="shared" si="7"/>
        <v>6.23</v>
      </c>
      <c r="Q37">
        <f t="shared" si="8"/>
        <v>1838.1</v>
      </c>
      <c r="R37">
        <f t="shared" si="9"/>
        <v>5.7000000000000002E-3</v>
      </c>
      <c r="S37">
        <f t="shared" si="10"/>
        <v>1.0399999999999999E-3</v>
      </c>
    </row>
    <row r="38" spans="2:19">
      <c r="B38" t="s">
        <v>87</v>
      </c>
      <c r="C38">
        <f>(E38-D37)/(E39-D38+E38-D37)</f>
        <v>0.5</v>
      </c>
      <c r="D38">
        <f>E37</f>
        <v>39</v>
      </c>
      <c r="E38">
        <f>D39</f>
        <v>41</v>
      </c>
      <c r="F38">
        <f>ROUND(F39^C38*F37^(1-C38),4)</f>
        <v>0.76590000000000003</v>
      </c>
      <c r="G38">
        <f>ROUND(SQRT((((F38-F37)/G37)^2+((F38-F39)/G39)^2+1)/(1/G37^2+1/G39^2)),4)</f>
        <v>0.12509999999999999</v>
      </c>
      <c r="H38">
        <f>(H37+H39)/2</f>
        <v>4.4437295997960355E-2</v>
      </c>
      <c r="I38">
        <f t="shared" si="2"/>
        <v>2.0602999999999998</v>
      </c>
      <c r="J38">
        <f t="shared" si="11"/>
        <v>0.32790000000000002</v>
      </c>
      <c r="K38">
        <f t="shared" si="12"/>
        <v>0.12590000000000001</v>
      </c>
      <c r="L38">
        <f t="shared" si="5"/>
        <v>2.9141978715462404E-2</v>
      </c>
      <c r="M38">
        <f t="shared" si="0"/>
        <v>4.58E-2</v>
      </c>
      <c r="N38">
        <f t="shared" si="1"/>
        <v>9.1441033003990153E-3</v>
      </c>
      <c r="O38">
        <f t="shared" si="6"/>
        <v>191.44</v>
      </c>
      <c r="P38">
        <f t="shared" si="7"/>
        <v>6.45</v>
      </c>
      <c r="Q38">
        <f t="shared" si="8"/>
        <v>1822.3</v>
      </c>
      <c r="R38">
        <f t="shared" si="9"/>
        <v>5.5999999999999999E-3</v>
      </c>
      <c r="S38">
        <f t="shared" si="10"/>
        <v>1.92E-3</v>
      </c>
    </row>
    <row r="39" spans="2:19">
      <c r="C39">
        <v>18</v>
      </c>
      <c r="D39">
        <v>41</v>
      </c>
      <c r="E39">
        <v>42</v>
      </c>
      <c r="F39">
        <v>0.64929999999999999</v>
      </c>
      <c r="G39">
        <v>2.1100000000000001E-2</v>
      </c>
      <c r="H39">
        <v>4.4130656685947497E-2</v>
      </c>
      <c r="I39">
        <f t="shared" si="2"/>
        <v>2.1044</v>
      </c>
      <c r="J39">
        <f t="shared" si="11"/>
        <v>0.21129999999999999</v>
      </c>
      <c r="K39">
        <f t="shared" si="12"/>
        <v>2.5499999999999998E-2</v>
      </c>
      <c r="L39">
        <f t="shared" si="5"/>
        <v>9.3248077577407062E-3</v>
      </c>
      <c r="M39">
        <f t="shared" si="0"/>
        <v>3.6499999999999998E-2</v>
      </c>
      <c r="N39">
        <f t="shared" si="1"/>
        <v>9.0745938548761982E-3</v>
      </c>
      <c r="O39">
        <f t="shared" si="6"/>
        <v>198.72</v>
      </c>
      <c r="P39">
        <f t="shared" si="7"/>
        <v>8.01</v>
      </c>
      <c r="Q39">
        <f t="shared" si="8"/>
        <v>1815</v>
      </c>
      <c r="R39">
        <f t="shared" si="9"/>
        <v>6.1000000000000004E-3</v>
      </c>
      <c r="S39">
        <f t="shared" si="10"/>
        <v>1.5100000000000001E-3</v>
      </c>
    </row>
    <row r="40" spans="2:19">
      <c r="B40" t="s">
        <v>87</v>
      </c>
      <c r="C40">
        <f>(E40-D39)/(E41-D40+E40-D39)</f>
        <v>0.5</v>
      </c>
      <c r="D40">
        <f>E39</f>
        <v>42</v>
      </c>
      <c r="E40">
        <f>D41</f>
        <v>44</v>
      </c>
      <c r="F40">
        <f>ROUND(F41^C40*F39^(1-C40),4)</f>
        <v>0.58919999999999995</v>
      </c>
      <c r="G40">
        <f>ROUND(SQRT((((F40-F39)/G39)^2+((F40-F41)/G41)^2+1)/(1/G39^2+1/G41^2)),4)</f>
        <v>5.8400000000000001E-2</v>
      </c>
      <c r="H40">
        <f>(H39+H41)/2</f>
        <v>4.5291679694325127E-2</v>
      </c>
      <c r="I40">
        <f t="shared" si="2"/>
        <v>2.1949999999999998</v>
      </c>
      <c r="J40">
        <f t="shared" si="11"/>
        <v>0.15119999999999995</v>
      </c>
      <c r="K40">
        <f t="shared" si="12"/>
        <v>6.0100000000000001E-2</v>
      </c>
      <c r="L40">
        <f t="shared" si="5"/>
        <v>1.3696203939563913E-2</v>
      </c>
      <c r="M40">
        <f t="shared" si="0"/>
        <v>2.2800000000000001E-2</v>
      </c>
      <c r="N40">
        <f t="shared" si="1"/>
        <v>7.2601973419631751E-3</v>
      </c>
      <c r="O40">
        <f t="shared" si="6"/>
        <v>213.83</v>
      </c>
      <c r="P40">
        <f t="shared" si="7"/>
        <v>10.25</v>
      </c>
      <c r="Q40">
        <f t="shared" si="8"/>
        <v>1799.9</v>
      </c>
      <c r="R40">
        <f t="shared" si="9"/>
        <v>6.0000000000000001E-3</v>
      </c>
      <c r="S40">
        <f t="shared" si="10"/>
        <v>2.4399999999999999E-3</v>
      </c>
    </row>
    <row r="41" spans="2:19">
      <c r="C41">
        <v>19</v>
      </c>
      <c r="D41">
        <v>44</v>
      </c>
      <c r="E41">
        <v>45</v>
      </c>
      <c r="F41">
        <v>0.53469999999999995</v>
      </c>
      <c r="G41">
        <v>1.7399999999999999E-2</v>
      </c>
      <c r="H41">
        <v>4.6452702702702763E-2</v>
      </c>
      <c r="I41">
        <f t="shared" si="2"/>
        <v>2.2414999999999998</v>
      </c>
      <c r="J41">
        <f t="shared" si="11"/>
        <v>9.6699999999999953E-2</v>
      </c>
      <c r="K41">
        <f t="shared" si="12"/>
        <v>2.2599999999999999E-2</v>
      </c>
      <c r="L41">
        <f t="shared" si="5"/>
        <v>4.4919763513513551E-3</v>
      </c>
      <c r="M41">
        <f>ROUND(Cext*(Lext-Lmax),4)</f>
        <v>1.83E-2</v>
      </c>
      <c r="N41">
        <f>Aext*SQRT((dCs/Cext)^2+(L45/(Lext-Lmax))^2)</f>
        <v>7.1838931050959599E-3</v>
      </c>
      <c r="O41">
        <f t="shared" si="6"/>
        <v>220.9</v>
      </c>
      <c r="P41">
        <f t="shared" si="7"/>
        <v>12.62</v>
      </c>
      <c r="Q41">
        <f t="shared" si="8"/>
        <v>1792.8</v>
      </c>
      <c r="R41">
        <f t="shared" si="9"/>
        <v>6.6E-3</v>
      </c>
      <c r="S41">
        <f t="shared" si="10"/>
        <v>2.7000000000000001E-3</v>
      </c>
    </row>
    <row r="42" spans="2:19">
      <c r="C42">
        <v>20</v>
      </c>
      <c r="D42">
        <v>56</v>
      </c>
      <c r="E42">
        <v>57</v>
      </c>
      <c r="F42">
        <v>0.43619999999999998</v>
      </c>
      <c r="G42">
        <v>1.44E-2</v>
      </c>
      <c r="H42">
        <v>5.6137247966041921E-2</v>
      </c>
      <c r="I42">
        <f t="array" ref="I42">TREND(Li,LN(Ci),L43)</f>
        <v>2.627325933416452</v>
      </c>
      <c r="J42">
        <f t="array" ref="J42">EXP(((Lmax-SUM({0,1}*mb))/SUM({1,0}*mb)+LN(0.001*Co))/2)</f>
        <v>4.7532033213583749E-2</v>
      </c>
      <c r="K42">
        <f>dCs</f>
        <v>1.44E-2</v>
      </c>
    </row>
    <row r="43" spans="2:19">
      <c r="C43">
        <v>21</v>
      </c>
      <c r="D43">
        <v>68</v>
      </c>
      <c r="E43">
        <v>69</v>
      </c>
      <c r="F43">
        <v>0.48980000000000001</v>
      </c>
      <c r="G43">
        <v>1.6199999999999999E-2</v>
      </c>
      <c r="H43">
        <v>6.6008999653859354E-2</v>
      </c>
      <c r="L43">
        <f>LN(0.001*Co)</f>
        <v>-3.9097406120706157</v>
      </c>
      <c r="M43">
        <f t="array" ref="M43:N47">LINEST(Li,LN(Ci),,TRUE)</f>
        <v>-0.22343685402362606</v>
      </c>
      <c r="N43">
        <v>1.7537457910069876</v>
      </c>
    </row>
    <row r="44" spans="2:19">
      <c r="C44">
        <v>22</v>
      </c>
      <c r="D44">
        <v>78</v>
      </c>
      <c r="E44">
        <v>79</v>
      </c>
      <c r="F44">
        <v>0.4496</v>
      </c>
      <c r="G44">
        <v>1.4500000000000001E-2</v>
      </c>
      <c r="H44">
        <v>6.8325326012354012E-2</v>
      </c>
      <c r="M44">
        <v>1.6239664138007443E-2</v>
      </c>
      <c r="N44">
        <v>1.8612272596963655E-2</v>
      </c>
    </row>
    <row r="45" spans="2:19">
      <c r="C45">
        <v>23</v>
      </c>
      <c r="D45">
        <v>92</v>
      </c>
      <c r="E45">
        <v>93</v>
      </c>
      <c r="F45">
        <v>0.42109999999999997</v>
      </c>
      <c r="G45">
        <v>1.34E-2</v>
      </c>
      <c r="H45">
        <v>7.6565232598810651E-2</v>
      </c>
      <c r="L45">
        <f>N45*SQRT(1+1/Nr+(L43-AVERAGE(Ci))^2/(M47/M43^2))</f>
        <v>9.6320895515130261E-2</v>
      </c>
      <c r="M45">
        <v>0.9692783708409235</v>
      </c>
      <c r="N45">
        <v>4.9443781824125524E-2</v>
      </c>
    </row>
    <row r="46" spans="2:19">
      <c r="C46">
        <v>24</v>
      </c>
      <c r="D46">
        <v>102</v>
      </c>
      <c r="E46">
        <v>103</v>
      </c>
      <c r="F46">
        <v>0.41139999999999999</v>
      </c>
      <c r="G46">
        <v>1.3299999999999999E-2</v>
      </c>
      <c r="H46">
        <v>8.2970768184908061E-2</v>
      </c>
      <c r="M46">
        <v>189.3021426348198</v>
      </c>
      <c r="N46">
        <v>6</v>
      </c>
    </row>
    <row r="47" spans="2:19">
      <c r="M47">
        <v>0.46278459338356953</v>
      </c>
      <c r="N47">
        <v>1.4668125366430354E-2</v>
      </c>
    </row>
    <row r="55" spans="9:13">
      <c r="I55" t="s">
        <v>88</v>
      </c>
      <c r="J55" t="s">
        <v>89</v>
      </c>
      <c r="K55" t="s">
        <v>90</v>
      </c>
      <c r="L55" t="s">
        <v>73</v>
      </c>
      <c r="M55" t="s">
        <v>74</v>
      </c>
    </row>
    <row r="56" spans="9:13">
      <c r="I56">
        <v>0.92042199999999996</v>
      </c>
      <c r="J56">
        <f>ROUND((F5-Cs)/I56+Cs,4)</f>
        <v>20.483699999999999</v>
      </c>
      <c r="K56">
        <f>ROUND(SQRT((SQRT(G5^2+dCs^2)/I56)^2+dCs^2),4)</f>
        <v>0.78439999999999999</v>
      </c>
      <c r="L56">
        <v>1.4702999999999999</v>
      </c>
      <c r="M56">
        <v>2.5409999999999999</v>
      </c>
    </row>
    <row r="57" spans="9:13">
      <c r="I57">
        <v>0.99801099999999998</v>
      </c>
      <c r="J57">
        <f>ROUND(J58^$C$6*J56^(1-$C$6),4)</f>
        <v>19.1295</v>
      </c>
      <c r="K57">
        <f>ROUND(SQRT((((J57-J56)/K56)^2+((J57-J58)/K58)^2+1)/(1/K56^2+1/K58^2)),4)</f>
        <v>1.3964000000000001</v>
      </c>
      <c r="L57">
        <v>1.5833999999999999</v>
      </c>
      <c r="M57">
        <v>2.0330999999999997</v>
      </c>
    </row>
    <row r="58" spans="9:13">
      <c r="I58">
        <v>0.99989399999999995</v>
      </c>
      <c r="J58">
        <f>ROUND((F7-Cs)/I58+Cs,4)</f>
        <v>17.864799999999999</v>
      </c>
      <c r="K58">
        <f>ROUND(SQRT((SQRT(G7^2+dCs^2)/I58)^2+dCs^2),4)</f>
        <v>0.65720000000000001</v>
      </c>
      <c r="L58">
        <v>1.6906000000000001</v>
      </c>
      <c r="M58">
        <v>1.5572000000000001</v>
      </c>
    </row>
    <row r="59" spans="9:13">
      <c r="L59">
        <v>1.7899</v>
      </c>
      <c r="M59">
        <v>1.1132</v>
      </c>
    </row>
    <row r="60" spans="9:13">
      <c r="L60">
        <v>1.8817999999999999</v>
      </c>
      <c r="M60">
        <v>0.50419999999999998</v>
      </c>
    </row>
    <row r="61" spans="9:13">
      <c r="L61">
        <v>1.9714</v>
      </c>
      <c r="M61">
        <v>0.46549999999999997</v>
      </c>
    </row>
    <row r="62" spans="9:13">
      <c r="L62">
        <v>2.1044</v>
      </c>
      <c r="M62">
        <v>0.21129999999999999</v>
      </c>
    </row>
    <row r="63" spans="9:13">
      <c r="L63">
        <v>2.2414999999999998</v>
      </c>
      <c r="M63">
        <v>9.6699999999999953E-2</v>
      </c>
    </row>
  </sheetData>
  <phoneticPr fontId="4" type="noConversion"/>
  <printOptions horizontalCentered="1" verticalCentered="1" gridLines="1"/>
  <pageMargins left="0.5" right="0.5" top="1" bottom="1" header="0.5" footer="0.5"/>
  <pageSetup orientation="landscape" horizontalDpi="4294967292" verticalDpi="4294967292"/>
  <headerFooter>
    <oddHeader xml:space="preserve">&amp;C&amp;BBlake Lake 1A, Polk Co, WI:  BL1A&amp;R&amp;BCoring Date:  9/12/2013  </oddHeader>
    <oddFooter>&amp;L&amp;B&amp;D&amp;C&amp;BLead-210 Dating&amp;R&amp;BD.R. Engstrom   .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16</vt:i4>
      </vt:variant>
    </vt:vector>
  </HeadingPairs>
  <TitlesOfParts>
    <vt:vector size="19" baseType="lpstr">
      <vt:lpstr>Raw Data</vt:lpstr>
      <vt:lpstr>Background</vt:lpstr>
      <vt:lpstr>Dating</vt:lpstr>
      <vt:lpstr>Aext</vt:lpstr>
      <vt:lpstr>Ao</vt:lpstr>
      <vt:lpstr>Cext</vt:lpstr>
      <vt:lpstr>Ci</vt:lpstr>
      <vt:lpstr>Co</vt:lpstr>
      <vt:lpstr>Dating!Criteria</vt:lpstr>
      <vt:lpstr>Cs</vt:lpstr>
      <vt:lpstr>Dating!Database</vt:lpstr>
      <vt:lpstr>dCs</vt:lpstr>
      <vt:lpstr>delAo</vt:lpstr>
      <vt:lpstr>Lext</vt:lpstr>
      <vt:lpstr>Li</vt:lpstr>
      <vt:lpstr>Lmax</vt:lpstr>
      <vt:lpstr>Dating!Print_Area</vt:lpstr>
      <vt:lpstr>'Raw Data'!Print_Area</vt:lpstr>
      <vt:lpstr>'Raw Data'!Print_Titles</vt:lpstr>
    </vt:vector>
  </TitlesOfParts>
  <Company>St. Croix Watershed Research Station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Mortenson</dc:creator>
  <cp:lastModifiedBy>Jeremy Williamson</cp:lastModifiedBy>
  <dcterms:created xsi:type="dcterms:W3CDTF">2014-04-28T19:43:15Z</dcterms:created>
  <dcterms:modified xsi:type="dcterms:W3CDTF">2016-08-26T18:39:31Z</dcterms:modified>
</cp:coreProperties>
</file>