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7795" windowHeight="12330"/>
  </bookViews>
  <sheets>
    <sheet name="Flux" sheetId="1" r:id="rId1"/>
    <sheet name="K coefficient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H6" i="1"/>
  <c r="AM11" l="1"/>
  <c r="AM13" s="1"/>
  <c r="AE5"/>
  <c r="AF5" s="1"/>
  <c r="AE7"/>
  <c r="AF7" s="1"/>
  <c r="AE8"/>
  <c r="AF8" s="1"/>
  <c r="AE9"/>
  <c r="AF9" s="1"/>
  <c r="AE37"/>
  <c r="AF37" s="1"/>
  <c r="AE40"/>
  <c r="AF40" s="1"/>
  <c r="AD3"/>
  <c r="AE3" s="1"/>
  <c r="AF3" s="1"/>
  <c r="AD4"/>
  <c r="AD5"/>
  <c r="AD6"/>
  <c r="AD7"/>
  <c r="AD8"/>
  <c r="AD9"/>
  <c r="AD10"/>
  <c r="AE10" s="1"/>
  <c r="AF10" s="1"/>
  <c r="AD11"/>
  <c r="AE11" s="1"/>
  <c r="AF11" s="1"/>
  <c r="AD12"/>
  <c r="AD13"/>
  <c r="AD15"/>
  <c r="AD17"/>
  <c r="AD18"/>
  <c r="AD19"/>
  <c r="AD20"/>
  <c r="AD21"/>
  <c r="AD22"/>
  <c r="AD23"/>
  <c r="AD24"/>
  <c r="AD25"/>
  <c r="AD26"/>
  <c r="AD29"/>
  <c r="AD30"/>
  <c r="AD31"/>
  <c r="AE31" s="1"/>
  <c r="AF31" s="1"/>
  <c r="AD33"/>
  <c r="AD35"/>
  <c r="AD36"/>
  <c r="AD37"/>
  <c r="AD38"/>
  <c r="AD39"/>
  <c r="AD40"/>
  <c r="AD41"/>
  <c r="AD42"/>
  <c r="AD43"/>
  <c r="AE43" s="1"/>
  <c r="AF43" s="1"/>
  <c r="AD2"/>
  <c r="AE2" s="1"/>
  <c r="AF2" s="1"/>
  <c r="D9" i="2"/>
  <c r="D8"/>
  <c r="D7"/>
  <c r="D11" s="1"/>
  <c r="D12" s="1"/>
  <c r="D14" s="1"/>
  <c r="D6"/>
  <c r="B5"/>
  <c r="AE20" i="1" l="1"/>
  <c r="AF20" s="1"/>
  <c r="AA35"/>
  <c r="AC35" s="1"/>
  <c r="AE35" s="1"/>
  <c r="AF35" s="1"/>
  <c r="AA3"/>
  <c r="AA4"/>
  <c r="AA5"/>
  <c r="AA7"/>
  <c r="AA8"/>
  <c r="AA9"/>
  <c r="AA10"/>
  <c r="AA11"/>
  <c r="AA12"/>
  <c r="AC12" s="1"/>
  <c r="AE12" s="1"/>
  <c r="AF12" s="1"/>
  <c r="AA13"/>
  <c r="AC13" s="1"/>
  <c r="AE13" s="1"/>
  <c r="AF13" s="1"/>
  <c r="AA14"/>
  <c r="AA15"/>
  <c r="AC15" s="1"/>
  <c r="AE15" s="1"/>
  <c r="AF15" s="1"/>
  <c r="AA16"/>
  <c r="AA17"/>
  <c r="AC17" s="1"/>
  <c r="AE17" s="1"/>
  <c r="AF17" s="1"/>
  <c r="AA18"/>
  <c r="AC18" s="1"/>
  <c r="AE18" s="1"/>
  <c r="AF18" s="1"/>
  <c r="AA19"/>
  <c r="AC19" s="1"/>
  <c r="AE19" s="1"/>
  <c r="AF19" s="1"/>
  <c r="AA20"/>
  <c r="AC20" s="1"/>
  <c r="AA21"/>
  <c r="AC21" s="1"/>
  <c r="AE21" s="1"/>
  <c r="AF21" s="1"/>
  <c r="AA22"/>
  <c r="AC22" s="1"/>
  <c r="AE22" s="1"/>
  <c r="AF22" s="1"/>
  <c r="AA23"/>
  <c r="AC23" s="1"/>
  <c r="AE23" s="1"/>
  <c r="AF23" s="1"/>
  <c r="AA24"/>
  <c r="AC24" s="1"/>
  <c r="AE24" s="1"/>
  <c r="AF24" s="1"/>
  <c r="AA25"/>
  <c r="AC25" s="1"/>
  <c r="AE25" s="1"/>
  <c r="AF25" s="1"/>
  <c r="AA26"/>
  <c r="AC26" s="1"/>
  <c r="AE26" s="1"/>
  <c r="AF26" s="1"/>
  <c r="AA27"/>
  <c r="AA28"/>
  <c r="AA29"/>
  <c r="AC29" s="1"/>
  <c r="AE29" s="1"/>
  <c r="AF29" s="1"/>
  <c r="AA30"/>
  <c r="AC30" s="1"/>
  <c r="AE30" s="1"/>
  <c r="AF30" s="1"/>
  <c r="AA31"/>
  <c r="AA32"/>
  <c r="AA33"/>
  <c r="AC33" s="1"/>
  <c r="AE33" s="1"/>
  <c r="AF33" s="1"/>
  <c r="AA34"/>
  <c r="AA36"/>
  <c r="AA37"/>
  <c r="AA38"/>
  <c r="AC38" s="1"/>
  <c r="AE38" s="1"/>
  <c r="AF38" s="1"/>
  <c r="AA39"/>
  <c r="AC39" s="1"/>
  <c r="AE39" s="1"/>
  <c r="AF39" s="1"/>
  <c r="AA40"/>
  <c r="AA41"/>
  <c r="AA42"/>
  <c r="AA43"/>
  <c r="AA2"/>
  <c r="Z6"/>
  <c r="AA6" s="1"/>
  <c r="AC6" s="1"/>
  <c r="V25"/>
  <c r="V26"/>
  <c r="V27"/>
  <c r="V28"/>
  <c r="V29"/>
  <c r="V30"/>
  <c r="V31"/>
  <c r="V32"/>
  <c r="V33"/>
  <c r="V34"/>
  <c r="V36"/>
  <c r="V37"/>
  <c r="V38"/>
  <c r="V39"/>
  <c r="V40"/>
  <c r="V41"/>
  <c r="V42"/>
  <c r="V43"/>
  <c r="V3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"/>
  <c r="R3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2"/>
  <c r="AL4" l="1"/>
  <c r="AE6"/>
  <c r="AF6" s="1"/>
  <c r="AK4"/>
  <c r="AL6" s="1"/>
  <c r="AL7" s="1"/>
  <c r="AL8" s="1"/>
  <c r="AM15" s="1"/>
  <c r="AH5" s="1"/>
  <c r="AH33" l="1"/>
  <c r="AH10"/>
  <c r="AH36"/>
  <c r="AH13"/>
  <c r="AH31"/>
  <c r="AH8"/>
  <c r="AH41"/>
  <c r="AH18"/>
  <c r="AH2"/>
  <c r="AH21"/>
  <c r="AH39"/>
  <c r="AH16"/>
  <c r="AH26"/>
  <c r="AH3"/>
  <c r="AI2" s="1"/>
  <c r="AH29"/>
  <c r="AH24"/>
  <c r="AH34"/>
  <c r="AH11"/>
  <c r="AH37"/>
  <c r="AH14"/>
  <c r="AH32"/>
  <c r="AH42"/>
  <c r="AH19"/>
  <c r="AH4"/>
  <c r="AH22"/>
  <c r="AH40"/>
  <c r="AH9"/>
  <c r="AH27"/>
  <c r="AH12"/>
  <c r="AH30"/>
  <c r="AH7"/>
  <c r="AH35"/>
  <c r="AH20"/>
  <c r="AH38"/>
  <c r="AH15"/>
  <c r="AH25"/>
  <c r="AH23"/>
  <c r="AH17"/>
  <c r="AH43"/>
  <c r="AH28"/>
</calcChain>
</file>

<file path=xl/comments1.xml><?xml version="1.0" encoding="utf-8"?>
<comments xmlns="http://schemas.openxmlformats.org/spreadsheetml/2006/main">
  <authors>
    <author>Jake Macholl</author>
  </authors>
  <commentList>
    <comment ref="AC1" authorId="0">
      <text>
        <r>
          <rPr>
            <b/>
            <sz val="9"/>
            <color indexed="81"/>
            <rFont val="Tahoma"/>
            <family val="2"/>
          </rPr>
          <t>horizontal K (Baxter and Hauer 2003, Freeze and Cherry 1979)
Note: negative sign (indicating flow in direction of decreasing hydraulic head) is removed to show flow into the lake as a positive number.</t>
        </r>
      </text>
    </comment>
    <comment ref="AD1" authorId="0">
      <text>
        <r>
          <rPr>
            <b/>
            <sz val="9"/>
            <color indexed="81"/>
            <rFont val="Tahoma"/>
            <family val="2"/>
          </rPr>
          <t>dh = static head
dl = lakebed to center of screened area</t>
        </r>
      </text>
    </comment>
    <comment ref="AE1" authorId="0">
      <text>
        <r>
          <rPr>
            <b/>
            <sz val="9"/>
            <color indexed="81"/>
            <rFont val="Tahoma"/>
            <family val="2"/>
          </rPr>
          <t>Kv assumed to be 0.1xKh (Anderson and
Woessner 1992)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" authorId="0">
      <text>
        <r>
          <rPr>
            <b/>
            <sz val="9"/>
            <color indexed="81"/>
            <rFont val="Tahoma"/>
            <family val="2"/>
          </rPr>
          <t>Thiessen polygons around points, clipped to 30 ft from shore</t>
        </r>
      </text>
    </comment>
  </commentList>
</comments>
</file>

<file path=xl/sharedStrings.xml><?xml version="1.0" encoding="utf-8"?>
<sst xmlns="http://schemas.openxmlformats.org/spreadsheetml/2006/main" count="181" uniqueCount="90">
  <si>
    <t>Site</t>
  </si>
  <si>
    <t>Date</t>
  </si>
  <si>
    <t>Time</t>
  </si>
  <si>
    <t>Lake
depth (ft)</t>
  </si>
  <si>
    <t>Static
head (ft)</t>
  </si>
  <si>
    <t>Slug
height (ft)</t>
  </si>
  <si>
    <t>Hvorslev
position</t>
  </si>
  <si>
    <t>Substrate</t>
  </si>
  <si>
    <t>Installation
depth (ft)</t>
  </si>
  <si>
    <t>Height of mini-p
above sed (ft)</t>
  </si>
  <si>
    <t>Water
sample ?</t>
  </si>
  <si>
    <t>Falling head
time 2 (s)</t>
  </si>
  <si>
    <t>Falling head
time 1 (s)</t>
  </si>
  <si>
    <t>Falling head
time 3 (s)</t>
  </si>
  <si>
    <t>Falling head
time 4 (s)</t>
  </si>
  <si>
    <t>Average Falling head
time  (s)</t>
  </si>
  <si>
    <t>sand, cobble</t>
  </si>
  <si>
    <t>sand, cobble, clay</t>
  </si>
  <si>
    <t>gravel, cobble</t>
  </si>
  <si>
    <t>cobble, gravel</t>
  </si>
  <si>
    <t>cobble</t>
  </si>
  <si>
    <t>muck, sand, cobble</t>
  </si>
  <si>
    <t>cobble, sand</t>
  </si>
  <si>
    <t>cobble, muck</t>
  </si>
  <si>
    <t>muck, gravel</t>
  </si>
  <si>
    <t>sand, gravel</t>
  </si>
  <si>
    <t>sand</t>
  </si>
  <si>
    <t>muck, sand</t>
  </si>
  <si>
    <t>sand, gravel, muck</t>
  </si>
  <si>
    <t>sand, muck</t>
  </si>
  <si>
    <t>sand, gravel, cobble</t>
  </si>
  <si>
    <t>rock, cobble</t>
  </si>
  <si>
    <t>no communication</t>
  </si>
  <si>
    <t>Comments</t>
  </si>
  <si>
    <t>3 wells, difficult developing, all were static.</t>
  </si>
  <si>
    <t>3 wells before communication made.</t>
  </si>
  <si>
    <t>Clay begins at 0.55' below lake bed, continues to 2'.</t>
  </si>
  <si>
    <t>4 tries - red clay substrate.</t>
  </si>
  <si>
    <t>3 tries - red clay substrate.</t>
  </si>
  <si>
    <t>yes</t>
  </si>
  <si>
    <t>no</t>
  </si>
  <si>
    <t>r =</t>
  </si>
  <si>
    <t>cm</t>
  </si>
  <si>
    <t>R =</t>
  </si>
  <si>
    <r>
      <t>L</t>
    </r>
    <r>
      <rPr>
        <vertAlign val="subscript"/>
        <sz val="10"/>
        <rFont val="Arial"/>
        <family val="2"/>
      </rPr>
      <t>e</t>
    </r>
  </si>
  <si>
    <r>
      <t>K</t>
    </r>
    <r>
      <rPr>
        <vertAlign val="subscript"/>
        <sz val="10"/>
        <rFont val="Arial"/>
        <family val="2"/>
      </rPr>
      <t>coefficient</t>
    </r>
    <r>
      <rPr>
        <sz val="10"/>
        <rFont val="Arial"/>
        <family val="2"/>
      </rPr>
      <t>=</t>
    </r>
  </si>
  <si>
    <r>
      <t>2L</t>
    </r>
    <r>
      <rPr>
        <vertAlign val="subscript"/>
        <sz val="10"/>
        <rFont val="Arial"/>
        <family val="2"/>
      </rPr>
      <t>e</t>
    </r>
  </si>
  <si>
    <r>
      <t>r</t>
    </r>
    <r>
      <rPr>
        <vertAlign val="superscript"/>
        <sz val="10"/>
        <rFont val="Arial"/>
        <family val="2"/>
      </rPr>
      <t>2</t>
    </r>
  </si>
  <si>
    <r>
      <t>L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>/R</t>
    </r>
  </si>
  <si>
    <r>
      <t>LN(L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>/R)</t>
    </r>
  </si>
  <si>
    <r>
      <t>r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LN…</t>
    </r>
  </si>
  <si>
    <r>
      <t>"K11"/2L</t>
    </r>
    <r>
      <rPr>
        <vertAlign val="subscript"/>
        <sz val="10"/>
        <rFont val="Arial"/>
        <family val="2"/>
      </rPr>
      <t>e</t>
    </r>
  </si>
  <si>
    <t>Hydraulic Gradient</t>
  </si>
  <si>
    <r>
      <t>K</t>
    </r>
    <r>
      <rPr>
        <b/>
        <vertAlign val="subscript"/>
        <sz val="10"/>
        <rFont val="Arial"/>
        <family val="2"/>
      </rPr>
      <t>h</t>
    </r>
    <r>
      <rPr>
        <b/>
        <sz val="10"/>
        <rFont val="Arial"/>
        <family val="2"/>
      </rPr>
      <t xml:space="preserve"> (cm/s)</t>
    </r>
  </si>
  <si>
    <r>
      <t>Velocity-vertical (ft/sec) (</t>
    </r>
    <r>
      <rPr>
        <b/>
        <i/>
        <sz val="10"/>
        <rFont val="Arial"/>
        <family val="2"/>
      </rPr>
      <t>q</t>
    </r>
    <r>
      <rPr>
        <b/>
        <sz val="10"/>
        <rFont val="Arial"/>
        <family val="2"/>
      </rPr>
      <t>)</t>
    </r>
  </si>
  <si>
    <r>
      <t>Velocity-vertical (cm/s) (</t>
    </r>
    <r>
      <rPr>
        <b/>
        <i/>
        <sz val="10"/>
        <rFont val="Arial"/>
        <family val="2"/>
      </rPr>
      <t>q</t>
    </r>
    <r>
      <rPr>
        <b/>
        <sz val="10"/>
        <rFont val="Arial"/>
        <family val="2"/>
      </rPr>
      <t>)</t>
    </r>
  </si>
  <si>
    <t>Area (ft²)</t>
  </si>
  <si>
    <r>
      <t>Discharge (ft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/sec)</t>
    </r>
  </si>
  <si>
    <t>c (2 ft sed)</t>
  </si>
  <si>
    <t>After Hunt et al 2003</t>
  </si>
  <si>
    <t>lambda</t>
  </si>
  <si>
    <t>Inflow length</t>
  </si>
  <si>
    <t>ft</t>
  </si>
  <si>
    <t>section w (ft)</t>
  </si>
  <si>
    <t>Perim (ft)</t>
  </si>
  <si>
    <t>n points</t>
  </si>
  <si>
    <t>w (ft)</t>
  </si>
  <si>
    <t>representative area (ft²)</t>
  </si>
  <si>
    <t>T (50 ft aquifer)</t>
  </si>
  <si>
    <t>TOTAL
INFLOW
(cfs)</t>
  </si>
  <si>
    <t>agrees well w/obs</t>
  </si>
  <si>
    <t>TDP (µg/L)</t>
  </si>
  <si>
    <t>Cl (mg/L)</t>
  </si>
  <si>
    <t>Ca (mg/L)</t>
  </si>
  <si>
    <t>Fe (mg/L)</t>
  </si>
  <si>
    <t>Mg (mg/L)</t>
  </si>
  <si>
    <t>Mn (mg/L)</t>
  </si>
  <si>
    <t>NH3 (mg/L)</t>
  </si>
  <si>
    <t>NO3 (mg/L)</t>
  </si>
  <si>
    <t>TKN (mg/L)</t>
  </si>
  <si>
    <t>K (mg/L)</t>
  </si>
  <si>
    <t>Na (mg/L)</t>
  </si>
  <si>
    <t>nd</t>
  </si>
  <si>
    <t>.249*</t>
  </si>
  <si>
    <t>.850*</t>
  </si>
  <si>
    <t>.194*</t>
  </si>
  <si>
    <t>.163*</t>
  </si>
  <si>
    <t>.155*</t>
  </si>
  <si>
    <t>No flow gradient - WQ not interpretable</t>
  </si>
  <si>
    <t>Negative flow gradient - WQ not interpretable</t>
  </si>
</sst>
</file>

<file path=xl/styles.xml><?xml version="1.0" encoding="utf-8"?>
<styleSheet xmlns="http://schemas.openxmlformats.org/spreadsheetml/2006/main">
  <numFmts count="3">
    <numFmt numFmtId="164" formatCode="0.??"/>
    <numFmt numFmtId="165" formatCode="?.??"/>
    <numFmt numFmtId="166" formatCode="?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color indexed="81"/>
      <name val="Tahoma"/>
      <family val="2"/>
    </font>
    <font>
      <b/>
      <vertAlign val="subscript"/>
      <sz val="10"/>
      <name val="Arial"/>
      <family val="2"/>
    </font>
    <font>
      <sz val="9"/>
      <color indexed="81"/>
      <name val="Tahoma"/>
      <family val="2"/>
    </font>
    <font>
      <b/>
      <vertAlign val="superscript"/>
      <sz val="1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4" fontId="0" fillId="0" borderId="0" xfId="0" applyNumberFormat="1" applyBorder="1"/>
    <xf numFmtId="0" fontId="0" fillId="0" borderId="0" xfId="0" applyFill="1" applyBorder="1"/>
    <xf numFmtId="164" fontId="1" fillId="0" borderId="1" xfId="0" applyNumberFormat="1" applyFont="1" applyBorder="1" applyAlignment="1">
      <alignment horizontal="center" wrapText="1"/>
    </xf>
    <xf numFmtId="164" fontId="0" fillId="0" borderId="0" xfId="0" applyNumberFormat="1" applyBorder="1"/>
    <xf numFmtId="165" fontId="0" fillId="0" borderId="0" xfId="0" applyNumberFormat="1" applyBorder="1"/>
    <xf numFmtId="166" fontId="1" fillId="0" borderId="1" xfId="0" applyNumberFormat="1" applyFont="1" applyBorder="1" applyAlignment="1">
      <alignment horizontal="center" wrapText="1"/>
    </xf>
    <xf numFmtId="166" fontId="0" fillId="0" borderId="0" xfId="0" applyNumberFormat="1" applyBorder="1"/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wrapText="1"/>
    </xf>
    <xf numFmtId="0" fontId="1" fillId="2" borderId="0" xfId="0" applyFont="1" applyFill="1" applyBorder="1"/>
    <xf numFmtId="0" fontId="11" fillId="0" borderId="0" xfId="0" applyFont="1" applyBorder="1"/>
    <xf numFmtId="14" fontId="11" fillId="0" borderId="0" xfId="0" applyNumberFormat="1" applyFont="1" applyBorder="1"/>
    <xf numFmtId="0" fontId="11" fillId="0" borderId="0" xfId="0" applyFont="1" applyFill="1" applyBorder="1"/>
    <xf numFmtId="165" fontId="11" fillId="0" borderId="0" xfId="0" applyNumberFormat="1" applyFont="1" applyBorder="1"/>
    <xf numFmtId="166" fontId="11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44"/>
  <sheetViews>
    <sheetView tabSelected="1" workbookViewId="0">
      <pane ySplit="1" topLeftCell="A2" activePane="bottomLeft" state="frozen"/>
      <selection pane="bottomLeft" activeCell="AK19" sqref="AK19"/>
    </sheetView>
  </sheetViews>
  <sheetFormatPr defaultRowHeight="15"/>
  <cols>
    <col min="1" max="1" width="9.140625" style="1"/>
    <col min="2" max="2" width="9.7109375" style="1" bestFit="1" customWidth="1"/>
    <col min="3" max="3" width="9.140625" style="1"/>
    <col min="4" max="4" width="8.85546875" style="1" bestFit="1" customWidth="1"/>
    <col min="5" max="15" width="9.140625" style="1"/>
    <col min="16" max="16" width="18.85546875" style="1" bestFit="1" customWidth="1"/>
    <col min="17" max="17" width="11" style="1" bestFit="1" customWidth="1"/>
    <col min="18" max="18" width="16.28515625" style="1" customWidth="1"/>
    <col min="19" max="19" width="11" style="1" customWidth="1"/>
    <col min="20" max="20" width="17.7109375" style="1" bestFit="1" customWidth="1"/>
    <col min="21" max="21" width="10.7109375" style="1" customWidth="1"/>
    <col min="22" max="22" width="9.140625" style="8"/>
    <col min="23" max="23" width="11.7109375" style="1" bestFit="1" customWidth="1"/>
    <col min="24" max="26" width="11.7109375" style="1" customWidth="1"/>
    <col min="27" max="27" width="14" style="11" customWidth="1"/>
    <col min="28" max="28" width="46.7109375" style="1" bestFit="1" customWidth="1"/>
    <col min="29" max="29" width="9.140625" style="1"/>
    <col min="30" max="30" width="10.28515625" style="1" customWidth="1"/>
    <col min="31" max="32" width="15.85546875" style="1" customWidth="1"/>
    <col min="33" max="33" width="9.140625" style="1"/>
    <col min="34" max="34" width="10.7109375" style="1" customWidth="1"/>
    <col min="35" max="37" width="9.140625" style="1"/>
    <col min="38" max="38" width="13" style="1" customWidth="1"/>
    <col min="39" max="16384" width="9.140625" style="1"/>
  </cols>
  <sheetData>
    <row r="1" spans="1:39" s="2" customFormat="1" ht="45">
      <c r="A1" s="3" t="s">
        <v>0</v>
      </c>
      <c r="B1" s="3" t="s">
        <v>1</v>
      </c>
      <c r="C1" s="3" t="s">
        <v>2</v>
      </c>
      <c r="D1" s="4" t="s">
        <v>10</v>
      </c>
      <c r="E1" s="3" t="s">
        <v>71</v>
      </c>
      <c r="F1" s="3" t="s">
        <v>72</v>
      </c>
      <c r="G1" s="3" t="s">
        <v>73</v>
      </c>
      <c r="H1" s="3" t="s">
        <v>74</v>
      </c>
      <c r="I1" s="3" t="s">
        <v>75</v>
      </c>
      <c r="J1" s="3" t="s">
        <v>76</v>
      </c>
      <c r="K1" s="3" t="s">
        <v>77</v>
      </c>
      <c r="L1" s="3" t="s">
        <v>78</v>
      </c>
      <c r="M1" s="3" t="s">
        <v>79</v>
      </c>
      <c r="N1" s="3" t="s">
        <v>80</v>
      </c>
      <c r="O1" s="3" t="s">
        <v>81</v>
      </c>
      <c r="P1" s="3" t="s">
        <v>7</v>
      </c>
      <c r="Q1" s="4" t="s">
        <v>8</v>
      </c>
      <c r="R1" s="4" t="s">
        <v>9</v>
      </c>
      <c r="S1" s="4" t="s">
        <v>3</v>
      </c>
      <c r="T1" s="4" t="s">
        <v>4</v>
      </c>
      <c r="U1" s="4" t="s">
        <v>5</v>
      </c>
      <c r="V1" s="7" t="s">
        <v>6</v>
      </c>
      <c r="W1" s="4" t="s">
        <v>12</v>
      </c>
      <c r="X1" s="4" t="s">
        <v>11</v>
      </c>
      <c r="Y1" s="4" t="s">
        <v>13</v>
      </c>
      <c r="Z1" s="4" t="s">
        <v>14</v>
      </c>
      <c r="AA1" s="10" t="s">
        <v>15</v>
      </c>
      <c r="AB1" s="4" t="s">
        <v>33</v>
      </c>
      <c r="AC1" s="12" t="s">
        <v>53</v>
      </c>
      <c r="AD1" s="12" t="s">
        <v>52</v>
      </c>
      <c r="AE1" s="12" t="s">
        <v>55</v>
      </c>
      <c r="AF1" s="12" t="s">
        <v>54</v>
      </c>
      <c r="AG1" s="12" t="s">
        <v>56</v>
      </c>
      <c r="AH1" s="12" t="s">
        <v>57</v>
      </c>
      <c r="AI1" s="14" t="s">
        <v>69</v>
      </c>
    </row>
    <row r="2" spans="1:39">
      <c r="A2" s="1">
        <v>1</v>
      </c>
      <c r="B2" s="5">
        <v>41179</v>
      </c>
      <c r="C2" s="1">
        <v>1350</v>
      </c>
      <c r="D2" s="1" t="s">
        <v>40</v>
      </c>
      <c r="P2" s="1" t="s">
        <v>16</v>
      </c>
      <c r="Q2" s="6">
        <v>2</v>
      </c>
      <c r="R2" s="1">
        <f>5-Q2</f>
        <v>3</v>
      </c>
      <c r="S2" s="6">
        <v>1.5</v>
      </c>
      <c r="T2" s="6">
        <v>0</v>
      </c>
      <c r="U2" s="6">
        <v>0</v>
      </c>
      <c r="V2" s="9">
        <f>U2*0.37</f>
        <v>0</v>
      </c>
      <c r="W2" s="6">
        <v>0</v>
      </c>
      <c r="AA2" s="11">
        <f>AVERAGE(W2:Z2)</f>
        <v>0</v>
      </c>
      <c r="AD2" s="1">
        <f>T2/(Q2-0.369)</f>
        <v>0</v>
      </c>
      <c r="AE2" s="1">
        <f>AD2*AC2*0.1</f>
        <v>0</v>
      </c>
      <c r="AF2" s="1">
        <f>0.0328084*AE2</f>
        <v>0</v>
      </c>
      <c r="AH2" s="1">
        <f>AF2*$AM$15</f>
        <v>0</v>
      </c>
      <c r="AI2" s="15">
        <f>SUM(AH2:AH43)</f>
        <v>1.0495189526447346</v>
      </c>
      <c r="AK2" s="13" t="s">
        <v>59</v>
      </c>
    </row>
    <row r="3" spans="1:39">
      <c r="A3" s="1">
        <v>2</v>
      </c>
      <c r="B3" s="5">
        <v>41179</v>
      </c>
      <c r="C3" s="1">
        <v>1420</v>
      </c>
      <c r="D3" s="1" t="s">
        <v>40</v>
      </c>
      <c r="P3" s="1" t="s">
        <v>16</v>
      </c>
      <c r="Q3" s="6">
        <v>1.4</v>
      </c>
      <c r="R3" s="1">
        <f t="shared" ref="R3:R43" si="0">5-Q3</f>
        <v>3.6</v>
      </c>
      <c r="S3" s="6">
        <v>1.5</v>
      </c>
      <c r="T3" s="6">
        <v>0</v>
      </c>
      <c r="U3" s="6">
        <v>0</v>
      </c>
      <c r="V3" s="9">
        <f t="shared" ref="V3:V43" si="1">U3*0.37</f>
        <v>0</v>
      </c>
      <c r="W3" s="6">
        <v>0</v>
      </c>
      <c r="AA3" s="11">
        <f t="shared" ref="AA3:AA43" si="2">AVERAGE(W3:Z3)</f>
        <v>0</v>
      </c>
      <c r="AD3" s="1">
        <f t="shared" ref="AD3:AD43" si="3">T3/(Q3-0.369)</f>
        <v>0</v>
      </c>
      <c r="AE3" s="1">
        <f t="shared" ref="AE3:AE43" si="4">AD3*AC3*0.1</f>
        <v>0</v>
      </c>
      <c r="AF3" s="1">
        <f t="shared" ref="AF3:AF43" si="5">0.0328084*AE3</f>
        <v>0</v>
      </c>
      <c r="AH3" s="1">
        <f t="shared" ref="AH3:AH43" si="6">AF3*$AM$15</f>
        <v>0</v>
      </c>
      <c r="AI3" s="1" t="s">
        <v>70</v>
      </c>
      <c r="AK3" s="1" t="s">
        <v>58</v>
      </c>
      <c r="AL3" s="1" t="s">
        <v>68</v>
      </c>
    </row>
    <row r="4" spans="1:39">
      <c r="A4" s="1">
        <v>3</v>
      </c>
      <c r="B4" s="5">
        <v>41179</v>
      </c>
      <c r="C4" s="1">
        <v>1440</v>
      </c>
      <c r="D4" s="1" t="s">
        <v>40</v>
      </c>
      <c r="P4" s="1" t="s">
        <v>16</v>
      </c>
      <c r="Q4" s="6">
        <v>2</v>
      </c>
      <c r="R4" s="1">
        <f t="shared" si="0"/>
        <v>3</v>
      </c>
      <c r="S4" s="6">
        <v>1.5</v>
      </c>
      <c r="T4" s="6">
        <v>-1.41</v>
      </c>
      <c r="U4" s="6">
        <v>0</v>
      </c>
      <c r="V4" s="9">
        <f t="shared" si="1"/>
        <v>0</v>
      </c>
      <c r="W4" s="6">
        <v>0</v>
      </c>
      <c r="AA4" s="11">
        <f t="shared" si="2"/>
        <v>0</v>
      </c>
      <c r="AD4" s="1">
        <f t="shared" si="3"/>
        <v>-0.86450030656039234</v>
      </c>
      <c r="AH4" s="1">
        <f t="shared" si="6"/>
        <v>0</v>
      </c>
      <c r="AK4" s="1">
        <f>60.96/(AVERAGE(AC2:AC43))</f>
        <v>3301.0775516476497</v>
      </c>
      <c r="AL4" s="1">
        <f>3048/2*((AVERAGE(AC2:AC43)))</f>
        <v>28.143246726702856</v>
      </c>
    </row>
    <row r="5" spans="1:39">
      <c r="A5" s="1">
        <v>4</v>
      </c>
      <c r="B5" s="5">
        <v>41179</v>
      </c>
      <c r="C5" s="6">
        <v>1500</v>
      </c>
      <c r="D5" s="1" t="s">
        <v>40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 t="s">
        <v>17</v>
      </c>
      <c r="Q5" s="6">
        <v>2</v>
      </c>
      <c r="R5" s="1">
        <f t="shared" si="0"/>
        <v>3</v>
      </c>
      <c r="S5" s="6">
        <v>1.5</v>
      </c>
      <c r="T5" s="6">
        <v>0</v>
      </c>
      <c r="U5" s="6">
        <v>0</v>
      </c>
      <c r="V5" s="9">
        <f t="shared" si="1"/>
        <v>0</v>
      </c>
      <c r="W5" s="6">
        <v>0</v>
      </c>
      <c r="AA5" s="11">
        <f t="shared" si="2"/>
        <v>0</v>
      </c>
      <c r="AB5" s="1" t="s">
        <v>36</v>
      </c>
      <c r="AD5" s="1">
        <f t="shared" si="3"/>
        <v>0</v>
      </c>
      <c r="AE5" s="1">
        <f t="shared" si="4"/>
        <v>0</v>
      </c>
      <c r="AF5" s="1">
        <f t="shared" si="5"/>
        <v>0</v>
      </c>
      <c r="AH5" s="1">
        <f t="shared" si="6"/>
        <v>0</v>
      </c>
    </row>
    <row r="6" spans="1:39">
      <c r="A6" s="1">
        <v>5</v>
      </c>
      <c r="B6" s="5">
        <v>41179</v>
      </c>
      <c r="C6" s="6">
        <v>1530</v>
      </c>
      <c r="D6" s="1" t="s">
        <v>40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 t="s">
        <v>17</v>
      </c>
      <c r="Q6" s="6">
        <v>2</v>
      </c>
      <c r="R6" s="1">
        <f t="shared" si="0"/>
        <v>3</v>
      </c>
      <c r="S6" s="6">
        <v>1.5</v>
      </c>
      <c r="T6" s="6">
        <v>0.04</v>
      </c>
      <c r="U6" s="6">
        <v>1.38</v>
      </c>
      <c r="V6" s="9">
        <f t="shared" si="1"/>
        <v>0.51059999999999994</v>
      </c>
      <c r="W6" s="6">
        <v>17</v>
      </c>
      <c r="X6" s="6">
        <v>22</v>
      </c>
      <c r="Y6" s="6">
        <v>31.1</v>
      </c>
      <c r="Z6" s="6">
        <f>12.3</f>
        <v>12.3</v>
      </c>
      <c r="AA6" s="11">
        <f t="shared" si="2"/>
        <v>20.599999999999998</v>
      </c>
      <c r="AC6" s="1">
        <f>0.03573/AA6</f>
        <v>1.7344660194174757E-3</v>
      </c>
      <c r="AD6" s="1">
        <f t="shared" si="3"/>
        <v>2.4524831391784182E-2</v>
      </c>
      <c r="AE6" s="1">
        <f t="shared" si="4"/>
        <v>4.2537486680992667E-6</v>
      </c>
      <c r="AF6" s="1">
        <f t="shared" si="5"/>
        <v>1.3955868780246799E-7</v>
      </c>
      <c r="AH6" s="1">
        <f>AF6*$AM$15</f>
        <v>1.5526900865794585E-3</v>
      </c>
      <c r="AK6" s="1" t="s">
        <v>60</v>
      </c>
      <c r="AL6" s="1">
        <f>SQRT(AK4*AL4)</f>
        <v>304.8</v>
      </c>
      <c r="AM6" s="1" t="s">
        <v>42</v>
      </c>
    </row>
    <row r="7" spans="1:39">
      <c r="A7" s="1">
        <v>6</v>
      </c>
      <c r="B7" s="5">
        <v>41179</v>
      </c>
      <c r="C7" s="6">
        <v>1600</v>
      </c>
      <c r="D7" s="1" t="s">
        <v>40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 t="s">
        <v>18</v>
      </c>
      <c r="Q7" s="6">
        <v>2</v>
      </c>
      <c r="R7" s="1">
        <f t="shared" si="0"/>
        <v>3</v>
      </c>
      <c r="S7" s="6">
        <v>1.5</v>
      </c>
      <c r="T7" s="6">
        <v>0</v>
      </c>
      <c r="U7" s="6">
        <v>0</v>
      </c>
      <c r="V7" s="9">
        <f t="shared" si="1"/>
        <v>0</v>
      </c>
      <c r="W7" s="6">
        <v>0</v>
      </c>
      <c r="AA7" s="11">
        <f t="shared" si="2"/>
        <v>0</v>
      </c>
      <c r="AD7" s="1">
        <f t="shared" si="3"/>
        <v>0</v>
      </c>
      <c r="AE7" s="1">
        <f t="shared" si="4"/>
        <v>0</v>
      </c>
      <c r="AF7" s="1">
        <f t="shared" si="5"/>
        <v>0</v>
      </c>
      <c r="AH7" s="1">
        <f t="shared" si="6"/>
        <v>0</v>
      </c>
      <c r="AK7" s="1" t="s">
        <v>61</v>
      </c>
      <c r="AL7" s="1">
        <f>3*AL6</f>
        <v>914.40000000000009</v>
      </c>
      <c r="AM7" s="1" t="s">
        <v>42</v>
      </c>
    </row>
    <row r="8" spans="1:39">
      <c r="A8" s="1">
        <v>7</v>
      </c>
      <c r="B8" s="5">
        <v>41179</v>
      </c>
      <c r="C8" s="6">
        <v>1620</v>
      </c>
      <c r="D8" s="1" t="s">
        <v>40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 t="s">
        <v>19</v>
      </c>
      <c r="Q8" s="6">
        <v>2</v>
      </c>
      <c r="R8" s="1">
        <f t="shared" si="0"/>
        <v>3</v>
      </c>
      <c r="S8" s="6">
        <v>1.5</v>
      </c>
      <c r="T8" s="6">
        <v>0</v>
      </c>
      <c r="U8" s="6">
        <v>0</v>
      </c>
      <c r="V8" s="9">
        <f t="shared" si="1"/>
        <v>0</v>
      </c>
      <c r="W8" s="6">
        <v>0</v>
      </c>
      <c r="AA8" s="11">
        <f t="shared" si="2"/>
        <v>0</v>
      </c>
      <c r="AD8" s="1">
        <f t="shared" si="3"/>
        <v>0</v>
      </c>
      <c r="AE8" s="1">
        <f t="shared" si="4"/>
        <v>0</v>
      </c>
      <c r="AF8" s="1">
        <f t="shared" si="5"/>
        <v>0</v>
      </c>
      <c r="AH8" s="1">
        <f t="shared" si="6"/>
        <v>0</v>
      </c>
      <c r="AL8" s="1">
        <f>CONVERT(AL7,"cm","ft")</f>
        <v>30.000000000000004</v>
      </c>
      <c r="AM8" s="1" t="s">
        <v>62</v>
      </c>
    </row>
    <row r="9" spans="1:39">
      <c r="A9" s="1">
        <v>8</v>
      </c>
      <c r="B9" s="5">
        <v>41179</v>
      </c>
      <c r="C9" s="6">
        <v>1645</v>
      </c>
      <c r="D9" s="1" t="s">
        <v>40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 t="s">
        <v>19</v>
      </c>
      <c r="Q9" s="6">
        <v>1.8</v>
      </c>
      <c r="R9" s="1">
        <f t="shared" si="0"/>
        <v>3.2</v>
      </c>
      <c r="S9" s="6">
        <v>1.5</v>
      </c>
      <c r="T9" s="6">
        <v>0</v>
      </c>
      <c r="U9" s="6">
        <v>0</v>
      </c>
      <c r="V9" s="9">
        <f t="shared" si="1"/>
        <v>0</v>
      </c>
      <c r="W9" s="6">
        <v>0</v>
      </c>
      <c r="AA9" s="11">
        <f t="shared" si="2"/>
        <v>0</v>
      </c>
      <c r="AB9" s="1" t="s">
        <v>35</v>
      </c>
      <c r="AD9" s="1">
        <f t="shared" si="3"/>
        <v>0</v>
      </c>
      <c r="AE9" s="1">
        <f t="shared" si="4"/>
        <v>0</v>
      </c>
      <c r="AF9" s="1">
        <f t="shared" si="5"/>
        <v>0</v>
      </c>
      <c r="AH9" s="1">
        <f t="shared" si="6"/>
        <v>0</v>
      </c>
    </row>
    <row r="10" spans="1:39">
      <c r="A10" s="1">
        <v>9</v>
      </c>
      <c r="B10" s="5">
        <v>41179</v>
      </c>
      <c r="C10" s="6">
        <v>1700</v>
      </c>
      <c r="D10" s="1" t="s">
        <v>40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 t="s">
        <v>20</v>
      </c>
      <c r="Q10" s="6">
        <v>2.15</v>
      </c>
      <c r="R10" s="1">
        <f t="shared" si="0"/>
        <v>2.85</v>
      </c>
      <c r="S10" s="6">
        <v>1.5</v>
      </c>
      <c r="T10" s="6">
        <v>0</v>
      </c>
      <c r="U10" s="6">
        <v>0</v>
      </c>
      <c r="V10" s="9">
        <f t="shared" si="1"/>
        <v>0</v>
      </c>
      <c r="W10" s="6">
        <v>0</v>
      </c>
      <c r="AA10" s="11">
        <f t="shared" si="2"/>
        <v>0</v>
      </c>
      <c r="AB10" s="1" t="s">
        <v>34</v>
      </c>
      <c r="AD10" s="1">
        <f t="shared" si="3"/>
        <v>0</v>
      </c>
      <c r="AE10" s="1">
        <f t="shared" si="4"/>
        <v>0</v>
      </c>
      <c r="AF10" s="1">
        <f t="shared" si="5"/>
        <v>0</v>
      </c>
      <c r="AH10" s="1">
        <f t="shared" si="6"/>
        <v>0</v>
      </c>
      <c r="AK10" s="1" t="s">
        <v>63</v>
      </c>
    </row>
    <row r="11" spans="1:39">
      <c r="A11" s="1">
        <v>10</v>
      </c>
      <c r="B11" s="5">
        <v>41179</v>
      </c>
      <c r="C11" s="6">
        <v>1730</v>
      </c>
      <c r="D11" s="1" t="s">
        <v>40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 t="s">
        <v>20</v>
      </c>
      <c r="Q11" s="6">
        <v>2</v>
      </c>
      <c r="R11" s="1">
        <f t="shared" si="0"/>
        <v>3</v>
      </c>
      <c r="S11" s="6">
        <v>1.5</v>
      </c>
      <c r="T11" s="6">
        <v>0</v>
      </c>
      <c r="U11" s="6">
        <v>0</v>
      </c>
      <c r="V11" s="9">
        <f t="shared" si="1"/>
        <v>0</v>
      </c>
      <c r="W11" s="6">
        <v>0</v>
      </c>
      <c r="AA11" s="11">
        <f t="shared" si="2"/>
        <v>0</v>
      </c>
      <c r="AD11" s="1">
        <f t="shared" si="3"/>
        <v>0</v>
      </c>
      <c r="AE11" s="1">
        <f t="shared" si="4"/>
        <v>0</v>
      </c>
      <c r="AF11" s="1">
        <f t="shared" si="5"/>
        <v>0</v>
      </c>
      <c r="AH11" s="1">
        <f t="shared" si="6"/>
        <v>0</v>
      </c>
      <c r="AL11" s="1" t="s">
        <v>64</v>
      </c>
      <c r="AM11" s="1">
        <f>2.95*5280</f>
        <v>15576.000000000002</v>
      </c>
    </row>
    <row r="12" spans="1:39">
      <c r="A12" s="1">
        <v>11</v>
      </c>
      <c r="B12" s="5">
        <v>41179</v>
      </c>
      <c r="C12" s="6">
        <v>1800</v>
      </c>
      <c r="D12" s="1" t="s">
        <v>40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 t="s">
        <v>19</v>
      </c>
      <c r="Q12" s="6">
        <v>1.95</v>
      </c>
      <c r="R12" s="1">
        <f t="shared" si="0"/>
        <v>3.05</v>
      </c>
      <c r="S12" s="6">
        <v>1.5</v>
      </c>
      <c r="T12" s="6">
        <v>0.03</v>
      </c>
      <c r="U12" s="6">
        <v>1.55</v>
      </c>
      <c r="V12" s="9">
        <f t="shared" si="1"/>
        <v>0.57350000000000001</v>
      </c>
      <c r="W12" s="6">
        <v>10.7</v>
      </c>
      <c r="X12" s="6">
        <v>10.4</v>
      </c>
      <c r="Y12" s="6">
        <v>10.3</v>
      </c>
      <c r="Z12" s="6">
        <v>10.4</v>
      </c>
      <c r="AA12" s="11">
        <f t="shared" si="2"/>
        <v>10.450000000000001</v>
      </c>
      <c r="AC12" s="1">
        <f t="shared" ref="AC12:AC39" si="7">0.03573/AA12</f>
        <v>3.4191387559808608E-3</v>
      </c>
      <c r="AD12" s="1">
        <f t="shared" si="3"/>
        <v>1.8975332068311195E-2</v>
      </c>
      <c r="AE12" s="1">
        <f t="shared" si="4"/>
        <v>6.4879293282369277E-6</v>
      </c>
      <c r="AF12" s="1">
        <f t="shared" si="5"/>
        <v>2.1285858057252841E-7</v>
      </c>
      <c r="AH12" s="1">
        <f t="shared" si="6"/>
        <v>2.3682037507126454E-3</v>
      </c>
      <c r="AL12" s="1" t="s">
        <v>65</v>
      </c>
      <c r="AM12" s="1">
        <v>42</v>
      </c>
    </row>
    <row r="13" spans="1:39">
      <c r="A13" s="1">
        <v>12</v>
      </c>
      <c r="B13" s="5">
        <v>41179</v>
      </c>
      <c r="C13" s="6">
        <v>1830</v>
      </c>
      <c r="D13" s="1" t="s">
        <v>40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 t="s">
        <v>20</v>
      </c>
      <c r="Q13" s="6">
        <v>1.8</v>
      </c>
      <c r="R13" s="1">
        <f t="shared" si="0"/>
        <v>3.2</v>
      </c>
      <c r="S13" s="6">
        <v>1.5</v>
      </c>
      <c r="T13" s="6">
        <v>0.09</v>
      </c>
      <c r="U13" s="6">
        <v>1.64</v>
      </c>
      <c r="V13" s="9">
        <f t="shared" si="1"/>
        <v>0.60680000000000001</v>
      </c>
      <c r="W13" s="6">
        <v>10</v>
      </c>
      <c r="X13" s="6">
        <v>10.3</v>
      </c>
      <c r="Y13" s="6">
        <v>10.199999999999999</v>
      </c>
      <c r="AA13" s="11">
        <f t="shared" si="2"/>
        <v>10.166666666666666</v>
      </c>
      <c r="AC13" s="1">
        <f t="shared" si="7"/>
        <v>3.5144262295081969E-3</v>
      </c>
      <c r="AD13" s="1">
        <f t="shared" si="3"/>
        <v>6.2893081761006289E-2</v>
      </c>
      <c r="AE13" s="1">
        <f t="shared" si="4"/>
        <v>2.2103309619548409E-5</v>
      </c>
      <c r="AF13" s="1">
        <f t="shared" si="5"/>
        <v>7.251742233219921E-7</v>
      </c>
      <c r="AH13" s="1">
        <f t="shared" si="6"/>
        <v>8.0680812160452507E-3</v>
      </c>
      <c r="AL13" s="1" t="s">
        <v>66</v>
      </c>
      <c r="AM13" s="1">
        <f>AM11/AM12</f>
        <v>370.85714285714289</v>
      </c>
    </row>
    <row r="14" spans="1:39">
      <c r="A14" s="1">
        <v>13</v>
      </c>
      <c r="B14" s="5">
        <v>41180</v>
      </c>
      <c r="C14" s="6">
        <v>1010</v>
      </c>
      <c r="D14" s="1" t="s">
        <v>40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 t="s">
        <v>21</v>
      </c>
      <c r="Q14" s="6">
        <v>2</v>
      </c>
      <c r="R14" s="1">
        <f t="shared" si="0"/>
        <v>3</v>
      </c>
      <c r="S14" s="6">
        <v>1.5</v>
      </c>
      <c r="T14" s="6" t="s">
        <v>32</v>
      </c>
      <c r="U14" s="6">
        <v>0</v>
      </c>
      <c r="V14" s="9">
        <f t="shared" si="1"/>
        <v>0</v>
      </c>
      <c r="W14" s="6">
        <v>0</v>
      </c>
      <c r="X14" s="6"/>
      <c r="Y14" s="6"/>
      <c r="Z14" s="6"/>
      <c r="AA14" s="11">
        <f t="shared" si="2"/>
        <v>0</v>
      </c>
      <c r="AB14" s="6" t="s">
        <v>38</v>
      </c>
      <c r="AH14" s="1">
        <f t="shared" si="6"/>
        <v>0</v>
      </c>
    </row>
    <row r="15" spans="1:39">
      <c r="A15" s="1">
        <v>14</v>
      </c>
      <c r="B15" s="5">
        <v>41180</v>
      </c>
      <c r="C15" s="6">
        <v>1145</v>
      </c>
      <c r="D15" s="1" t="s">
        <v>39</v>
      </c>
      <c r="E15" s="6">
        <v>46</v>
      </c>
      <c r="F15" s="6">
        <v>6</v>
      </c>
      <c r="G15" s="6">
        <v>42.2</v>
      </c>
      <c r="H15" s="6">
        <v>13.6</v>
      </c>
      <c r="I15" s="6">
        <v>16</v>
      </c>
      <c r="J15" s="6">
        <v>82.2</v>
      </c>
      <c r="K15" s="6" t="s">
        <v>82</v>
      </c>
      <c r="L15" s="6" t="s">
        <v>86</v>
      </c>
      <c r="M15" s="6" t="s">
        <v>82</v>
      </c>
      <c r="N15" s="6">
        <v>1.9</v>
      </c>
      <c r="O15" s="6">
        <v>4</v>
      </c>
      <c r="P15" s="6" t="s">
        <v>22</v>
      </c>
      <c r="Q15" s="6">
        <v>2</v>
      </c>
      <c r="R15" s="1">
        <f t="shared" si="0"/>
        <v>3</v>
      </c>
      <c r="S15" s="6">
        <v>1.5</v>
      </c>
      <c r="T15" s="1">
        <v>0.16</v>
      </c>
      <c r="U15" s="6">
        <v>1.37</v>
      </c>
      <c r="V15" s="9">
        <f t="shared" si="1"/>
        <v>0.50690000000000002</v>
      </c>
      <c r="W15" s="6">
        <v>0.82</v>
      </c>
      <c r="X15" s="6">
        <v>0.81</v>
      </c>
      <c r="Y15" s="6">
        <v>0.83</v>
      </c>
      <c r="AA15" s="11">
        <f t="shared" si="2"/>
        <v>0.82</v>
      </c>
      <c r="AC15" s="1">
        <f t="shared" si="7"/>
        <v>4.3573170731707314E-2</v>
      </c>
      <c r="AD15" s="1">
        <f t="shared" si="3"/>
        <v>9.8099325567136728E-2</v>
      </c>
      <c r="AE15" s="1">
        <f t="shared" si="4"/>
        <v>4.274498661602189E-4</v>
      </c>
      <c r="AF15" s="1">
        <f t="shared" si="5"/>
        <v>1.4023946188930926E-5</v>
      </c>
      <c r="AH15" s="1">
        <f t="shared" si="6"/>
        <v>0.15602641845627727</v>
      </c>
      <c r="AK15" s="1" t="s">
        <v>67</v>
      </c>
      <c r="AM15" s="1">
        <f>AM13*AL8</f>
        <v>11125.714285714288</v>
      </c>
    </row>
    <row r="16" spans="1:39">
      <c r="A16" s="1">
        <v>15</v>
      </c>
      <c r="B16" s="5">
        <v>41180</v>
      </c>
      <c r="C16" s="6">
        <v>1215</v>
      </c>
      <c r="D16" s="1" t="s">
        <v>40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 t="s">
        <v>23</v>
      </c>
      <c r="Q16" s="6">
        <v>2</v>
      </c>
      <c r="R16" s="1">
        <f t="shared" si="0"/>
        <v>3</v>
      </c>
      <c r="S16" s="6">
        <v>1.5</v>
      </c>
      <c r="T16" s="6" t="s">
        <v>32</v>
      </c>
      <c r="U16" s="6">
        <v>0</v>
      </c>
      <c r="V16" s="9">
        <f t="shared" si="1"/>
        <v>0</v>
      </c>
      <c r="W16" s="6">
        <v>0</v>
      </c>
      <c r="X16" s="6"/>
      <c r="Y16" s="6"/>
      <c r="Z16" s="6"/>
      <c r="AA16" s="11">
        <f t="shared" si="2"/>
        <v>0</v>
      </c>
      <c r="AB16" s="6" t="s">
        <v>37</v>
      </c>
      <c r="AH16" s="1">
        <f t="shared" si="6"/>
        <v>0</v>
      </c>
    </row>
    <row r="17" spans="1:34">
      <c r="A17" s="1">
        <v>16</v>
      </c>
      <c r="B17" s="5">
        <v>41180</v>
      </c>
      <c r="C17" s="6">
        <v>1250</v>
      </c>
      <c r="D17" s="1" t="s">
        <v>40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 t="s">
        <v>24</v>
      </c>
      <c r="Q17" s="6">
        <v>1.6</v>
      </c>
      <c r="R17" s="1">
        <f t="shared" si="0"/>
        <v>3.4</v>
      </c>
      <c r="S17" s="6">
        <v>1.5</v>
      </c>
      <c r="T17" s="1">
        <v>0.03</v>
      </c>
      <c r="U17" s="6">
        <v>2.2999999999999998</v>
      </c>
      <c r="V17" s="9">
        <f t="shared" si="1"/>
        <v>0.85099999999999998</v>
      </c>
      <c r="W17" s="6">
        <v>1.5</v>
      </c>
      <c r="X17" s="6">
        <v>1.4</v>
      </c>
      <c r="Y17" s="6">
        <v>1.2</v>
      </c>
      <c r="AA17" s="11">
        <f t="shared" si="2"/>
        <v>1.3666666666666665</v>
      </c>
      <c r="AC17" s="1">
        <f t="shared" si="7"/>
        <v>2.6143902439024393E-2</v>
      </c>
      <c r="AD17" s="1">
        <f t="shared" si="3"/>
        <v>2.4370430544272945E-2</v>
      </c>
      <c r="AE17" s="1">
        <f t="shared" si="4"/>
        <v>6.3713815854649197E-5</v>
      </c>
      <c r="AF17" s="1">
        <f t="shared" si="5"/>
        <v>2.0903483560856729E-6</v>
      </c>
      <c r="AH17" s="1">
        <f t="shared" si="6"/>
        <v>2.3256618567421748E-2</v>
      </c>
    </row>
    <row r="18" spans="1:34">
      <c r="A18" s="1">
        <v>17</v>
      </c>
      <c r="B18" s="5">
        <v>41180</v>
      </c>
      <c r="C18" s="6">
        <v>1356</v>
      </c>
      <c r="D18" s="1" t="s">
        <v>39</v>
      </c>
      <c r="E18" s="6">
        <v>61</v>
      </c>
      <c r="F18" s="6">
        <v>4.4000000000000004</v>
      </c>
      <c r="G18" s="6">
        <v>41.9</v>
      </c>
      <c r="H18" s="6">
        <v>7.8</v>
      </c>
      <c r="I18" s="6">
        <v>15.7</v>
      </c>
      <c r="J18" s="6">
        <v>1030</v>
      </c>
      <c r="K18" s="6" t="s">
        <v>82</v>
      </c>
      <c r="L18" s="6" t="s">
        <v>85</v>
      </c>
      <c r="M18" s="6" t="s">
        <v>82</v>
      </c>
      <c r="N18" s="6">
        <v>1.8</v>
      </c>
      <c r="O18" s="6">
        <v>4.3</v>
      </c>
      <c r="P18" s="6" t="s">
        <v>25</v>
      </c>
      <c r="Q18" s="6">
        <v>2</v>
      </c>
      <c r="R18" s="1">
        <f t="shared" si="0"/>
        <v>3</v>
      </c>
      <c r="S18" s="6">
        <v>1.5</v>
      </c>
      <c r="T18" s="6">
        <v>0.03</v>
      </c>
      <c r="U18" s="6">
        <v>1.52</v>
      </c>
      <c r="V18" s="9">
        <f t="shared" si="1"/>
        <v>0.56240000000000001</v>
      </c>
      <c r="W18" s="6">
        <v>1.4</v>
      </c>
      <c r="X18" s="6">
        <v>1.3</v>
      </c>
      <c r="Y18" s="6">
        <v>1.2</v>
      </c>
      <c r="AA18" s="11">
        <f t="shared" si="2"/>
        <v>1.3</v>
      </c>
      <c r="AC18" s="1">
        <f t="shared" si="7"/>
        <v>2.7484615384615382E-2</v>
      </c>
      <c r="AD18" s="1">
        <f t="shared" si="3"/>
        <v>1.8393623543838136E-2</v>
      </c>
      <c r="AE18" s="1">
        <f t="shared" si="4"/>
        <v>5.0554166863179738E-5</v>
      </c>
      <c r="AF18" s="1">
        <f t="shared" si="5"/>
        <v>1.6586013281139461E-6</v>
      </c>
      <c r="AH18" s="1">
        <f t="shared" si="6"/>
        <v>1.8453124490502022E-2</v>
      </c>
    </row>
    <row r="19" spans="1:34">
      <c r="A19" s="1">
        <v>18</v>
      </c>
      <c r="B19" s="5">
        <v>41180</v>
      </c>
      <c r="C19" s="6">
        <v>1424</v>
      </c>
      <c r="D19" s="1" t="s">
        <v>40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 t="s">
        <v>16</v>
      </c>
      <c r="Q19" s="6">
        <v>2</v>
      </c>
      <c r="R19" s="1">
        <f t="shared" si="0"/>
        <v>3</v>
      </c>
      <c r="S19" s="6">
        <v>1.5</v>
      </c>
      <c r="T19" s="6">
        <v>0.25</v>
      </c>
      <c r="U19" s="6">
        <v>1.37</v>
      </c>
      <c r="V19" s="9">
        <f t="shared" si="1"/>
        <v>0.50690000000000002</v>
      </c>
      <c r="W19" s="6">
        <v>4.9000000000000004</v>
      </c>
      <c r="X19" s="6">
        <v>4.5999999999999996</v>
      </c>
      <c r="Y19" s="6">
        <v>4.9000000000000004</v>
      </c>
      <c r="AA19" s="11">
        <f t="shared" si="2"/>
        <v>4.8</v>
      </c>
      <c r="AC19" s="1">
        <f t="shared" si="7"/>
        <v>7.4437499999999998E-3</v>
      </c>
      <c r="AD19" s="1">
        <f t="shared" si="3"/>
        <v>0.15328019619865113</v>
      </c>
      <c r="AE19" s="1">
        <f t="shared" si="4"/>
        <v>1.1409794604537094E-4</v>
      </c>
      <c r="AF19" s="1">
        <f t="shared" si="5"/>
        <v>3.7433710530349481E-6</v>
      </c>
      <c r="AH19" s="1">
        <f t="shared" si="6"/>
        <v>4.1647676801480259E-2</v>
      </c>
    </row>
    <row r="20" spans="1:34">
      <c r="A20" s="1">
        <v>19</v>
      </c>
      <c r="B20" s="5">
        <v>41180</v>
      </c>
      <c r="C20" s="6">
        <v>1453</v>
      </c>
      <c r="D20" s="1" t="s">
        <v>40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 t="s">
        <v>18</v>
      </c>
      <c r="Q20" s="6">
        <v>2</v>
      </c>
      <c r="R20" s="1">
        <f t="shared" si="0"/>
        <v>3</v>
      </c>
      <c r="S20" s="6">
        <v>1.5</v>
      </c>
      <c r="T20" s="6">
        <v>0.21</v>
      </c>
      <c r="U20" s="6">
        <v>1.51</v>
      </c>
      <c r="V20" s="9">
        <f t="shared" si="1"/>
        <v>0.55869999999999997</v>
      </c>
      <c r="W20" s="6">
        <v>2.6</v>
      </c>
      <c r="X20" s="6">
        <v>2.9</v>
      </c>
      <c r="Y20" s="6">
        <v>2.9</v>
      </c>
      <c r="AA20" s="11">
        <f t="shared" si="2"/>
        <v>2.8000000000000003</v>
      </c>
      <c r="AC20" s="1">
        <f t="shared" si="7"/>
        <v>1.2760714285714283E-2</v>
      </c>
      <c r="AD20" s="1">
        <f t="shared" si="3"/>
        <v>0.12875536480686695</v>
      </c>
      <c r="AE20" s="1">
        <f t="shared" si="4"/>
        <v>1.6430104230533412E-4</v>
      </c>
      <c r="AF20" s="1">
        <f t="shared" si="5"/>
        <v>5.3904543163703238E-6</v>
      </c>
      <c r="AH20" s="1">
        <f t="shared" si="6"/>
        <v>5.9972654594131557E-2</v>
      </c>
    </row>
    <row r="21" spans="1:34">
      <c r="A21" s="1">
        <v>20</v>
      </c>
      <c r="B21" s="5">
        <v>41180</v>
      </c>
      <c r="C21" s="6">
        <v>1515</v>
      </c>
      <c r="D21" s="1" t="s">
        <v>40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 t="s">
        <v>26</v>
      </c>
      <c r="Q21" s="6">
        <v>2</v>
      </c>
      <c r="R21" s="1">
        <f t="shared" si="0"/>
        <v>3</v>
      </c>
      <c r="S21" s="6">
        <v>1.5</v>
      </c>
      <c r="T21" s="6">
        <v>0.06</v>
      </c>
      <c r="U21" s="6">
        <v>1.56</v>
      </c>
      <c r="V21" s="9">
        <f t="shared" si="1"/>
        <v>0.57720000000000005</v>
      </c>
      <c r="W21" s="6">
        <v>22.4</v>
      </c>
      <c r="X21" s="6">
        <v>17.899999999999999</v>
      </c>
      <c r="Y21" s="6">
        <v>19.3</v>
      </c>
      <c r="Z21" s="6">
        <v>21.4</v>
      </c>
      <c r="AA21" s="11">
        <f t="shared" si="2"/>
        <v>20.25</v>
      </c>
      <c r="AC21" s="1">
        <f t="shared" si="7"/>
        <v>1.7644444444444444E-3</v>
      </c>
      <c r="AD21" s="1">
        <f t="shared" si="3"/>
        <v>3.6787247087676271E-2</v>
      </c>
      <c r="AE21" s="1">
        <f t="shared" si="4"/>
        <v>6.490905375025547E-6</v>
      </c>
      <c r="AF21" s="1">
        <f t="shared" si="5"/>
        <v>2.1295621990598818E-7</v>
      </c>
      <c r="AH21" s="1">
        <f t="shared" si="6"/>
        <v>2.3692900580397662E-3</v>
      </c>
    </row>
    <row r="22" spans="1:34">
      <c r="A22" s="1">
        <v>21</v>
      </c>
      <c r="B22" s="5">
        <v>41180</v>
      </c>
      <c r="C22" s="6">
        <v>1546</v>
      </c>
      <c r="D22" s="1" t="s">
        <v>39</v>
      </c>
      <c r="E22" s="6">
        <v>40</v>
      </c>
      <c r="F22" s="6">
        <v>6.4</v>
      </c>
      <c r="G22" s="6">
        <v>45.1</v>
      </c>
      <c r="H22" s="6">
        <v>1.9</v>
      </c>
      <c r="I22" s="6">
        <v>14.7</v>
      </c>
      <c r="J22" s="6">
        <v>63</v>
      </c>
      <c r="K22" s="6" t="s">
        <v>82</v>
      </c>
      <c r="L22" s="6" t="s">
        <v>84</v>
      </c>
      <c r="M22" s="6" t="s">
        <v>82</v>
      </c>
      <c r="N22" s="6">
        <v>1.5</v>
      </c>
      <c r="O22" s="6">
        <v>4.2</v>
      </c>
      <c r="P22" s="6" t="s">
        <v>26</v>
      </c>
      <c r="Q22" s="6">
        <v>2</v>
      </c>
      <c r="R22" s="1">
        <f t="shared" si="0"/>
        <v>3</v>
      </c>
      <c r="S22" s="6">
        <v>1.5</v>
      </c>
      <c r="T22" s="6">
        <v>0.08</v>
      </c>
      <c r="U22" s="6">
        <v>1.27</v>
      </c>
      <c r="V22" s="9">
        <f t="shared" si="1"/>
        <v>0.46989999999999998</v>
      </c>
      <c r="W22" s="6">
        <v>1.1000000000000001</v>
      </c>
      <c r="X22" s="6">
        <v>1.1000000000000001</v>
      </c>
      <c r="Y22" s="6">
        <v>1</v>
      </c>
      <c r="AA22" s="11">
        <f t="shared" si="2"/>
        <v>1.0666666666666667</v>
      </c>
      <c r="AC22" s="1">
        <f t="shared" si="7"/>
        <v>3.3496874999999995E-2</v>
      </c>
      <c r="AD22" s="1">
        <f t="shared" si="3"/>
        <v>4.9049662783568364E-2</v>
      </c>
      <c r="AE22" s="1">
        <f t="shared" si="4"/>
        <v>1.6430104230533415E-4</v>
      </c>
      <c r="AF22" s="1">
        <f t="shared" si="5"/>
        <v>5.3904543163703247E-6</v>
      </c>
      <c r="AH22" s="1">
        <f t="shared" si="6"/>
        <v>5.9972654594131571E-2</v>
      </c>
    </row>
    <row r="23" spans="1:34">
      <c r="A23" s="1">
        <v>22</v>
      </c>
      <c r="B23" s="5">
        <v>41180</v>
      </c>
      <c r="C23" s="6">
        <v>1610</v>
      </c>
      <c r="D23" s="1" t="s">
        <v>40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 t="s">
        <v>27</v>
      </c>
      <c r="Q23" s="6">
        <v>2</v>
      </c>
      <c r="R23" s="1">
        <f t="shared" si="0"/>
        <v>3</v>
      </c>
      <c r="S23" s="6">
        <v>1.5</v>
      </c>
      <c r="T23" s="6">
        <v>0.05</v>
      </c>
      <c r="U23" s="6">
        <v>1.78</v>
      </c>
      <c r="V23" s="9">
        <f t="shared" si="1"/>
        <v>0.65859999999999996</v>
      </c>
      <c r="W23" s="6">
        <v>2.2999999999999998</v>
      </c>
      <c r="X23" s="6">
        <v>1.6</v>
      </c>
      <c r="Y23" s="6">
        <v>2.1</v>
      </c>
      <c r="AA23" s="11">
        <f t="shared" si="2"/>
        <v>2</v>
      </c>
      <c r="AC23" s="1">
        <f t="shared" si="7"/>
        <v>1.7864999999999999E-2</v>
      </c>
      <c r="AD23" s="1">
        <f t="shared" si="3"/>
        <v>3.0656039239730228E-2</v>
      </c>
      <c r="AE23" s="1">
        <f t="shared" si="4"/>
        <v>5.4767014101778047E-5</v>
      </c>
      <c r="AF23" s="1">
        <f t="shared" si="5"/>
        <v>1.796818105456775E-6</v>
      </c>
      <c r="AH23" s="1">
        <f t="shared" si="6"/>
        <v>1.9990884864710526E-2</v>
      </c>
    </row>
    <row r="24" spans="1:34">
      <c r="A24" s="1">
        <v>23</v>
      </c>
      <c r="B24" s="5">
        <v>41180</v>
      </c>
      <c r="C24" s="6">
        <v>1615</v>
      </c>
      <c r="D24" s="1" t="s">
        <v>40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 t="s">
        <v>18</v>
      </c>
      <c r="Q24" s="6">
        <v>2</v>
      </c>
      <c r="R24" s="1">
        <f t="shared" si="0"/>
        <v>3</v>
      </c>
      <c r="S24" s="6">
        <v>1.5</v>
      </c>
      <c r="T24" s="6">
        <v>0.06</v>
      </c>
      <c r="U24" s="6">
        <v>1.54</v>
      </c>
      <c r="V24" s="9">
        <f t="shared" si="1"/>
        <v>0.56979999999999997</v>
      </c>
      <c r="W24" s="6">
        <v>2.2999999999999998</v>
      </c>
      <c r="X24" s="6">
        <v>2.5</v>
      </c>
      <c r="Y24" s="6">
        <v>2.4</v>
      </c>
      <c r="AA24" s="11">
        <f t="shared" si="2"/>
        <v>2.4</v>
      </c>
      <c r="AC24" s="1">
        <f t="shared" si="7"/>
        <v>1.48875E-2</v>
      </c>
      <c r="AD24" s="1">
        <f t="shared" si="3"/>
        <v>3.6787247087676271E-2</v>
      </c>
      <c r="AE24" s="1">
        <f t="shared" si="4"/>
        <v>5.4767014101778047E-5</v>
      </c>
      <c r="AF24" s="1">
        <f t="shared" si="5"/>
        <v>1.796818105456775E-6</v>
      </c>
      <c r="AH24" s="1">
        <f t="shared" si="6"/>
        <v>1.9990884864710526E-2</v>
      </c>
    </row>
    <row r="25" spans="1:34">
      <c r="A25" s="1">
        <v>24</v>
      </c>
      <c r="B25" s="5">
        <v>41180</v>
      </c>
      <c r="C25" s="6">
        <v>1642</v>
      </c>
      <c r="D25" s="1" t="s">
        <v>40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 t="s">
        <v>27</v>
      </c>
      <c r="Q25" s="6">
        <v>2</v>
      </c>
      <c r="R25" s="1">
        <f t="shared" si="0"/>
        <v>3</v>
      </c>
      <c r="S25" s="6">
        <v>1.5</v>
      </c>
      <c r="T25" s="6">
        <v>0.21</v>
      </c>
      <c r="U25" s="6">
        <v>1.83</v>
      </c>
      <c r="V25" s="9">
        <f t="shared" si="1"/>
        <v>0.67710000000000004</v>
      </c>
      <c r="W25" s="6">
        <v>2.9</v>
      </c>
      <c r="X25" s="6">
        <v>2.9</v>
      </c>
      <c r="Y25" s="6">
        <v>3</v>
      </c>
      <c r="AA25" s="11">
        <f t="shared" si="2"/>
        <v>2.9333333333333336</v>
      </c>
      <c r="AC25" s="1">
        <f t="shared" si="7"/>
        <v>1.2180681818181816E-2</v>
      </c>
      <c r="AD25" s="1">
        <f t="shared" si="3"/>
        <v>0.12875536480686695</v>
      </c>
      <c r="AE25" s="1">
        <f t="shared" si="4"/>
        <v>1.5683281310963711E-4</v>
      </c>
      <c r="AF25" s="1">
        <f t="shared" si="5"/>
        <v>5.1454336656262186E-6</v>
      </c>
      <c r="AH25" s="1">
        <f t="shared" si="6"/>
        <v>5.7246624839852857E-2</v>
      </c>
    </row>
    <row r="26" spans="1:34">
      <c r="A26" s="1">
        <v>25</v>
      </c>
      <c r="B26" s="5">
        <v>41180</v>
      </c>
      <c r="C26" s="6">
        <v>1722</v>
      </c>
      <c r="D26" s="1" t="s">
        <v>39</v>
      </c>
      <c r="E26" s="6">
        <v>91</v>
      </c>
      <c r="F26" s="6">
        <v>1.1000000000000001</v>
      </c>
      <c r="G26" s="6">
        <v>31.2</v>
      </c>
      <c r="H26" s="6">
        <v>2.5</v>
      </c>
      <c r="I26" s="6">
        <v>10.3</v>
      </c>
      <c r="J26" s="6">
        <v>33.1</v>
      </c>
      <c r="K26" s="6" t="s">
        <v>82</v>
      </c>
      <c r="L26" s="6" t="s">
        <v>87</v>
      </c>
      <c r="M26" s="6" t="s">
        <v>82</v>
      </c>
      <c r="N26" s="6">
        <v>1</v>
      </c>
      <c r="O26" s="6">
        <v>3.1</v>
      </c>
      <c r="P26" s="6" t="s">
        <v>28</v>
      </c>
      <c r="Q26" s="6">
        <v>2</v>
      </c>
      <c r="R26" s="1">
        <f t="shared" si="0"/>
        <v>3</v>
      </c>
      <c r="S26" s="6">
        <v>1.5</v>
      </c>
      <c r="T26" s="6">
        <v>0.1</v>
      </c>
      <c r="U26" s="6">
        <v>1.52</v>
      </c>
      <c r="V26" s="9">
        <f t="shared" si="1"/>
        <v>0.56240000000000001</v>
      </c>
      <c r="W26" s="6">
        <v>5.5</v>
      </c>
      <c r="X26" s="6">
        <v>5.7</v>
      </c>
      <c r="Y26" s="6">
        <v>5.6</v>
      </c>
      <c r="AA26" s="11">
        <f t="shared" si="2"/>
        <v>5.5999999999999988</v>
      </c>
      <c r="AC26" s="1">
        <f t="shared" si="7"/>
        <v>6.3803571428571442E-3</v>
      </c>
      <c r="AD26" s="1">
        <f t="shared" si="3"/>
        <v>6.1312078479460456E-2</v>
      </c>
      <c r="AE26" s="1">
        <f t="shared" si="4"/>
        <v>3.9119295786984338E-5</v>
      </c>
      <c r="AF26" s="1">
        <f t="shared" si="5"/>
        <v>1.2834415038976971E-6</v>
      </c>
      <c r="AH26" s="1">
        <f t="shared" si="6"/>
        <v>1.4279203474793238E-2</v>
      </c>
    </row>
    <row r="27" spans="1:34">
      <c r="A27" s="1">
        <v>26</v>
      </c>
      <c r="B27" s="5">
        <v>41183</v>
      </c>
      <c r="C27" s="6">
        <v>1002</v>
      </c>
      <c r="D27" s="1" t="s">
        <v>40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 t="s">
        <v>26</v>
      </c>
      <c r="Q27" s="6">
        <v>2</v>
      </c>
      <c r="R27" s="1">
        <f t="shared" si="0"/>
        <v>3</v>
      </c>
      <c r="S27" s="6">
        <v>1.5</v>
      </c>
      <c r="T27" s="1" t="s">
        <v>32</v>
      </c>
      <c r="U27" s="1">
        <v>0</v>
      </c>
      <c r="V27" s="9">
        <f t="shared" si="1"/>
        <v>0</v>
      </c>
      <c r="W27" s="1">
        <v>0</v>
      </c>
      <c r="AA27" s="11">
        <f t="shared" si="2"/>
        <v>0</v>
      </c>
      <c r="AH27" s="1">
        <f t="shared" si="6"/>
        <v>0</v>
      </c>
    </row>
    <row r="28" spans="1:34">
      <c r="A28" s="1">
        <v>27</v>
      </c>
      <c r="B28" s="5">
        <v>41183</v>
      </c>
      <c r="C28" s="6">
        <v>1220</v>
      </c>
      <c r="D28" s="1" t="s">
        <v>40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 t="s">
        <v>29</v>
      </c>
      <c r="Q28" s="6">
        <v>2</v>
      </c>
      <c r="R28" s="1">
        <f t="shared" si="0"/>
        <v>3</v>
      </c>
      <c r="S28" s="6">
        <v>1.5</v>
      </c>
      <c r="T28" s="1" t="s">
        <v>32</v>
      </c>
      <c r="U28" s="1">
        <v>0</v>
      </c>
      <c r="V28" s="9">
        <f t="shared" si="1"/>
        <v>0</v>
      </c>
      <c r="W28" s="1">
        <v>0</v>
      </c>
      <c r="AA28" s="11">
        <f t="shared" si="2"/>
        <v>0</v>
      </c>
      <c r="AH28" s="1">
        <f t="shared" si="6"/>
        <v>0</v>
      </c>
    </row>
    <row r="29" spans="1:34">
      <c r="A29" s="1">
        <v>28</v>
      </c>
      <c r="B29" s="5">
        <v>41183</v>
      </c>
      <c r="C29" s="6">
        <v>1255</v>
      </c>
      <c r="D29" s="1" t="s">
        <v>39</v>
      </c>
      <c r="E29" s="6">
        <v>30</v>
      </c>
      <c r="F29" s="6">
        <v>9.9</v>
      </c>
      <c r="G29" s="6">
        <v>41.6</v>
      </c>
      <c r="H29" s="6">
        <v>23</v>
      </c>
      <c r="I29" s="6">
        <v>18.100000000000001</v>
      </c>
      <c r="J29" s="6">
        <v>210</v>
      </c>
      <c r="K29" s="6" t="s">
        <v>82</v>
      </c>
      <c r="L29" s="6" t="s">
        <v>83</v>
      </c>
      <c r="M29" s="6">
        <v>0.22</v>
      </c>
      <c r="N29" s="6">
        <v>2.4</v>
      </c>
      <c r="O29" s="6">
        <v>12.5</v>
      </c>
      <c r="P29" s="6" t="s">
        <v>26</v>
      </c>
      <c r="Q29" s="6">
        <v>2</v>
      </c>
      <c r="R29" s="1">
        <f t="shared" si="0"/>
        <v>3</v>
      </c>
      <c r="S29" s="6">
        <v>1.5</v>
      </c>
      <c r="T29" s="6">
        <v>0.03</v>
      </c>
      <c r="U29" s="6">
        <v>1.66</v>
      </c>
      <c r="V29" s="9">
        <f t="shared" si="1"/>
        <v>0.61419999999999997</v>
      </c>
      <c r="W29" s="6">
        <v>0.72</v>
      </c>
      <c r="X29" s="6">
        <v>0.81</v>
      </c>
      <c r="Y29" s="6">
        <v>0.79</v>
      </c>
      <c r="AA29" s="11">
        <f t="shared" si="2"/>
        <v>0.77333333333333343</v>
      </c>
      <c r="AC29" s="1">
        <f t="shared" si="7"/>
        <v>4.6202586206896545E-2</v>
      </c>
      <c r="AD29" s="1">
        <f t="shared" si="3"/>
        <v>1.8393623543838136E-2</v>
      </c>
      <c r="AE29" s="1">
        <f t="shared" si="4"/>
        <v>8.4983297744138341E-5</v>
      </c>
      <c r="AF29" s="1">
        <f t="shared" si="5"/>
        <v>2.7881660257087884E-6</v>
      </c>
      <c r="AH29" s="1">
        <f t="shared" si="6"/>
        <v>3.1020338583171499E-2</v>
      </c>
    </row>
    <row r="30" spans="1:34">
      <c r="A30" s="1">
        <v>29</v>
      </c>
      <c r="B30" s="5">
        <v>41183</v>
      </c>
      <c r="C30" s="6">
        <v>1334</v>
      </c>
      <c r="D30" s="1" t="s">
        <v>40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 t="s">
        <v>25</v>
      </c>
      <c r="Q30" s="6">
        <v>2</v>
      </c>
      <c r="R30" s="1">
        <f t="shared" si="0"/>
        <v>3</v>
      </c>
      <c r="S30" s="6">
        <v>1.5</v>
      </c>
      <c r="T30" s="6">
        <v>0.06</v>
      </c>
      <c r="U30" s="6">
        <v>1.96</v>
      </c>
      <c r="V30" s="9">
        <f t="shared" si="1"/>
        <v>0.72519999999999996</v>
      </c>
      <c r="W30" s="6">
        <v>21.34</v>
      </c>
      <c r="X30" s="6">
        <v>21.1</v>
      </c>
      <c r="Y30" s="6">
        <v>21.39</v>
      </c>
      <c r="AA30" s="11">
        <f t="shared" si="2"/>
        <v>21.276666666666667</v>
      </c>
      <c r="AC30" s="1">
        <f>0.03573/AA30</f>
        <v>1.6793044023186588E-3</v>
      </c>
      <c r="AD30" s="1">
        <f t="shared" si="3"/>
        <v>3.6787247087676271E-2</v>
      </c>
      <c r="AE30" s="1">
        <f t="shared" si="4"/>
        <v>6.1776985983519019E-6</v>
      </c>
      <c r="AF30" s="1">
        <f t="shared" si="5"/>
        <v>2.0268040669416854E-7</v>
      </c>
      <c r="AH30" s="1">
        <f t="shared" si="6"/>
        <v>2.2549642961916926E-3</v>
      </c>
    </row>
    <row r="31" spans="1:34">
      <c r="A31" s="1">
        <v>30</v>
      </c>
      <c r="B31" s="5">
        <v>41183</v>
      </c>
      <c r="C31" s="6">
        <v>1401</v>
      </c>
      <c r="D31" s="1" t="s">
        <v>40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 t="s">
        <v>30</v>
      </c>
      <c r="Q31" s="6">
        <v>2</v>
      </c>
      <c r="R31" s="1">
        <f t="shared" si="0"/>
        <v>3</v>
      </c>
      <c r="S31" s="6">
        <v>1.5</v>
      </c>
      <c r="T31" s="6">
        <v>0</v>
      </c>
      <c r="U31" s="6">
        <v>0</v>
      </c>
      <c r="V31" s="9">
        <f t="shared" si="1"/>
        <v>0</v>
      </c>
      <c r="W31" s="6">
        <v>0</v>
      </c>
      <c r="AA31" s="11">
        <f t="shared" si="2"/>
        <v>0</v>
      </c>
      <c r="AD31" s="1">
        <f t="shared" si="3"/>
        <v>0</v>
      </c>
      <c r="AE31" s="1">
        <f t="shared" si="4"/>
        <v>0</v>
      </c>
      <c r="AF31" s="1">
        <f t="shared" si="5"/>
        <v>0</v>
      </c>
      <c r="AH31" s="1">
        <f t="shared" si="6"/>
        <v>0</v>
      </c>
    </row>
    <row r="32" spans="1:34">
      <c r="A32" s="1">
        <v>31</v>
      </c>
      <c r="B32" s="5">
        <v>41183</v>
      </c>
      <c r="C32" s="6">
        <v>1420</v>
      </c>
      <c r="D32" s="1" t="s">
        <v>40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 t="s">
        <v>16</v>
      </c>
      <c r="Q32" s="6">
        <v>2</v>
      </c>
      <c r="R32" s="1">
        <f t="shared" si="0"/>
        <v>3</v>
      </c>
      <c r="S32" s="6">
        <v>1.5</v>
      </c>
      <c r="T32" s="1" t="s">
        <v>32</v>
      </c>
      <c r="U32" s="1">
        <v>0</v>
      </c>
      <c r="V32" s="9">
        <f t="shared" si="1"/>
        <v>0</v>
      </c>
      <c r="W32" s="1">
        <v>0</v>
      </c>
      <c r="AA32" s="11">
        <f t="shared" si="2"/>
        <v>0</v>
      </c>
      <c r="AH32" s="1">
        <f t="shared" si="6"/>
        <v>0</v>
      </c>
    </row>
    <row r="33" spans="1:34">
      <c r="A33" s="1">
        <v>32</v>
      </c>
      <c r="B33" s="5">
        <v>41183</v>
      </c>
      <c r="C33" s="6">
        <v>1432</v>
      </c>
      <c r="D33" s="1" t="s">
        <v>40</v>
      </c>
      <c r="E33" s="6">
        <v>334</v>
      </c>
      <c r="F33" s="6">
        <v>4.5</v>
      </c>
      <c r="G33" s="6">
        <v>40.200000000000003</v>
      </c>
      <c r="H33" s="6">
        <v>23.6</v>
      </c>
      <c r="I33" s="6">
        <v>18.899999999999999</v>
      </c>
      <c r="J33" s="6">
        <v>342</v>
      </c>
      <c r="K33" s="6" t="s">
        <v>82</v>
      </c>
      <c r="L33" s="6" t="s">
        <v>82</v>
      </c>
      <c r="M33" s="6" t="s">
        <v>82</v>
      </c>
      <c r="N33" s="6">
        <v>3.4</v>
      </c>
      <c r="O33" s="6">
        <v>4.5</v>
      </c>
      <c r="P33" s="6" t="s">
        <v>25</v>
      </c>
      <c r="Q33" s="6">
        <v>2</v>
      </c>
      <c r="R33" s="1">
        <f t="shared" si="0"/>
        <v>3</v>
      </c>
      <c r="S33" s="6">
        <v>1.5</v>
      </c>
      <c r="T33" s="6">
        <v>0.25</v>
      </c>
      <c r="U33" s="6">
        <v>1.24</v>
      </c>
      <c r="V33" s="9">
        <f t="shared" si="1"/>
        <v>0.45879999999999999</v>
      </c>
      <c r="W33" s="6">
        <v>0.78</v>
      </c>
      <c r="X33" s="6">
        <v>0.94</v>
      </c>
      <c r="Y33" s="6">
        <v>0.88</v>
      </c>
      <c r="AA33" s="11">
        <f t="shared" si="2"/>
        <v>0.8666666666666667</v>
      </c>
      <c r="AC33" s="1">
        <f t="shared" si="7"/>
        <v>4.1226923076923071E-2</v>
      </c>
      <c r="AD33" s="1">
        <f t="shared" si="3"/>
        <v>0.15328019619865113</v>
      </c>
      <c r="AE33" s="1">
        <f t="shared" si="4"/>
        <v>6.3192708578974663E-4</v>
      </c>
      <c r="AF33" s="1">
        <f t="shared" si="5"/>
        <v>2.0732516601424325E-5</v>
      </c>
      <c r="AH33" s="1">
        <f t="shared" si="6"/>
        <v>0.23066405613127525</v>
      </c>
    </row>
    <row r="34" spans="1:34">
      <c r="A34" s="1">
        <v>33</v>
      </c>
      <c r="B34" s="5">
        <v>41183</v>
      </c>
      <c r="C34" s="6">
        <v>1532</v>
      </c>
      <c r="D34" s="1" t="s">
        <v>40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 t="s">
        <v>31</v>
      </c>
      <c r="Q34" s="6">
        <v>2</v>
      </c>
      <c r="R34" s="1">
        <f t="shared" si="0"/>
        <v>3</v>
      </c>
      <c r="S34" s="6">
        <v>1.5</v>
      </c>
      <c r="T34" s="1" t="s">
        <v>32</v>
      </c>
      <c r="U34" s="1">
        <v>0</v>
      </c>
      <c r="V34" s="9">
        <f t="shared" si="1"/>
        <v>0</v>
      </c>
      <c r="W34" s="1">
        <v>0</v>
      </c>
      <c r="AA34" s="11">
        <f t="shared" si="2"/>
        <v>0</v>
      </c>
      <c r="AH34" s="1">
        <f t="shared" si="6"/>
        <v>0</v>
      </c>
    </row>
    <row r="35" spans="1:34">
      <c r="A35" s="1">
        <v>34</v>
      </c>
      <c r="B35" s="5">
        <v>41183</v>
      </c>
      <c r="C35" s="6">
        <v>1550</v>
      </c>
      <c r="D35" s="1" t="s">
        <v>39</v>
      </c>
      <c r="E35" s="6">
        <v>57</v>
      </c>
      <c r="F35" s="6">
        <v>4.5</v>
      </c>
      <c r="G35" s="6">
        <v>41</v>
      </c>
      <c r="H35" s="6">
        <v>28.3</v>
      </c>
      <c r="I35" s="6">
        <v>21.3</v>
      </c>
      <c r="J35" s="6">
        <v>288</v>
      </c>
      <c r="K35" s="6">
        <v>0.42899999999999999</v>
      </c>
      <c r="L35" s="6" t="s">
        <v>82</v>
      </c>
      <c r="M35" s="6">
        <v>0.97</v>
      </c>
      <c r="N35" s="6">
        <v>3</v>
      </c>
      <c r="O35" s="6">
        <v>4.8</v>
      </c>
      <c r="P35" s="6" t="s">
        <v>26</v>
      </c>
      <c r="Q35" s="6">
        <v>2</v>
      </c>
      <c r="R35" s="1">
        <f t="shared" si="0"/>
        <v>3</v>
      </c>
      <c r="S35" s="6">
        <v>1.5</v>
      </c>
      <c r="T35" s="6">
        <v>0.28999999999999998</v>
      </c>
      <c r="U35" s="6">
        <v>1.34</v>
      </c>
      <c r="V35" s="9">
        <v>0.49</v>
      </c>
      <c r="W35" s="6">
        <v>0.81</v>
      </c>
      <c r="X35" s="6">
        <v>0.84</v>
      </c>
      <c r="Y35" s="6">
        <v>0.85</v>
      </c>
      <c r="AA35" s="11">
        <f>AVERAGE(W35:Z35)</f>
        <v>0.83333333333333337</v>
      </c>
      <c r="AC35" s="1">
        <f t="shared" si="7"/>
        <v>4.2875999999999997E-2</v>
      </c>
      <c r="AD35" s="1">
        <f t="shared" si="3"/>
        <v>0.17780502759043532</v>
      </c>
      <c r="AE35" s="1">
        <f t="shared" si="4"/>
        <v>7.6235683629675044E-4</v>
      </c>
      <c r="AF35" s="1">
        <f t="shared" si="5"/>
        <v>2.501170802795831E-5</v>
      </c>
      <c r="AH35" s="1">
        <f t="shared" si="6"/>
        <v>0.27827311731677051</v>
      </c>
    </row>
    <row r="36" spans="1:34">
      <c r="A36" s="1">
        <v>35</v>
      </c>
      <c r="B36" s="5">
        <v>41183</v>
      </c>
      <c r="C36" s="6">
        <v>1631</v>
      </c>
      <c r="D36" s="1" t="s">
        <v>40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 t="s">
        <v>26</v>
      </c>
      <c r="Q36" s="6">
        <v>2</v>
      </c>
      <c r="R36" s="1">
        <f t="shared" si="0"/>
        <v>3</v>
      </c>
      <c r="S36" s="6">
        <v>1.5</v>
      </c>
      <c r="T36" s="6">
        <v>-0.36</v>
      </c>
      <c r="U36" s="6">
        <v>0</v>
      </c>
      <c r="V36" s="9">
        <f t="shared" si="1"/>
        <v>0</v>
      </c>
      <c r="W36" s="6">
        <v>0</v>
      </c>
      <c r="AA36" s="11">
        <f t="shared" si="2"/>
        <v>0</v>
      </c>
      <c r="AD36" s="1">
        <f t="shared" si="3"/>
        <v>-0.22072348252605761</v>
      </c>
      <c r="AH36" s="1">
        <f t="shared" si="6"/>
        <v>0</v>
      </c>
    </row>
    <row r="37" spans="1:34">
      <c r="A37" s="1">
        <v>36</v>
      </c>
      <c r="B37" s="5">
        <v>41183</v>
      </c>
      <c r="C37" s="6">
        <v>1701</v>
      </c>
      <c r="D37" s="1" t="s">
        <v>40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 t="s">
        <v>26</v>
      </c>
      <c r="Q37" s="6">
        <v>2</v>
      </c>
      <c r="R37" s="1">
        <f t="shared" si="0"/>
        <v>3</v>
      </c>
      <c r="S37" s="6">
        <v>1.5</v>
      </c>
      <c r="T37" s="6">
        <v>0</v>
      </c>
      <c r="U37" s="6">
        <v>0</v>
      </c>
      <c r="V37" s="9">
        <f t="shared" si="1"/>
        <v>0</v>
      </c>
      <c r="W37" s="6">
        <v>0</v>
      </c>
      <c r="AA37" s="11">
        <f t="shared" si="2"/>
        <v>0</v>
      </c>
      <c r="AD37" s="1">
        <f t="shared" si="3"/>
        <v>0</v>
      </c>
      <c r="AE37" s="1">
        <f t="shared" si="4"/>
        <v>0</v>
      </c>
      <c r="AF37" s="1">
        <f t="shared" si="5"/>
        <v>0</v>
      </c>
      <c r="AH37" s="1">
        <f t="shared" si="6"/>
        <v>0</v>
      </c>
    </row>
    <row r="38" spans="1:34">
      <c r="A38" s="1">
        <v>37</v>
      </c>
      <c r="B38" s="5">
        <v>41184</v>
      </c>
      <c r="C38" s="6">
        <v>1140</v>
      </c>
      <c r="D38" s="1" t="s">
        <v>39</v>
      </c>
      <c r="E38" s="6">
        <v>40</v>
      </c>
      <c r="F38" s="6">
        <v>4.3</v>
      </c>
      <c r="G38" s="6">
        <v>41.2</v>
      </c>
      <c r="H38" s="6">
        <v>7</v>
      </c>
      <c r="I38" s="6">
        <v>13.2</v>
      </c>
      <c r="J38" s="6">
        <v>179</v>
      </c>
      <c r="K38" s="6">
        <v>0.52800000000000002</v>
      </c>
      <c r="L38" s="6" t="s">
        <v>82</v>
      </c>
      <c r="M38" s="6">
        <v>1.23</v>
      </c>
      <c r="N38" s="6">
        <v>2.5</v>
      </c>
      <c r="O38" s="6">
        <v>4.4000000000000004</v>
      </c>
      <c r="P38" s="6" t="s">
        <v>26</v>
      </c>
      <c r="Q38" s="6">
        <v>2</v>
      </c>
      <c r="R38" s="1">
        <f t="shared" si="0"/>
        <v>3</v>
      </c>
      <c r="S38" s="6">
        <v>1.5</v>
      </c>
      <c r="T38" s="6">
        <v>0.04</v>
      </c>
      <c r="U38" s="6">
        <v>1.51</v>
      </c>
      <c r="V38" s="9">
        <f t="shared" si="1"/>
        <v>0.55869999999999997</v>
      </c>
      <c r="W38" s="6">
        <v>2.2799999999999998</v>
      </c>
      <c r="X38" s="6">
        <v>2.3199999999999998</v>
      </c>
      <c r="Y38" s="6">
        <v>2.33</v>
      </c>
      <c r="AA38" s="11">
        <f t="shared" si="2"/>
        <v>2.31</v>
      </c>
      <c r="AC38" s="1">
        <f t="shared" si="7"/>
        <v>1.5467532467532467E-2</v>
      </c>
      <c r="AD38" s="1">
        <f t="shared" si="3"/>
        <v>2.4524831391784182E-2</v>
      </c>
      <c r="AE38" s="1">
        <f t="shared" si="4"/>
        <v>3.7933862581318131E-5</v>
      </c>
      <c r="AF38" s="1">
        <f t="shared" si="5"/>
        <v>1.2445493371129178E-6</v>
      </c>
      <c r="AH38" s="1">
        <f t="shared" si="6"/>
        <v>1.3846500339193437E-2</v>
      </c>
    </row>
    <row r="39" spans="1:34">
      <c r="A39" s="1">
        <v>38</v>
      </c>
      <c r="B39" s="5">
        <v>41184</v>
      </c>
      <c r="C39" s="6">
        <v>1240</v>
      </c>
      <c r="D39" s="1" t="s">
        <v>40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 t="s">
        <v>27</v>
      </c>
      <c r="Q39" s="6">
        <v>2</v>
      </c>
      <c r="R39" s="1">
        <f t="shared" si="0"/>
        <v>3</v>
      </c>
      <c r="S39" s="6">
        <v>1.5</v>
      </c>
      <c r="T39" s="6">
        <v>0.04</v>
      </c>
      <c r="U39" s="6">
        <v>1.31</v>
      </c>
      <c r="V39" s="9">
        <f t="shared" si="1"/>
        <v>0.48470000000000002</v>
      </c>
      <c r="W39" s="6">
        <v>3.9</v>
      </c>
      <c r="X39" s="6">
        <v>3.9</v>
      </c>
      <c r="Y39" s="6">
        <v>3.81</v>
      </c>
      <c r="AA39" s="11">
        <f t="shared" si="2"/>
        <v>3.8699999999999997</v>
      </c>
      <c r="AC39" s="1">
        <f t="shared" si="7"/>
        <v>9.2325581395348837E-3</v>
      </c>
      <c r="AD39" s="1">
        <f t="shared" si="3"/>
        <v>2.4524831391784182E-2</v>
      </c>
      <c r="AE39" s="1">
        <f t="shared" si="4"/>
        <v>2.2642693168693767E-5</v>
      </c>
      <c r="AF39" s="1">
        <f t="shared" si="5"/>
        <v>7.4287053455577258E-7</v>
      </c>
      <c r="AH39" s="1">
        <f t="shared" si="6"/>
        <v>8.2649653187433694E-3</v>
      </c>
    </row>
    <row r="40" spans="1:34">
      <c r="A40" s="1">
        <v>39</v>
      </c>
      <c r="B40" s="5">
        <v>41184</v>
      </c>
      <c r="C40" s="6">
        <v>1305</v>
      </c>
      <c r="D40" s="1" t="s">
        <v>40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 t="s">
        <v>27</v>
      </c>
      <c r="Q40" s="6">
        <v>2</v>
      </c>
      <c r="R40" s="1">
        <f t="shared" si="0"/>
        <v>3</v>
      </c>
      <c r="S40" s="6">
        <v>1.5</v>
      </c>
      <c r="T40" s="6">
        <v>0</v>
      </c>
      <c r="U40" s="6">
        <v>0</v>
      </c>
      <c r="V40" s="9">
        <f t="shared" si="1"/>
        <v>0</v>
      </c>
      <c r="W40" s="6">
        <v>0</v>
      </c>
      <c r="AA40" s="11">
        <f t="shared" si="2"/>
        <v>0</v>
      </c>
      <c r="AD40" s="1">
        <f t="shared" si="3"/>
        <v>0</v>
      </c>
      <c r="AE40" s="1">
        <f t="shared" si="4"/>
        <v>0</v>
      </c>
      <c r="AF40" s="1">
        <f t="shared" si="5"/>
        <v>0</v>
      </c>
      <c r="AH40" s="1">
        <f t="shared" si="6"/>
        <v>0</v>
      </c>
    </row>
    <row r="41" spans="1:34" s="16" customFormat="1">
      <c r="A41" s="16">
        <v>40</v>
      </c>
      <c r="B41" s="17">
        <v>41184</v>
      </c>
      <c r="C41" s="18">
        <v>1325</v>
      </c>
      <c r="D41" s="16" t="s">
        <v>39</v>
      </c>
      <c r="E41" s="18">
        <v>25</v>
      </c>
      <c r="F41" s="18">
        <v>4.5999999999999996</v>
      </c>
      <c r="G41" s="18">
        <v>29</v>
      </c>
      <c r="H41" s="18">
        <v>4.4000000000000004</v>
      </c>
      <c r="I41" s="18">
        <v>10.4</v>
      </c>
      <c r="J41" s="18">
        <v>63.6</v>
      </c>
      <c r="K41" s="18">
        <v>0.32400000000000001</v>
      </c>
      <c r="L41" s="18" t="s">
        <v>82</v>
      </c>
      <c r="M41" s="18">
        <v>1.21</v>
      </c>
      <c r="N41" s="18">
        <v>1.4</v>
      </c>
      <c r="O41" s="18">
        <v>3.6</v>
      </c>
      <c r="P41" s="18" t="s">
        <v>26</v>
      </c>
      <c r="Q41" s="18">
        <v>2</v>
      </c>
      <c r="R41" s="16">
        <f t="shared" si="0"/>
        <v>3</v>
      </c>
      <c r="S41" s="18">
        <v>1.5</v>
      </c>
      <c r="T41" s="18">
        <v>-2.38</v>
      </c>
      <c r="U41" s="18">
        <v>0</v>
      </c>
      <c r="V41" s="19">
        <f t="shared" si="1"/>
        <v>0</v>
      </c>
      <c r="W41" s="18">
        <v>0</v>
      </c>
      <c r="AA41" s="20">
        <f t="shared" si="2"/>
        <v>0</v>
      </c>
      <c r="AB41" s="18" t="s">
        <v>89</v>
      </c>
      <c r="AD41" s="16">
        <f t="shared" si="3"/>
        <v>-1.4592274678111588</v>
      </c>
      <c r="AH41" s="16">
        <f t="shared" si="6"/>
        <v>0</v>
      </c>
    </row>
    <row r="42" spans="1:34">
      <c r="A42" s="1">
        <v>41</v>
      </c>
      <c r="B42" s="5">
        <v>41184</v>
      </c>
      <c r="C42" s="6">
        <v>1406</v>
      </c>
      <c r="D42" s="1" t="s">
        <v>40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 t="s">
        <v>26</v>
      </c>
      <c r="Q42" s="6">
        <v>2</v>
      </c>
      <c r="R42" s="1">
        <f t="shared" si="0"/>
        <v>3</v>
      </c>
      <c r="S42" s="6">
        <v>1.5</v>
      </c>
      <c r="T42" s="6">
        <v>-3.68</v>
      </c>
      <c r="U42" s="6">
        <v>0</v>
      </c>
      <c r="V42" s="9">
        <f t="shared" si="1"/>
        <v>0</v>
      </c>
      <c r="W42" s="6">
        <v>0</v>
      </c>
      <c r="AA42" s="11">
        <f t="shared" si="2"/>
        <v>0</v>
      </c>
      <c r="AD42" s="1">
        <f t="shared" si="3"/>
        <v>-2.2562844880441446</v>
      </c>
      <c r="AH42" s="1">
        <f t="shared" si="6"/>
        <v>0</v>
      </c>
    </row>
    <row r="43" spans="1:34" s="16" customFormat="1">
      <c r="A43" s="16">
        <v>42</v>
      </c>
      <c r="B43" s="17">
        <v>41184</v>
      </c>
      <c r="C43" s="18">
        <v>1433</v>
      </c>
      <c r="D43" s="16" t="s">
        <v>39</v>
      </c>
      <c r="E43" s="18">
        <v>19</v>
      </c>
      <c r="F43" s="18">
        <v>3.4</v>
      </c>
      <c r="G43" s="18">
        <v>30.7</v>
      </c>
      <c r="H43" s="18">
        <v>2.2000000000000002</v>
      </c>
      <c r="I43" s="18">
        <v>9.4</v>
      </c>
      <c r="J43" s="18">
        <v>122</v>
      </c>
      <c r="K43" s="18">
        <v>0.13300000000000001</v>
      </c>
      <c r="L43" s="18" t="s">
        <v>82</v>
      </c>
      <c r="M43" s="18">
        <v>0.81</v>
      </c>
      <c r="N43" s="18">
        <v>0.3</v>
      </c>
      <c r="O43" s="18">
        <v>3.7</v>
      </c>
      <c r="P43" s="18" t="s">
        <v>26</v>
      </c>
      <c r="Q43" s="18">
        <v>2</v>
      </c>
      <c r="R43" s="16">
        <f t="shared" si="0"/>
        <v>3</v>
      </c>
      <c r="S43" s="18">
        <v>1.5</v>
      </c>
      <c r="T43" s="18">
        <v>0</v>
      </c>
      <c r="U43" s="18">
        <v>0</v>
      </c>
      <c r="V43" s="19">
        <f t="shared" si="1"/>
        <v>0</v>
      </c>
      <c r="W43" s="18">
        <v>0</v>
      </c>
      <c r="AA43" s="20">
        <f t="shared" si="2"/>
        <v>0</v>
      </c>
      <c r="AB43" s="18" t="s">
        <v>88</v>
      </c>
      <c r="AD43" s="16">
        <f t="shared" si="3"/>
        <v>0</v>
      </c>
      <c r="AE43" s="16">
        <f t="shared" si="4"/>
        <v>0</v>
      </c>
      <c r="AF43" s="16">
        <f t="shared" si="5"/>
        <v>0</v>
      </c>
      <c r="AH43" s="16">
        <f t="shared" si="6"/>
        <v>0</v>
      </c>
    </row>
    <row r="44" spans="1:34">
      <c r="B44" s="5"/>
    </row>
  </sheetData>
  <pageMargins left="0.7" right="0.7" top="0.75" bottom="0.75" header="0.3" footer="0.3"/>
  <pageSetup scale="9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selection activeCell="P12" sqref="P12"/>
    </sheetView>
  </sheetViews>
  <sheetFormatPr defaultRowHeight="15"/>
  <sheetData>
    <row r="1" spans="1:5">
      <c r="C1" t="s">
        <v>41</v>
      </c>
      <c r="D1">
        <v>0.47625000000000001</v>
      </c>
      <c r="E1" t="s">
        <v>42</v>
      </c>
    </row>
    <row r="2" spans="1:5">
      <c r="C2" t="s">
        <v>43</v>
      </c>
      <c r="D2">
        <v>0.47625000000000001</v>
      </c>
      <c r="E2" t="s">
        <v>42</v>
      </c>
    </row>
    <row r="3" spans="1:5" ht="15.75">
      <c r="C3" t="s">
        <v>44</v>
      </c>
      <c r="D3">
        <v>9.5</v>
      </c>
      <c r="E3" t="s">
        <v>42</v>
      </c>
    </row>
    <row r="5" spans="1:5" ht="15.75">
      <c r="A5" t="s">
        <v>45</v>
      </c>
      <c r="B5">
        <f>(((D1)^2)*(LN(D3/D2)))/(2*D3)</f>
        <v>3.5730426947759408E-2</v>
      </c>
    </row>
    <row r="6" spans="1:5" ht="15.75">
      <c r="C6" t="s">
        <v>46</v>
      </c>
      <c r="D6">
        <f>D3*2</f>
        <v>19</v>
      </c>
    </row>
    <row r="7" spans="1:5">
      <c r="C7" t="s">
        <v>47</v>
      </c>
      <c r="D7">
        <f>D1^2</f>
        <v>0.2268140625</v>
      </c>
    </row>
    <row r="8" spans="1:5" ht="15.75">
      <c r="C8" t="s">
        <v>48</v>
      </c>
      <c r="D8">
        <f>D3/D2</f>
        <v>19.947506561679791</v>
      </c>
    </row>
    <row r="9" spans="1:5" ht="15.75">
      <c r="C9" t="s">
        <v>49</v>
      </c>
      <c r="D9">
        <f>LN(D8)</f>
        <v>2.9931041511477217</v>
      </c>
    </row>
    <row r="11" spans="1:5">
      <c r="C11" t="s">
        <v>50</v>
      </c>
      <c r="D11">
        <f>D7*D9</f>
        <v>0.67887811200742876</v>
      </c>
    </row>
    <row r="12" spans="1:5" ht="15.75">
      <c r="C12" t="s">
        <v>51</v>
      </c>
      <c r="D12">
        <f>D11/D6</f>
        <v>3.5730426947759408E-2</v>
      </c>
    </row>
    <row r="14" spans="1:5" ht="15.75">
      <c r="C14" t="s">
        <v>45</v>
      </c>
      <c r="D14">
        <f>D12</f>
        <v>3.5730426947759408E-2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Flux</vt:lpstr>
      <vt:lpstr>K coefficient</vt:lpstr>
      <vt:lpstr>Sheet3</vt:lpstr>
    </vt:vector>
  </TitlesOfParts>
  <Company>SEH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Macholl</dc:creator>
  <cp:lastModifiedBy>Jake Macholl</cp:lastModifiedBy>
  <cp:lastPrinted>2012-10-01T18:37:08Z</cp:lastPrinted>
  <dcterms:created xsi:type="dcterms:W3CDTF">2012-09-25T17:22:51Z</dcterms:created>
  <dcterms:modified xsi:type="dcterms:W3CDTF">2014-01-09T22:02:26Z</dcterms:modified>
</cp:coreProperties>
</file>