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nt\Documents\2018 Lower Vermillion Lake\"/>
    </mc:Choice>
  </mc:AlternateContent>
  <xr:revisionPtr revIDLastSave="0" documentId="13_ncr:1_{CDC96C0F-DFFB-4B81-B2C8-05C2FB344BAB}" xr6:coauthVersionLast="33" xr6:coauthVersionMax="33" xr10:uidLastSave="{00000000-0000-0000-0000-000000000000}"/>
  <bookViews>
    <workbookView xWindow="0" yWindow="0" windowWidth="19200" windowHeight="6585" tabRatio="630" activeTab="1" xr2:uid="{00000000-000D-0000-FFFF-FFFF00000000}"/>
  </bookViews>
  <sheets>
    <sheet name="2018 Pretreatment Mapping Data" sheetId="40" r:id="rId1"/>
    <sheet name="ENTRY " sheetId="11" r:id="rId2"/>
    <sheet name="BOAT SURVEY" sheetId="19" r:id="rId3"/>
    <sheet name="STATS" sheetId="15" r:id="rId4"/>
    <sheet name="2018 Pretreatment STATS Summary" sheetId="38" r:id="rId5"/>
    <sheet name="MAX DEPTH GRAPH" sheetId="25" r:id="rId6"/>
    <sheet name="CALCULATE FQI" sheetId="23" r:id="rId7"/>
    <sheet name="2018 Pretreatment Edited FQI" sheetId="39" r:id="rId8"/>
  </sheets>
  <definedNames>
    <definedName name="_xlnm.Print_Area" localSheetId="0">'2018 Pretreatment Mapping Data'!$A$1:$M$24</definedName>
    <definedName name="_xlnm.Print_Area" localSheetId="4">'2018 Pretreatment STATS Summary'!$B$1:$G$35</definedName>
    <definedName name="_xlnm.Print_Area" localSheetId="2">'BOAT SURVEY'!$A$1:$C$15</definedName>
    <definedName name="_xlnm.Print_Area" localSheetId="1">'ENTRY '!$A$1:$AJ$24</definedName>
    <definedName name="_xlnm.Print_Area" localSheetId="3">STATS!$B$1:$U$35</definedName>
  </definedNames>
  <calcPr calcId="179017"/>
</workbook>
</file>

<file path=xl/calcChain.xml><?xml version="1.0" encoding="utf-8"?>
<calcChain xmlns="http://schemas.openxmlformats.org/spreadsheetml/2006/main">
  <c r="D3" i="39" l="1"/>
  <c r="D2" i="39"/>
  <c r="D1" i="39"/>
  <c r="D3" i="23" l="1"/>
  <c r="D2" i="23"/>
  <c r="D1" i="23"/>
  <c r="C17" i="15" l="1"/>
  <c r="C34" i="15" s="1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1" i="15" l="1"/>
  <c r="C24" i="15"/>
  <c r="C23" i="15" s="1"/>
  <c r="EY7" i="15"/>
  <c r="EX7" i="15"/>
  <c r="EW7" i="15"/>
  <c r="EW11" i="15" s="1"/>
  <c r="EW13" i="15" s="1"/>
  <c r="EV7" i="15"/>
  <c r="EV11" i="15" s="1"/>
  <c r="EU7" i="15"/>
  <c r="EU10" i="15" s="1"/>
  <c r="ET7" i="15"/>
  <c r="ES7" i="15"/>
  <c r="ES10" i="15" s="1"/>
  <c r="ER7" i="15"/>
  <c r="ER9" i="15" s="1"/>
  <c r="EQ7" i="15"/>
  <c r="EP7" i="15"/>
  <c r="EO7" i="15"/>
  <c r="EN7" i="15"/>
  <c r="EM7" i="15"/>
  <c r="EM11" i="15" s="1"/>
  <c r="EL7" i="15"/>
  <c r="EL11" i="15" s="1"/>
  <c r="EK7" i="15"/>
  <c r="EJ7" i="15"/>
  <c r="EI7" i="15"/>
  <c r="EH7" i="15"/>
  <c r="EG7" i="15"/>
  <c r="EF7" i="15"/>
  <c r="EE7" i="15"/>
  <c r="D24" i="39" s="1"/>
  <c r="E24" i="39" s="1"/>
  <c r="ED7" i="15"/>
  <c r="EC7" i="15"/>
  <c r="EB7" i="15"/>
  <c r="EA7" i="15"/>
  <c r="DZ7" i="15"/>
  <c r="DY7" i="15"/>
  <c r="DY9" i="15" s="1"/>
  <c r="DX7" i="15"/>
  <c r="DW7" i="15"/>
  <c r="DV7" i="15"/>
  <c r="DU7" i="15"/>
  <c r="DU9" i="15" s="1"/>
  <c r="DT7" i="15"/>
  <c r="DS7" i="15"/>
  <c r="DS9" i="15" s="1"/>
  <c r="DR7" i="15"/>
  <c r="D23" i="39" s="1"/>
  <c r="E23" i="39" s="1"/>
  <c r="DQ7" i="15"/>
  <c r="DP7" i="15"/>
  <c r="DP9" i="15" s="1"/>
  <c r="DO7" i="15"/>
  <c r="DN7" i="15"/>
  <c r="DM7" i="15"/>
  <c r="DL7" i="15"/>
  <c r="DK7" i="15"/>
  <c r="DJ7" i="15"/>
  <c r="DI7" i="15"/>
  <c r="DI9" i="15" s="1"/>
  <c r="DH7" i="15"/>
  <c r="DH9" i="15" s="1"/>
  <c r="DG7" i="15"/>
  <c r="DF7" i="15"/>
  <c r="DE7" i="15"/>
  <c r="DD7" i="15"/>
  <c r="DC7" i="15"/>
  <c r="DC9" i="15" s="1"/>
  <c r="DB7" i="15"/>
  <c r="DA7" i="15"/>
  <c r="CZ7" i="15"/>
  <c r="CZ9" i="15" s="1"/>
  <c r="CY7" i="15"/>
  <c r="CX7" i="15"/>
  <c r="CX9" i="15" s="1"/>
  <c r="CW7" i="15"/>
  <c r="CW11" i="15" s="1"/>
  <c r="CV7" i="15"/>
  <c r="CV10" i="15" s="1"/>
  <c r="CU7" i="15"/>
  <c r="CT7" i="15"/>
  <c r="CS7" i="15"/>
  <c r="CS9" i="15" s="1"/>
  <c r="CR7" i="15"/>
  <c r="D22" i="39" s="1"/>
  <c r="E22" i="39" s="1"/>
  <c r="CQ7" i="15"/>
  <c r="D21" i="39" s="1"/>
  <c r="E21" i="39" s="1"/>
  <c r="CP7" i="15"/>
  <c r="CO7" i="15"/>
  <c r="CO10" i="15" s="1"/>
  <c r="CN7" i="15"/>
  <c r="CN9" i="15" s="1"/>
  <c r="CM7" i="15"/>
  <c r="CM9" i="15" s="1"/>
  <c r="CL7" i="15"/>
  <c r="D20" i="39" s="1"/>
  <c r="E20" i="39" s="1"/>
  <c r="CK7" i="15"/>
  <c r="D19" i="39" s="1"/>
  <c r="E19" i="39" s="1"/>
  <c r="CJ7" i="15"/>
  <c r="CJ9" i="15" s="1"/>
  <c r="CI7" i="15"/>
  <c r="CI10" i="15" s="1"/>
  <c r="CH7" i="15"/>
  <c r="CH9" i="15" s="1"/>
  <c r="CG7" i="15"/>
  <c r="CF7" i="15"/>
  <c r="CF9" i="15" s="1"/>
  <c r="CE7" i="15"/>
  <c r="CE10" i="15" s="1"/>
  <c r="CD7" i="15"/>
  <c r="CC7" i="15"/>
  <c r="CC9" i="15" s="1"/>
  <c r="CB7" i="15"/>
  <c r="D18" i="39" s="1"/>
  <c r="E18" i="39" s="1"/>
  <c r="CA7" i="15"/>
  <c r="D17" i="39" s="1"/>
  <c r="E17" i="39" s="1"/>
  <c r="BZ7" i="15"/>
  <c r="BY7" i="15"/>
  <c r="BY9" i="15" s="1"/>
  <c r="BX7" i="15"/>
  <c r="BX9" i="15" s="1"/>
  <c r="BW7" i="15"/>
  <c r="BV7" i="15"/>
  <c r="BU7" i="15"/>
  <c r="BU9" i="15" s="1"/>
  <c r="BT7" i="15"/>
  <c r="BT9" i="15" s="1"/>
  <c r="BS7" i="15"/>
  <c r="BR7" i="15"/>
  <c r="BQ7" i="15"/>
  <c r="BQ10" i="15" s="1"/>
  <c r="BP7" i="15"/>
  <c r="BP9" i="15" s="1"/>
  <c r="BO7" i="15"/>
  <c r="BO11" i="15" s="1"/>
  <c r="BO13" i="15" s="1"/>
  <c r="BN7" i="15"/>
  <c r="BM7" i="15"/>
  <c r="D16" i="39" s="1"/>
  <c r="E16" i="39" s="1"/>
  <c r="BL7" i="15"/>
  <c r="BL9" i="15" s="1"/>
  <c r="BK7" i="15"/>
  <c r="BK9" i="15" s="1"/>
  <c r="BJ7" i="15"/>
  <c r="BI7" i="15"/>
  <c r="BH7" i="15"/>
  <c r="BH9" i="15" s="1"/>
  <c r="BG7" i="15"/>
  <c r="BG11" i="15" s="1"/>
  <c r="BF7" i="15"/>
  <c r="BE7" i="15"/>
  <c r="BE10" i="15" s="1"/>
  <c r="BD7" i="15"/>
  <c r="D15" i="39" s="1"/>
  <c r="E15" i="39" s="1"/>
  <c r="BC7" i="15"/>
  <c r="BC10" i="15" s="1"/>
  <c r="BB7" i="15"/>
  <c r="BA7" i="15"/>
  <c r="D14" i="39" s="1"/>
  <c r="E14" i="39" s="1"/>
  <c r="AZ7" i="15"/>
  <c r="AZ9" i="15" s="1"/>
  <c r="AY7" i="15"/>
  <c r="AY10" i="15" s="1"/>
  <c r="AX7" i="15"/>
  <c r="AW7" i="15"/>
  <c r="AW11" i="15" s="1"/>
  <c r="AV7" i="15"/>
  <c r="AV10" i="15" s="1"/>
  <c r="AU7" i="15"/>
  <c r="AT7" i="15"/>
  <c r="AS7" i="15"/>
  <c r="D13" i="39" s="1"/>
  <c r="E13" i="39" s="1"/>
  <c r="AR7" i="15"/>
  <c r="AR10" i="15" s="1"/>
  <c r="AQ7" i="15"/>
  <c r="AP7" i="15"/>
  <c r="AO7" i="15"/>
  <c r="AO10" i="15" s="1"/>
  <c r="AN7" i="15"/>
  <c r="AN10" i="15" s="1"/>
  <c r="AM7" i="15"/>
  <c r="AL7" i="15"/>
  <c r="AK7" i="15"/>
  <c r="AK11" i="15" s="1"/>
  <c r="AJ7" i="15"/>
  <c r="AJ11" i="15" s="1"/>
  <c r="AI7" i="15"/>
  <c r="D12" i="39" s="1"/>
  <c r="E12" i="39" s="1"/>
  <c r="AH7" i="15"/>
  <c r="AG7" i="15"/>
  <c r="AG10" i="15" s="1"/>
  <c r="AF7" i="15"/>
  <c r="AF9" i="15" s="1"/>
  <c r="AE7" i="15"/>
  <c r="AE9" i="15" s="1"/>
  <c r="AD7" i="15"/>
  <c r="AC7" i="15"/>
  <c r="D11" i="39" s="1"/>
  <c r="E11" i="39" s="1"/>
  <c r="AB7" i="15"/>
  <c r="AB10" i="15" s="1"/>
  <c r="AA7" i="15"/>
  <c r="AA10" i="15" s="1"/>
  <c r="Z7" i="15"/>
  <c r="Y7" i="15"/>
  <c r="X7" i="15"/>
  <c r="X10" i="15" s="1"/>
  <c r="W7" i="15"/>
  <c r="W10" i="15" s="1"/>
  <c r="V7" i="15"/>
  <c r="U7" i="15"/>
  <c r="U11" i="15" s="1"/>
  <c r="T7" i="15"/>
  <c r="T11" i="15" s="1"/>
  <c r="S7" i="15"/>
  <c r="D10" i="39" s="1"/>
  <c r="E10" i="39" s="1"/>
  <c r="R7" i="15"/>
  <c r="Q7" i="15"/>
  <c r="D9" i="39" s="1"/>
  <c r="P7" i="15"/>
  <c r="P9" i="15" s="1"/>
  <c r="O7" i="15"/>
  <c r="N7" i="15"/>
  <c r="M7" i="15"/>
  <c r="M10" i="15" s="1"/>
  <c r="L7" i="15"/>
  <c r="L10" i="15" s="1"/>
  <c r="K7" i="15"/>
  <c r="J7" i="15"/>
  <c r="I7" i="15"/>
  <c r="I9" i="15" s="1"/>
  <c r="H7" i="15"/>
  <c r="H9" i="15" s="1"/>
  <c r="G7" i="15"/>
  <c r="F7" i="15"/>
  <c r="E7" i="15"/>
  <c r="E11" i="15" s="1"/>
  <c r="D7" i="15"/>
  <c r="D11" i="15" s="1"/>
  <c r="B5" i="15"/>
  <c r="B4" i="15"/>
  <c r="B3" i="15"/>
  <c r="B2" i="15"/>
  <c r="EY1" i="15"/>
  <c r="EX1" i="15"/>
  <c r="EW1" i="15"/>
  <c r="EV1" i="15"/>
  <c r="EU1" i="15"/>
  <c r="ET1" i="15"/>
  <c r="ES1" i="15"/>
  <c r="ER1" i="15"/>
  <c r="EQ1" i="15"/>
  <c r="EP1" i="15"/>
  <c r="EO1" i="15"/>
  <c r="EN1" i="15"/>
  <c r="EM1" i="15"/>
  <c r="EL1" i="15"/>
  <c r="EK1" i="15"/>
  <c r="EJ1" i="15"/>
  <c r="EI1" i="15"/>
  <c r="EH1" i="15"/>
  <c r="EG1" i="15"/>
  <c r="EF1" i="15"/>
  <c r="EE1" i="15"/>
  <c r="ED1" i="15"/>
  <c r="EC1" i="15"/>
  <c r="EB1" i="15"/>
  <c r="EA1" i="15"/>
  <c r="DZ1" i="15"/>
  <c r="DY1" i="15"/>
  <c r="DX1" i="15"/>
  <c r="DW1" i="15"/>
  <c r="DV1" i="15"/>
  <c r="DU1" i="15"/>
  <c r="DT1" i="15"/>
  <c r="DS1" i="15"/>
  <c r="DR1" i="15"/>
  <c r="DQ1" i="15"/>
  <c r="DP1" i="15"/>
  <c r="DO1" i="15"/>
  <c r="DN1" i="15"/>
  <c r="DM1" i="15"/>
  <c r="DL1" i="15"/>
  <c r="DK1" i="15"/>
  <c r="DJ1" i="15"/>
  <c r="DI1" i="15"/>
  <c r="DH1" i="15"/>
  <c r="DG1" i="15"/>
  <c r="DF1" i="15"/>
  <c r="DE1" i="15"/>
  <c r="DD1" i="15"/>
  <c r="DC1" i="15"/>
  <c r="DB1" i="15"/>
  <c r="DA1" i="15"/>
  <c r="CZ1" i="15"/>
  <c r="CY1" i="15"/>
  <c r="CX1" i="15"/>
  <c r="CW1" i="15"/>
  <c r="CV1" i="15"/>
  <c r="CU1" i="15"/>
  <c r="CT1" i="15"/>
  <c r="CS1" i="15"/>
  <c r="CR1" i="15"/>
  <c r="CQ1" i="15"/>
  <c r="CP1" i="15"/>
  <c r="CO1" i="15"/>
  <c r="CN1" i="15"/>
  <c r="CM1" i="15"/>
  <c r="CL1" i="15"/>
  <c r="CK1" i="15"/>
  <c r="CJ1" i="15"/>
  <c r="CI1" i="15"/>
  <c r="CH1" i="15"/>
  <c r="CG1" i="15"/>
  <c r="CF1" i="15"/>
  <c r="CE1" i="15"/>
  <c r="CD1" i="15"/>
  <c r="CC1" i="15"/>
  <c r="CB1" i="15"/>
  <c r="CA1" i="15"/>
  <c r="BZ1" i="15"/>
  <c r="BY1" i="15"/>
  <c r="BX1" i="15"/>
  <c r="BW1" i="15"/>
  <c r="BV1" i="15"/>
  <c r="BU1" i="15"/>
  <c r="BT1" i="15"/>
  <c r="BS1" i="15"/>
  <c r="BR1" i="15"/>
  <c r="BQ1" i="15"/>
  <c r="BP1" i="15"/>
  <c r="BO1" i="15"/>
  <c r="BN1" i="15"/>
  <c r="BM1" i="15"/>
  <c r="BL1" i="15"/>
  <c r="BK1" i="15"/>
  <c r="BJ1" i="15"/>
  <c r="BI1" i="15"/>
  <c r="BH1" i="15"/>
  <c r="BG1" i="15"/>
  <c r="BF1" i="15"/>
  <c r="BE1" i="15"/>
  <c r="BD1" i="15"/>
  <c r="BC1" i="15"/>
  <c r="BB1" i="15"/>
  <c r="BA1" i="15"/>
  <c r="AZ1" i="15"/>
  <c r="AY1" i="15"/>
  <c r="AX1" i="15"/>
  <c r="AW1" i="15"/>
  <c r="AV1" i="15"/>
  <c r="AU1" i="15"/>
  <c r="AT1" i="15"/>
  <c r="AS1" i="15"/>
  <c r="AR1" i="15"/>
  <c r="AQ1" i="15"/>
  <c r="AP1" i="15"/>
  <c r="AO1" i="15"/>
  <c r="AN1" i="15"/>
  <c r="AM1" i="15"/>
  <c r="AL1" i="15"/>
  <c r="AK1" i="15"/>
  <c r="AJ1" i="15"/>
  <c r="AI1" i="15"/>
  <c r="AH1" i="15"/>
  <c r="AG1" i="15"/>
  <c r="AF1" i="15"/>
  <c r="AE1" i="15"/>
  <c r="AD1" i="15"/>
  <c r="AC1" i="15"/>
  <c r="AB1" i="15"/>
  <c r="AA1" i="15"/>
  <c r="Z1" i="15"/>
  <c r="Y1" i="15"/>
  <c r="X1" i="15"/>
  <c r="W1" i="15"/>
  <c r="V1" i="15"/>
  <c r="U1" i="15"/>
  <c r="T1" i="15"/>
  <c r="S1" i="15"/>
  <c r="R1" i="15"/>
  <c r="Q1" i="15"/>
  <c r="P1" i="15"/>
  <c r="O1" i="15"/>
  <c r="N1" i="15"/>
  <c r="M1" i="15"/>
  <c r="L1" i="15"/>
  <c r="K1" i="15"/>
  <c r="J1" i="15"/>
  <c r="I1" i="15"/>
  <c r="H1" i="15"/>
  <c r="G1" i="15"/>
  <c r="F1" i="15"/>
  <c r="B6" i="19"/>
  <c r="B5" i="19"/>
  <c r="B4" i="19"/>
  <c r="B3" i="19"/>
  <c r="B2" i="19"/>
  <c r="D67" i="11"/>
  <c r="C67" i="11"/>
  <c r="B67" i="11"/>
  <c r="D66" i="11"/>
  <c r="C66" i="11"/>
  <c r="B66" i="11"/>
  <c r="D68" i="11"/>
  <c r="C68" i="11"/>
  <c r="B68" i="11"/>
  <c r="D65" i="11"/>
  <c r="C65" i="11"/>
  <c r="B65" i="11"/>
  <c r="D69" i="11"/>
  <c r="C69" i="11"/>
  <c r="B69" i="11"/>
  <c r="D37" i="11"/>
  <c r="C37" i="11"/>
  <c r="B37" i="11"/>
  <c r="D36" i="11"/>
  <c r="C36" i="11"/>
  <c r="B36" i="11"/>
  <c r="D64" i="11"/>
  <c r="C64" i="11"/>
  <c r="B64" i="11"/>
  <c r="D35" i="11"/>
  <c r="C35" i="11"/>
  <c r="B35" i="11"/>
  <c r="D38" i="11"/>
  <c r="C38" i="11"/>
  <c r="B38" i="11"/>
  <c r="D76" i="11"/>
  <c r="C76" i="11"/>
  <c r="B76" i="11"/>
  <c r="D75" i="11"/>
  <c r="C75" i="11"/>
  <c r="B75" i="11"/>
  <c r="D70" i="11"/>
  <c r="C70" i="11"/>
  <c r="B70" i="11"/>
  <c r="D63" i="11"/>
  <c r="C63" i="11"/>
  <c r="B63" i="11"/>
  <c r="D77" i="11"/>
  <c r="C77" i="11"/>
  <c r="B77" i="11"/>
  <c r="D34" i="11"/>
  <c r="C34" i="11"/>
  <c r="B34" i="11"/>
  <c r="D78" i="11"/>
  <c r="C78" i="11"/>
  <c r="B78" i="11"/>
  <c r="D39" i="11"/>
  <c r="C39" i="11"/>
  <c r="B39" i="11"/>
  <c r="D16" i="11"/>
  <c r="C16" i="11"/>
  <c r="B16" i="11"/>
  <c r="D15" i="11"/>
  <c r="C15" i="11"/>
  <c r="B15" i="11"/>
  <c r="D79" i="11"/>
  <c r="C79" i="11"/>
  <c r="B79" i="11"/>
  <c r="D62" i="11"/>
  <c r="C62" i="11"/>
  <c r="B62" i="11"/>
  <c r="D60" i="11"/>
  <c r="C60" i="11"/>
  <c r="B60" i="11"/>
  <c r="D17" i="11"/>
  <c r="C17" i="11"/>
  <c r="B17" i="11"/>
  <c r="G17" i="11" s="1"/>
  <c r="D33" i="11"/>
  <c r="C33" i="11"/>
  <c r="B33" i="11"/>
  <c r="G33" i="11" s="1"/>
  <c r="D14" i="11"/>
  <c r="C14" i="11"/>
  <c r="B14" i="11"/>
  <c r="D18" i="11"/>
  <c r="C18" i="11"/>
  <c r="B18" i="11"/>
  <c r="D80" i="11"/>
  <c r="C80" i="11"/>
  <c r="B80" i="11"/>
  <c r="D71" i="11"/>
  <c r="C71" i="11"/>
  <c r="B71" i="11"/>
  <c r="D74" i="11"/>
  <c r="C74" i="11"/>
  <c r="B74" i="11"/>
  <c r="D61" i="11"/>
  <c r="C61" i="11"/>
  <c r="B61" i="11"/>
  <c r="D32" i="11"/>
  <c r="C32" i="11"/>
  <c r="B32" i="11"/>
  <c r="D13" i="11"/>
  <c r="C13" i="11"/>
  <c r="B13" i="11"/>
  <c r="D44" i="11"/>
  <c r="C44" i="11"/>
  <c r="B44" i="11"/>
  <c r="D31" i="11"/>
  <c r="C31" i="11"/>
  <c r="B31" i="11"/>
  <c r="D81" i="11"/>
  <c r="C81" i="11"/>
  <c r="B81" i="11"/>
  <c r="D45" i="11"/>
  <c r="C45" i="11"/>
  <c r="B45" i="11"/>
  <c r="D12" i="11"/>
  <c r="C12" i="11"/>
  <c r="B12" i="11"/>
  <c r="D5" i="11"/>
  <c r="C5" i="11"/>
  <c r="B5" i="11"/>
  <c r="D4" i="11"/>
  <c r="C4" i="11"/>
  <c r="B4" i="11"/>
  <c r="D40" i="11"/>
  <c r="C40" i="11"/>
  <c r="B40" i="11"/>
  <c r="D6" i="11"/>
  <c r="C6" i="11"/>
  <c r="B6" i="11"/>
  <c r="D43" i="11"/>
  <c r="C43" i="11"/>
  <c r="B43" i="11"/>
  <c r="D3" i="11"/>
  <c r="C3" i="11"/>
  <c r="B3" i="11"/>
  <c r="D72" i="11"/>
  <c r="C72" i="11"/>
  <c r="B72" i="11"/>
  <c r="D73" i="11"/>
  <c r="C73" i="11"/>
  <c r="B73" i="11"/>
  <c r="D54" i="11"/>
  <c r="C54" i="11"/>
  <c r="B54" i="11"/>
  <c r="D53" i="11"/>
  <c r="C53" i="11"/>
  <c r="B53" i="11"/>
  <c r="G53" i="11" s="1"/>
  <c r="D52" i="11"/>
  <c r="C52" i="11"/>
  <c r="B52" i="11"/>
  <c r="D11" i="11"/>
  <c r="C11" i="11"/>
  <c r="B11" i="11"/>
  <c r="D55" i="11"/>
  <c r="C55" i="11"/>
  <c r="B55" i="11"/>
  <c r="D46" i="11"/>
  <c r="C46" i="11"/>
  <c r="B46" i="11"/>
  <c r="D2" i="11"/>
  <c r="C2" i="11"/>
  <c r="B2" i="11"/>
  <c r="D59" i="11"/>
  <c r="C59" i="11"/>
  <c r="B59" i="11"/>
  <c r="D42" i="11"/>
  <c r="C42" i="11"/>
  <c r="B42" i="11"/>
  <c r="D28" i="11"/>
  <c r="C28" i="11"/>
  <c r="B28" i="11"/>
  <c r="D19" i="11"/>
  <c r="C19" i="11"/>
  <c r="B19" i="11"/>
  <c r="D27" i="11"/>
  <c r="C27" i="11"/>
  <c r="B27" i="11"/>
  <c r="D30" i="11"/>
  <c r="C30" i="11"/>
  <c r="B30" i="11"/>
  <c r="D56" i="11"/>
  <c r="C56" i="11"/>
  <c r="B56" i="11"/>
  <c r="D51" i="11"/>
  <c r="C51" i="11"/>
  <c r="B51" i="11"/>
  <c r="D10" i="11"/>
  <c r="C10" i="11"/>
  <c r="B10" i="11"/>
  <c r="D26" i="11"/>
  <c r="C26" i="11"/>
  <c r="B26" i="11"/>
  <c r="D22" i="11"/>
  <c r="C22" i="11"/>
  <c r="B22" i="11"/>
  <c r="D21" i="11"/>
  <c r="C21" i="11"/>
  <c r="B21" i="11"/>
  <c r="D47" i="11"/>
  <c r="C47" i="11"/>
  <c r="B47" i="11"/>
  <c r="D29" i="11"/>
  <c r="C29" i="11"/>
  <c r="B29" i="11"/>
  <c r="D58" i="11"/>
  <c r="C58" i="11"/>
  <c r="B58" i="11"/>
  <c r="D48" i="11"/>
  <c r="C48" i="11"/>
  <c r="B48" i="11"/>
  <c r="D23" i="11"/>
  <c r="C23" i="11"/>
  <c r="B23" i="11"/>
  <c r="D7" i="11"/>
  <c r="C7" i="11"/>
  <c r="B7" i="11"/>
  <c r="D24" i="11"/>
  <c r="C24" i="11"/>
  <c r="B24" i="11"/>
  <c r="D49" i="11"/>
  <c r="C49" i="11"/>
  <c r="B49" i="11"/>
  <c r="D25" i="11"/>
  <c r="C25" i="11"/>
  <c r="B25" i="11"/>
  <c r="D8" i="11"/>
  <c r="C8" i="11"/>
  <c r="B8" i="11"/>
  <c r="D57" i="11"/>
  <c r="C57" i="11"/>
  <c r="B57" i="11"/>
  <c r="D50" i="11"/>
  <c r="C50" i="11"/>
  <c r="B50" i="11"/>
  <c r="D20" i="11"/>
  <c r="C20" i="11"/>
  <c r="B20" i="11"/>
  <c r="D9" i="11"/>
  <c r="C9" i="11"/>
  <c r="B9" i="11"/>
  <c r="D41" i="11"/>
  <c r="C41" i="11"/>
  <c r="B41" i="11"/>
  <c r="E9" i="39" l="1"/>
  <c r="D26" i="39"/>
  <c r="K10" i="15"/>
  <c r="CJ10" i="15"/>
  <c r="CN10" i="15"/>
  <c r="DT9" i="15"/>
  <c r="DX9" i="15"/>
  <c r="EV13" i="15"/>
  <c r="AA9" i="15"/>
  <c r="AJ10" i="15"/>
  <c r="G9" i="15"/>
  <c r="AU10" i="15"/>
  <c r="BG9" i="15"/>
  <c r="BO9" i="15"/>
  <c r="CI9" i="15"/>
  <c r="DO9" i="15"/>
  <c r="EQ9" i="15"/>
  <c r="L9" i="15"/>
  <c r="W9" i="15"/>
  <c r="AR9" i="15"/>
  <c r="AQ9" i="15" s="1"/>
  <c r="AP9" i="15" s="1"/>
  <c r="EU9" i="15"/>
  <c r="BL10" i="15"/>
  <c r="CW10" i="15"/>
  <c r="AW9" i="15"/>
  <c r="AV9" i="15" s="1"/>
  <c r="CW9" i="15"/>
  <c r="EV9" i="15"/>
  <c r="AF10" i="15"/>
  <c r="BP10" i="15"/>
  <c r="CS10" i="15"/>
  <c r="CG9" i="15"/>
  <c r="AK9" i="15"/>
  <c r="BH10" i="15"/>
  <c r="C28" i="15"/>
  <c r="C26" i="15"/>
  <c r="D9" i="23"/>
  <c r="F11" i="15"/>
  <c r="F9" i="15"/>
  <c r="D13" i="23"/>
  <c r="J11" i="15"/>
  <c r="I11" i="15" s="1"/>
  <c r="J9" i="15"/>
  <c r="D17" i="23"/>
  <c r="N10" i="15"/>
  <c r="N9" i="15"/>
  <c r="D21" i="23"/>
  <c r="R11" i="15"/>
  <c r="R10" i="15"/>
  <c r="V11" i="15"/>
  <c r="V13" i="15" s="1"/>
  <c r="U13" i="15" s="1"/>
  <c r="T13" i="15" s="1"/>
  <c r="V10" i="15"/>
  <c r="U10" i="15" s="1"/>
  <c r="V9" i="15"/>
  <c r="D27" i="23"/>
  <c r="Z11" i="15"/>
  <c r="Z10" i="15"/>
  <c r="Z9" i="15"/>
  <c r="D30" i="23"/>
  <c r="AD11" i="15"/>
  <c r="AD10" i="15"/>
  <c r="AD9" i="15"/>
  <c r="D34" i="23"/>
  <c r="AH11" i="15"/>
  <c r="AH10" i="15"/>
  <c r="AH9" i="15"/>
  <c r="AG9" i="15" s="1"/>
  <c r="D36" i="23"/>
  <c r="AL11" i="15"/>
  <c r="AL10" i="15"/>
  <c r="AL9" i="15"/>
  <c r="D40" i="23"/>
  <c r="AP11" i="15"/>
  <c r="AP13" i="15" s="1"/>
  <c r="AP10" i="15"/>
  <c r="D44" i="23"/>
  <c r="AT11" i="15"/>
  <c r="AT10" i="15"/>
  <c r="AT9" i="15"/>
  <c r="D47" i="23"/>
  <c r="AX11" i="15"/>
  <c r="AX9" i="15"/>
  <c r="F10" i="15"/>
  <c r="EP9" i="15"/>
  <c r="J10" i="15"/>
  <c r="AX10" i="15"/>
  <c r="AW10" i="15" s="1"/>
  <c r="BB11" i="15"/>
  <c r="BB13" i="15" s="1"/>
  <c r="BB10" i="15"/>
  <c r="BF11" i="15"/>
  <c r="BF10" i="15"/>
  <c r="D58" i="23"/>
  <c r="BJ11" i="15"/>
  <c r="BJ10" i="15"/>
  <c r="BJ9" i="15"/>
  <c r="D62" i="23"/>
  <c r="BN11" i="15"/>
  <c r="BN13" i="15" s="1"/>
  <c r="D65" i="23"/>
  <c r="BR11" i="15"/>
  <c r="BR9" i="15"/>
  <c r="BV11" i="15"/>
  <c r="BV9" i="15"/>
  <c r="D73" i="23"/>
  <c r="BZ11" i="15"/>
  <c r="BY11" i="15" s="1"/>
  <c r="BZ9" i="15"/>
  <c r="D77" i="23"/>
  <c r="CD11" i="15"/>
  <c r="CD10" i="15"/>
  <c r="CC10" i="15" s="1"/>
  <c r="CH11" i="15"/>
  <c r="CH13" i="15" s="1"/>
  <c r="CH10" i="15"/>
  <c r="D85" i="23"/>
  <c r="CL11" i="15"/>
  <c r="D89" i="23"/>
  <c r="CP9" i="15"/>
  <c r="CP10" i="15"/>
  <c r="D93" i="23"/>
  <c r="CT11" i="15"/>
  <c r="CS11" i="15" s="1"/>
  <c r="CS13" i="15" s="1"/>
  <c r="CT10" i="15"/>
  <c r="D98" i="23"/>
  <c r="CX11" i="15"/>
  <c r="CX13" i="15" s="1"/>
  <c r="CX10" i="15"/>
  <c r="DB10" i="15"/>
  <c r="DB9" i="15"/>
  <c r="DF11" i="15"/>
  <c r="DF10" i="15"/>
  <c r="DF9" i="15"/>
  <c r="DE9" i="15" s="1"/>
  <c r="DD9" i="15" s="1"/>
  <c r="D109" i="23"/>
  <c r="DJ11" i="15"/>
  <c r="DI11" i="15" s="1"/>
  <c r="DI13" i="15" s="1"/>
  <c r="DJ10" i="15"/>
  <c r="D113" i="23"/>
  <c r="DN10" i="15"/>
  <c r="D116" i="23"/>
  <c r="D120" i="23"/>
  <c r="DV10" i="15"/>
  <c r="DV9" i="15"/>
  <c r="D124" i="23"/>
  <c r="DZ11" i="15"/>
  <c r="DZ10" i="15"/>
  <c r="DY10" i="15" s="1"/>
  <c r="DZ9" i="15"/>
  <c r="D128" i="23"/>
  <c r="ED11" i="15"/>
  <c r="ED10" i="15"/>
  <c r="EH11" i="15"/>
  <c r="EH10" i="15"/>
  <c r="EP11" i="15"/>
  <c r="EP13" i="15" s="1"/>
  <c r="EP10" i="15"/>
  <c r="ET11" i="15"/>
  <c r="ES11" i="15" s="1"/>
  <c r="ES13" i="15" s="1"/>
  <c r="ET9" i="15"/>
  <c r="EX11" i="15"/>
  <c r="EX9" i="15"/>
  <c r="BF9" i="15"/>
  <c r="DN9" i="15"/>
  <c r="EH9" i="15"/>
  <c r="BZ10" i="15"/>
  <c r="BB9" i="15"/>
  <c r="ED9" i="15"/>
  <c r="BV10" i="15"/>
  <c r="D10" i="23"/>
  <c r="G11" i="15"/>
  <c r="D14" i="23"/>
  <c r="K11" i="15"/>
  <c r="D18" i="23"/>
  <c r="O11" i="15"/>
  <c r="N11" i="15" s="1"/>
  <c r="N13" i="15" s="1"/>
  <c r="D22" i="23"/>
  <c r="S11" i="15"/>
  <c r="D24" i="23"/>
  <c r="W11" i="15"/>
  <c r="D28" i="23"/>
  <c r="AA11" i="15"/>
  <c r="AE11" i="15"/>
  <c r="D35" i="23"/>
  <c r="AI11" i="15"/>
  <c r="AM11" i="15"/>
  <c r="D41" i="23"/>
  <c r="AQ11" i="15"/>
  <c r="D45" i="23"/>
  <c r="AU11" i="15"/>
  <c r="D48" i="23"/>
  <c r="D52" i="23"/>
  <c r="BC11" i="15"/>
  <c r="D59" i="23"/>
  <c r="BK11" i="15"/>
  <c r="D66" i="23"/>
  <c r="BS11" i="15"/>
  <c r="D70" i="23"/>
  <c r="BW11" i="15"/>
  <c r="D74" i="23"/>
  <c r="CA11" i="15"/>
  <c r="CA13" i="15" s="1"/>
  <c r="D78" i="23"/>
  <c r="CE11" i="15"/>
  <c r="D82" i="23"/>
  <c r="CI11" i="15"/>
  <c r="CM11" i="15"/>
  <c r="CM13" i="15" s="1"/>
  <c r="D90" i="23"/>
  <c r="CQ11" i="15"/>
  <c r="CP11" i="15" s="1"/>
  <c r="CP13" i="15" s="1"/>
  <c r="CU11" i="15"/>
  <c r="CU13" i="15" s="1"/>
  <c r="D99" i="23"/>
  <c r="CY11" i="15"/>
  <c r="DC11" i="15"/>
  <c r="DB11" i="15" s="1"/>
  <c r="DC10" i="15"/>
  <c r="D106" i="23"/>
  <c r="DG11" i="15"/>
  <c r="D110" i="23"/>
  <c r="DK10" i="15"/>
  <c r="DO10" i="15"/>
  <c r="DO11" i="15"/>
  <c r="DN11" i="15" s="1"/>
  <c r="DN13" i="15" s="1"/>
  <c r="D117" i="23"/>
  <c r="DS11" i="15"/>
  <c r="DR11" i="15" s="1"/>
  <c r="DS10" i="15"/>
  <c r="D121" i="23"/>
  <c r="DW10" i="15"/>
  <c r="DW11" i="15"/>
  <c r="DV11" i="15" s="1"/>
  <c r="DV13" i="15" s="1"/>
  <c r="D125" i="23"/>
  <c r="EA11" i="15"/>
  <c r="D129" i="23"/>
  <c r="EE11" i="15"/>
  <c r="D133" i="23"/>
  <c r="EI11" i="15"/>
  <c r="EI13" i="15" s="1"/>
  <c r="EQ10" i="15"/>
  <c r="EQ11" i="15"/>
  <c r="EY10" i="15"/>
  <c r="EX10" i="15" s="1"/>
  <c r="EW10" i="15" s="1"/>
  <c r="EV10" i="15" s="1"/>
  <c r="EY11" i="15"/>
  <c r="ET10" i="15"/>
  <c r="M9" i="15"/>
  <c r="X9" i="15"/>
  <c r="AB9" i="15"/>
  <c r="BC9" i="15"/>
  <c r="BQ9" i="15"/>
  <c r="DK9" i="15"/>
  <c r="DJ9" i="15" s="1"/>
  <c r="EI9" i="15"/>
  <c r="EM9" i="15"/>
  <c r="ES9" i="15"/>
  <c r="EW9" i="15"/>
  <c r="G10" i="15"/>
  <c r="AK10" i="15"/>
  <c r="AZ10" i="15"/>
  <c r="BW10" i="15"/>
  <c r="CF10" i="15"/>
  <c r="D12" i="23"/>
  <c r="M11" i="15"/>
  <c r="Q11" i="15"/>
  <c r="D26" i="23"/>
  <c r="Y11" i="15"/>
  <c r="Y13" i="15" s="1"/>
  <c r="D29" i="23"/>
  <c r="AC11" i="15"/>
  <c r="AB11" i="15" s="1"/>
  <c r="AB13" i="15" s="1"/>
  <c r="D33" i="23"/>
  <c r="AG11" i="15"/>
  <c r="AO11" i="15"/>
  <c r="D43" i="23"/>
  <c r="AS11" i="15"/>
  <c r="AS13" i="15" s="1"/>
  <c r="D50" i="23"/>
  <c r="BA11" i="15"/>
  <c r="AZ11" i="15" s="1"/>
  <c r="AY11" i="15" s="1"/>
  <c r="AY13" i="15" s="1"/>
  <c r="BE11" i="15"/>
  <c r="BI11" i="15"/>
  <c r="BH11" i="15" s="1"/>
  <c r="BH13" i="15" s="1"/>
  <c r="BG13" i="15" s="1"/>
  <c r="BM11" i="15"/>
  <c r="D64" i="23"/>
  <c r="BQ11" i="15"/>
  <c r="BU11" i="15"/>
  <c r="D72" i="23"/>
  <c r="D76" i="23"/>
  <c r="CC11" i="15"/>
  <c r="D80" i="23"/>
  <c r="CG11" i="15"/>
  <c r="CG13" i="15" s="1"/>
  <c r="CK11" i="15"/>
  <c r="CO11" i="15"/>
  <c r="D92" i="23"/>
  <c r="CV11" i="15"/>
  <c r="CV13" i="15" s="1"/>
  <c r="CW13" i="15"/>
  <c r="D101" i="23"/>
  <c r="DA10" i="15"/>
  <c r="CZ10" i="15" s="1"/>
  <c r="DA11" i="15"/>
  <c r="D104" i="23"/>
  <c r="DE11" i="15"/>
  <c r="DE10" i="15"/>
  <c r="D108" i="23"/>
  <c r="DI10" i="15"/>
  <c r="D112" i="23"/>
  <c r="DM11" i="15"/>
  <c r="DM13" i="15" s="1"/>
  <c r="DM10" i="15"/>
  <c r="D115" i="23"/>
  <c r="DQ10" i="15"/>
  <c r="DU11" i="15"/>
  <c r="DU10" i="15"/>
  <c r="D123" i="23"/>
  <c r="DY11" i="15"/>
  <c r="DY13" i="15" s="1"/>
  <c r="D127" i="23"/>
  <c r="EC11" i="15"/>
  <c r="EC10" i="15"/>
  <c r="D131" i="23"/>
  <c r="EG11" i="15"/>
  <c r="EG10" i="15"/>
  <c r="D135" i="23"/>
  <c r="EK10" i="15"/>
  <c r="EK11" i="15"/>
  <c r="EO11" i="15"/>
  <c r="EO10" i="15"/>
  <c r="K9" i="15"/>
  <c r="O9" i="15"/>
  <c r="AJ9" i="15"/>
  <c r="AO9" i="15"/>
  <c r="AN9" i="15" s="1"/>
  <c r="AU9" i="15"/>
  <c r="BE9" i="15"/>
  <c r="BS9" i="15"/>
  <c r="BW9" i="15"/>
  <c r="CV9" i="15"/>
  <c r="DM9" i="15"/>
  <c r="DW9" i="15"/>
  <c r="EC9" i="15"/>
  <c r="EB9" i="15" s="1"/>
  <c r="EG9" i="15"/>
  <c r="EK9" i="15"/>
  <c r="EO9" i="15"/>
  <c r="I10" i="15"/>
  <c r="AE10" i="15"/>
  <c r="AM10" i="15"/>
  <c r="AQ10" i="15"/>
  <c r="BG10" i="15"/>
  <c r="BK10" i="15"/>
  <c r="BO10" i="15"/>
  <c r="BU10" i="15"/>
  <c r="BT10" i="15" s="1"/>
  <c r="BY10" i="15"/>
  <c r="CM10" i="15"/>
  <c r="D11" i="23"/>
  <c r="D15" i="23"/>
  <c r="L11" i="15"/>
  <c r="D19" i="23"/>
  <c r="P11" i="15"/>
  <c r="D25" i="23"/>
  <c r="X11" i="15"/>
  <c r="D32" i="23"/>
  <c r="AF11" i="15"/>
  <c r="D38" i="23"/>
  <c r="AN11" i="15"/>
  <c r="D42" i="23"/>
  <c r="AR11" i="15"/>
  <c r="D46" i="23"/>
  <c r="AV11" i="15"/>
  <c r="D49" i="23"/>
  <c r="D53" i="23"/>
  <c r="BD11" i="15"/>
  <c r="D56" i="23"/>
  <c r="D60" i="23"/>
  <c r="D63" i="23"/>
  <c r="BP11" i="15"/>
  <c r="D67" i="23"/>
  <c r="BT11" i="15"/>
  <c r="BT13" i="15" s="1"/>
  <c r="D71" i="23"/>
  <c r="D75" i="23"/>
  <c r="CF11" i="15"/>
  <c r="D83" i="23"/>
  <c r="CJ11" i="15"/>
  <c r="D87" i="23"/>
  <c r="CN11" i="15"/>
  <c r="D91" i="23"/>
  <c r="CR11" i="15"/>
  <c r="D96" i="23"/>
  <c r="D100" i="23"/>
  <c r="CZ11" i="15"/>
  <c r="D103" i="23"/>
  <c r="DD10" i="15"/>
  <c r="DD11" i="15"/>
  <c r="D107" i="23"/>
  <c r="E106" i="23" s="1"/>
  <c r="DH10" i="15"/>
  <c r="DG10" i="15" s="1"/>
  <c r="DH11" i="15"/>
  <c r="DL11" i="15"/>
  <c r="DK11" i="15" s="1"/>
  <c r="DK13" i="15" s="1"/>
  <c r="DL10" i="15"/>
  <c r="D114" i="23"/>
  <c r="DP10" i="15"/>
  <c r="D118" i="23"/>
  <c r="DT11" i="15"/>
  <c r="DT10" i="15"/>
  <c r="D122" i="23"/>
  <c r="DX11" i="15"/>
  <c r="DX10" i="15"/>
  <c r="D126" i="23"/>
  <c r="EB11" i="15"/>
  <c r="EB10" i="15"/>
  <c r="EA10" i="15" s="1"/>
  <c r="D130" i="23"/>
  <c r="EF11" i="15"/>
  <c r="EF10" i="15"/>
  <c r="D134" i="23"/>
  <c r="EJ11" i="15"/>
  <c r="EJ10" i="15"/>
  <c r="EI10" i="15" s="1"/>
  <c r="EN11" i="15"/>
  <c r="ER11" i="15"/>
  <c r="ER13" i="15" s="1"/>
  <c r="ER10" i="15"/>
  <c r="EU11" i="15"/>
  <c r="EU13" i="15" s="1"/>
  <c r="U9" i="15"/>
  <c r="T9" i="15" s="1"/>
  <c r="AM9" i="15"/>
  <c r="AY9" i="15"/>
  <c r="CE9" i="15"/>
  <c r="CD9" i="15" s="1"/>
  <c r="CO9" i="15"/>
  <c r="CU9" i="15"/>
  <c r="CT9" i="15" s="1"/>
  <c r="DA9" i="15"/>
  <c r="DG9" i="15"/>
  <c r="DL9" i="15"/>
  <c r="DQ9" i="15"/>
  <c r="EA9" i="15"/>
  <c r="EF9" i="15"/>
  <c r="EJ9" i="15"/>
  <c r="H10" i="15"/>
  <c r="T10" i="15"/>
  <c r="BS10" i="15"/>
  <c r="BR10" i="15" s="1"/>
  <c r="BX10" i="15"/>
  <c r="CG10" i="15"/>
  <c r="CU10" i="15"/>
  <c r="E27" i="39" l="1"/>
  <c r="E28" i="39"/>
  <c r="E98" i="23"/>
  <c r="E18" i="23"/>
  <c r="E116" i="23"/>
  <c r="E13" i="23"/>
  <c r="E125" i="23"/>
  <c r="E10" i="23"/>
  <c r="E121" i="23"/>
  <c r="E44" i="23"/>
  <c r="E34" i="23"/>
  <c r="AX13" i="15"/>
  <c r="AW13" i="15" s="1"/>
  <c r="E124" i="23"/>
  <c r="EH13" i="15"/>
  <c r="E73" i="23"/>
  <c r="E59" i="23"/>
  <c r="E89" i="23"/>
  <c r="E82" i="23"/>
  <c r="BS13" i="15"/>
  <c r="BR13" i="15" s="1"/>
  <c r="BQ13" i="15" s="1"/>
  <c r="E128" i="23"/>
  <c r="E66" i="23"/>
  <c r="E52" i="23"/>
  <c r="E41" i="23"/>
  <c r="BF13" i="15"/>
  <c r="AA13" i="15"/>
  <c r="Z13" i="15" s="1"/>
  <c r="CT13" i="15"/>
  <c r="E77" i="23"/>
  <c r="EG13" i="15"/>
  <c r="E64" i="23"/>
  <c r="E46" i="23"/>
  <c r="E26" i="23"/>
  <c r="E117" i="23"/>
  <c r="E113" i="23"/>
  <c r="E70" i="23"/>
  <c r="E24" i="23"/>
  <c r="E100" i="23"/>
  <c r="E91" i="23"/>
  <c r="E28" i="23"/>
  <c r="E122" i="23"/>
  <c r="E115" i="23"/>
  <c r="E112" i="23"/>
  <c r="E72" i="23"/>
  <c r="E133" i="23"/>
  <c r="DJ13" i="15"/>
  <c r="E74" i="23"/>
  <c r="BP13" i="15"/>
  <c r="E62" i="23"/>
  <c r="E48" i="23"/>
  <c r="E14" i="23"/>
  <c r="E130" i="23"/>
  <c r="DX13" i="15"/>
  <c r="DW13" i="15" s="1"/>
  <c r="X13" i="15"/>
  <c r="W13" i="15" s="1"/>
  <c r="E108" i="23"/>
  <c r="E43" i="23"/>
  <c r="BL11" i="15"/>
  <c r="BL13" i="15" s="1"/>
  <c r="BK13" i="15" s="1"/>
  <c r="BJ13" i="15" s="1"/>
  <c r="BI13" i="15" s="1"/>
  <c r="BM13" i="15"/>
  <c r="BX11" i="15"/>
  <c r="BX13" i="15" s="1"/>
  <c r="BW13" i="15" s="1"/>
  <c r="BV13" i="15" s="1"/>
  <c r="BU13" i="15" s="1"/>
  <c r="BY13" i="15"/>
  <c r="CB11" i="15"/>
  <c r="CB13" i="15" s="1"/>
  <c r="CC13" i="15"/>
  <c r="E134" i="23"/>
  <c r="CF13" i="15"/>
  <c r="CE13" i="15" s="1"/>
  <c r="CD13" i="15" s="1"/>
  <c r="E32" i="23"/>
  <c r="EF13" i="15"/>
  <c r="EE13" i="15" s="1"/>
  <c r="ED13" i="15" s="1"/>
  <c r="EC13" i="15" s="1"/>
  <c r="EB13" i="15" s="1"/>
  <c r="EA13" i="15" s="1"/>
  <c r="DZ13" i="15" s="1"/>
  <c r="CO13" i="15"/>
  <c r="CN13" i="15" s="1"/>
  <c r="M13" i="15"/>
  <c r="L13" i="15" s="1"/>
  <c r="K13" i="15" s="1"/>
  <c r="J13" i="15" s="1"/>
  <c r="EO13" i="15"/>
  <c r="EN13" i="15" s="1"/>
  <c r="EM13" i="15" s="1"/>
  <c r="EL13" i="15" s="1"/>
  <c r="EK13" i="15" s="1"/>
  <c r="EJ13" i="15" s="1"/>
  <c r="DH13" i="15"/>
  <c r="DG13" i="15" s="1"/>
  <c r="DF13" i="15" s="1"/>
  <c r="DE13" i="15" s="1"/>
  <c r="DD13" i="15" s="1"/>
  <c r="DC13" i="15" s="1"/>
  <c r="DB13" i="15" s="1"/>
  <c r="DA13" i="15" s="1"/>
  <c r="CZ13" i="15" s="1"/>
  <c r="CY13" i="15" s="1"/>
  <c r="BA13" i="15"/>
  <c r="AZ13" i="15" s="1"/>
  <c r="E29" i="23"/>
  <c r="E12" i="23"/>
  <c r="ET13" i="15"/>
  <c r="EQ13" i="15"/>
  <c r="E129" i="23"/>
  <c r="E99" i="23"/>
  <c r="E90" i="23"/>
  <c r="E45" i="23"/>
  <c r="E126" i="23"/>
  <c r="E114" i="23"/>
  <c r="E107" i="23"/>
  <c r="E71" i="23"/>
  <c r="E63" i="23"/>
  <c r="E49" i="23"/>
  <c r="E42" i="23"/>
  <c r="E120" i="23"/>
  <c r="E109" i="23"/>
  <c r="CL13" i="15"/>
  <c r="CK13" i="15" s="1"/>
  <c r="CJ13" i="15" s="1"/>
  <c r="CI13" i="15" s="1"/>
  <c r="BZ13" i="15"/>
  <c r="E58" i="23"/>
  <c r="E9" i="23"/>
  <c r="E127" i="23"/>
  <c r="E123" i="23"/>
  <c r="AO13" i="15"/>
  <c r="AN13" i="15" s="1"/>
  <c r="AM13" i="15" s="1"/>
  <c r="AL13" i="15" s="1"/>
  <c r="AK13" i="15" s="1"/>
  <c r="AJ13" i="15" s="1"/>
  <c r="AI13" i="15" s="1"/>
  <c r="AH13" i="15" s="1"/>
  <c r="AG13" i="15" s="1"/>
  <c r="AF13" i="15" s="1"/>
  <c r="AE13" i="15" s="1"/>
  <c r="AD13" i="15" s="1"/>
  <c r="AC13" i="15" s="1"/>
  <c r="S13" i="15"/>
  <c r="R13" i="15" s="1"/>
  <c r="Q13" i="15" s="1"/>
  <c r="P13" i="15" s="1"/>
  <c r="O13" i="15" s="1"/>
  <c r="H11" i="15"/>
  <c r="H13" i="15" s="1"/>
  <c r="G13" i="15" s="1"/>
  <c r="F13" i="15" s="1"/>
  <c r="E13" i="15" s="1"/>
  <c r="D13" i="15" s="1"/>
  <c r="I13" i="15"/>
  <c r="E47" i="23"/>
  <c r="E27" i="23"/>
  <c r="E21" i="23"/>
  <c r="E92" i="23"/>
  <c r="E33" i="23"/>
  <c r="EY8" i="15"/>
  <c r="DQ11" i="15"/>
  <c r="DR13" i="15"/>
  <c r="DL13" i="15"/>
  <c r="E103" i="23"/>
  <c r="BE13" i="15"/>
  <c r="BD13" i="15" s="1"/>
  <c r="BC13" i="15" s="1"/>
  <c r="AV13" i="15"/>
  <c r="AU13" i="15" s="1"/>
  <c r="AT13" i="15" s="1"/>
  <c r="E11" i="23"/>
  <c r="E75" i="23"/>
  <c r="AR13" i="15"/>
  <c r="AQ13" i="15" s="1"/>
  <c r="E25" i="23"/>
  <c r="DU13" i="15"/>
  <c r="DT13" i="15" s="1"/>
  <c r="DS13" i="15" s="1"/>
  <c r="E65" i="23"/>
  <c r="E40" i="23"/>
  <c r="E17" i="23"/>
  <c r="CR13" i="15"/>
  <c r="CQ13" i="15" s="1"/>
  <c r="E76" i="23"/>
  <c r="E35" i="23"/>
  <c r="DP11" i="15" l="1"/>
  <c r="DP13" i="15" s="1"/>
  <c r="DO13" i="15" s="1"/>
  <c r="DQ13" i="15"/>
  <c r="EX8" i="15"/>
  <c r="EW8" i="15" s="1"/>
  <c r="EV8" i="15" s="1"/>
  <c r="EU8" i="15" s="1"/>
  <c r="ET8" i="15" s="1"/>
  <c r="ES8" i="15" s="1"/>
  <c r="ER8" i="15" s="1"/>
  <c r="EQ8" i="15" s="1"/>
  <c r="EK8" i="15" s="1"/>
  <c r="EJ8" i="15" s="1"/>
  <c r="EI8" i="15" s="1"/>
  <c r="EH8" i="15" s="1"/>
  <c r="EG8" i="15" s="1"/>
  <c r="EF8" i="15" s="1"/>
  <c r="EY14" i="15"/>
  <c r="EX14" i="15" l="1"/>
  <c r="EW14" i="15" s="1"/>
  <c r="EV14" i="15" s="1"/>
  <c r="EU14" i="15" s="1"/>
  <c r="ET14" i="15"/>
  <c r="ES14" i="15" s="1"/>
  <c r="ER14" i="15" s="1"/>
  <c r="EQ14" i="15" s="1"/>
  <c r="EK14" i="15" s="1"/>
  <c r="EJ14" i="15" s="1"/>
  <c r="EI14" i="15" s="1"/>
  <c r="EH14" i="15" s="1"/>
  <c r="EG14" i="15" s="1"/>
  <c r="EF14" i="15" s="1"/>
  <c r="E96" i="23" l="1"/>
  <c r="D105" i="23"/>
  <c r="E105" i="23" s="1"/>
  <c r="E104" i="23"/>
  <c r="D79" i="23"/>
  <c r="E79" i="23" s="1"/>
  <c r="E78" i="23"/>
  <c r="D86" i="23"/>
  <c r="E86" i="23" s="1"/>
  <c r="E85" i="23"/>
  <c r="D132" i="23"/>
  <c r="E132" i="23" s="1"/>
  <c r="E131" i="23"/>
  <c r="D31" i="23"/>
  <c r="E31" i="23" s="1"/>
  <c r="E30" i="23"/>
  <c r="D61" i="23"/>
  <c r="E61" i="23" s="1"/>
  <c r="E60" i="23"/>
  <c r="D69" i="23"/>
  <c r="E69" i="23" s="1"/>
  <c r="D68" i="23"/>
  <c r="E68" i="23" s="1"/>
  <c r="E67" i="23"/>
  <c r="D23" i="23"/>
  <c r="E23" i="23" s="1"/>
  <c r="E22" i="23"/>
  <c r="D57" i="23"/>
  <c r="E57" i="23" s="1"/>
  <c r="E56" i="23"/>
  <c r="D39" i="23"/>
  <c r="E39" i="23" s="1"/>
  <c r="E38" i="23"/>
  <c r="D102" i="23"/>
  <c r="E102" i="23" s="1"/>
  <c r="E101" i="23"/>
  <c r="D84" i="23"/>
  <c r="E84" i="23" s="1"/>
  <c r="E83" i="23"/>
  <c r="D111" i="23"/>
  <c r="E111" i="23" s="1"/>
  <c r="E110" i="23"/>
  <c r="D20" i="23"/>
  <c r="E20" i="23" s="1"/>
  <c r="E19" i="23"/>
  <c r="D51" i="23"/>
  <c r="E51" i="23" s="1"/>
  <c r="E50" i="23"/>
  <c r="D37" i="23"/>
  <c r="E37" i="23" s="1"/>
  <c r="E36" i="23"/>
  <c r="D95" i="23"/>
  <c r="E95" i="23" s="1"/>
  <c r="D94" i="23"/>
  <c r="E94" i="23" s="1"/>
  <c r="E93" i="23"/>
  <c r="D119" i="23"/>
  <c r="E119" i="23" s="1"/>
  <c r="E118" i="23"/>
  <c r="D88" i="23"/>
  <c r="E88" i="23" s="1"/>
  <c r="E87" i="23"/>
  <c r="D81" i="23"/>
  <c r="E81" i="23" s="1"/>
  <c r="E80" i="23"/>
  <c r="D16" i="23"/>
  <c r="E16" i="23" s="1"/>
  <c r="D54" i="23"/>
  <c r="E54" i="23" s="1"/>
  <c r="D55" i="23"/>
  <c r="E55" i="23" s="1"/>
  <c r="E15" i="23"/>
  <c r="E53" i="23"/>
  <c r="G41" i="11"/>
  <c r="G9" i="11"/>
  <c r="G20" i="11"/>
  <c r="G50" i="11"/>
  <c r="G57" i="11"/>
  <c r="G8" i="11"/>
  <c r="G25" i="11"/>
  <c r="G49" i="11"/>
  <c r="G24" i="11"/>
  <c r="G7" i="11"/>
  <c r="G23" i="11"/>
  <c r="G48" i="11"/>
  <c r="G58" i="11"/>
  <c r="G29" i="11"/>
  <c r="G47" i="11"/>
  <c r="G21" i="11"/>
  <c r="G22" i="11"/>
  <c r="G26" i="11"/>
  <c r="G10" i="11"/>
  <c r="G51" i="11"/>
  <c r="G56" i="11"/>
  <c r="G30" i="11"/>
  <c r="G27" i="11"/>
  <c r="G19" i="11"/>
  <c r="G28" i="11"/>
  <c r="G42" i="11"/>
  <c r="G59" i="11"/>
  <c r="G2" i="11"/>
  <c r="G46" i="11"/>
  <c r="G55" i="11"/>
  <c r="G11" i="11"/>
  <c r="G52" i="11"/>
  <c r="G54" i="11"/>
  <c r="G73" i="11"/>
  <c r="G72" i="11"/>
  <c r="G3" i="11"/>
  <c r="G43" i="11"/>
  <c r="G6" i="11"/>
  <c r="G40" i="11"/>
  <c r="G4" i="11"/>
  <c r="G5" i="11"/>
  <c r="G12" i="11"/>
  <c r="G45" i="11"/>
  <c r="G81" i="11"/>
  <c r="G31" i="11"/>
  <c r="G44" i="11"/>
  <c r="G13" i="11"/>
  <c r="G32" i="11"/>
  <c r="G61" i="11"/>
  <c r="G74" i="11"/>
  <c r="G71" i="11"/>
  <c r="G80" i="11"/>
  <c r="G18" i="11"/>
  <c r="G14" i="11"/>
  <c r="G60" i="11"/>
  <c r="G62" i="11"/>
  <c r="G79" i="11"/>
  <c r="G15" i="11"/>
  <c r="G16" i="11"/>
  <c r="G39" i="11"/>
  <c r="G78" i="11"/>
  <c r="G34" i="11"/>
  <c r="G77" i="11"/>
  <c r="G63" i="11"/>
  <c r="G70" i="11"/>
  <c r="G75" i="11"/>
  <c r="G76" i="11"/>
  <c r="G38" i="11"/>
  <c r="G35" i="11"/>
  <c r="G64" i="11"/>
  <c r="G36" i="11"/>
  <c r="G37" i="11"/>
  <c r="G69" i="11"/>
  <c r="G65" i="11"/>
  <c r="G68" i="11"/>
  <c r="G66" i="11"/>
  <c r="G67" i="11"/>
  <c r="E135" i="23"/>
  <c r="C32" i="15" l="1"/>
  <c r="B2" i="25"/>
  <c r="B3" i="25" s="1"/>
  <c r="C22" i="15"/>
  <c r="C33" i="15"/>
  <c r="C18" i="15"/>
  <c r="EE9" i="15" s="1"/>
  <c r="EL9" i="15" l="1"/>
  <c r="CR9" i="15"/>
  <c r="CB9" i="15"/>
  <c r="BD9" i="15"/>
  <c r="CL9" i="15"/>
  <c r="CA9" i="15"/>
  <c r="DR9" i="15"/>
  <c r="CQ9" i="15"/>
  <c r="D9" i="15"/>
  <c r="BM9" i="15"/>
  <c r="CK9" i="15"/>
  <c r="CY9" i="15"/>
  <c r="AI9" i="15"/>
  <c r="BI9" i="15"/>
  <c r="S9" i="15"/>
  <c r="R9" i="15" s="1"/>
  <c r="BN9" i="15"/>
  <c r="AS9" i="15"/>
  <c r="Y9" i="15"/>
  <c r="Q9" i="15"/>
  <c r="EN9" i="15"/>
  <c r="BA9" i="15"/>
  <c r="E9" i="15"/>
  <c r="AC9" i="15"/>
  <c r="H23" i="11"/>
  <c r="H62" i="11"/>
  <c r="H25" i="11"/>
  <c r="H54" i="11"/>
  <c r="H74" i="11"/>
  <c r="H76" i="11"/>
  <c r="H35" i="11"/>
  <c r="H36" i="11"/>
  <c r="H8" i="11"/>
  <c r="H29" i="11"/>
  <c r="H51" i="11"/>
  <c r="H27" i="11"/>
  <c r="H2" i="11"/>
  <c r="H48" i="11"/>
  <c r="H46" i="11"/>
  <c r="H71" i="11"/>
  <c r="H50" i="11"/>
  <c r="H52" i="11"/>
  <c r="H33" i="11"/>
  <c r="H9" i="11"/>
  <c r="H10" i="11"/>
  <c r="H28" i="11"/>
  <c r="H72" i="11"/>
  <c r="H38" i="11"/>
  <c r="H68" i="11"/>
  <c r="H64" i="11"/>
  <c r="H57" i="11"/>
  <c r="H7" i="11"/>
  <c r="H22" i="11"/>
  <c r="H31" i="11"/>
  <c r="H4" i="11"/>
  <c r="H81" i="11"/>
  <c r="H12" i="11"/>
  <c r="H34" i="11"/>
  <c r="H19" i="11"/>
  <c r="H55" i="11"/>
  <c r="H53" i="11"/>
  <c r="H45" i="11"/>
  <c r="H13" i="11"/>
  <c r="H18" i="11"/>
  <c r="H32" i="11"/>
  <c r="H40" i="11"/>
  <c r="H24" i="11"/>
  <c r="H49" i="11"/>
  <c r="H56" i="11"/>
  <c r="H6" i="11"/>
  <c r="H80" i="11"/>
  <c r="H14" i="11"/>
  <c r="H63" i="11"/>
  <c r="H26" i="11"/>
  <c r="H47" i="11"/>
  <c r="H43" i="11"/>
  <c r="H15" i="11"/>
  <c r="H58" i="11"/>
  <c r="H59" i="11"/>
  <c r="H73" i="11"/>
  <c r="H61" i="11"/>
  <c r="H39" i="11"/>
  <c r="H16" i="11"/>
  <c r="H65" i="11"/>
  <c r="H11" i="11"/>
  <c r="H3" i="11"/>
  <c r="H79" i="11"/>
  <c r="H77" i="11"/>
  <c r="H67" i="11"/>
  <c r="H21" i="11"/>
  <c r="H17" i="11"/>
  <c r="H75" i="11"/>
  <c r="H69" i="11"/>
  <c r="H37" i="11"/>
  <c r="H42" i="11"/>
  <c r="H70" i="11"/>
  <c r="H30" i="11"/>
  <c r="H44" i="11"/>
  <c r="H60" i="11"/>
  <c r="H41" i="11"/>
  <c r="H20" i="11"/>
  <c r="H78" i="11"/>
  <c r="H5" i="11"/>
  <c r="H66" i="11"/>
  <c r="B4" i="25"/>
  <c r="E66" i="11" l="1"/>
  <c r="F66" i="11"/>
  <c r="F78" i="11"/>
  <c r="E78" i="11"/>
  <c r="E60" i="11"/>
  <c r="F60" i="11"/>
  <c r="F11" i="11"/>
  <c r="E11" i="11"/>
  <c r="E59" i="11"/>
  <c r="F59" i="11"/>
  <c r="E43" i="11"/>
  <c r="F43" i="11"/>
  <c r="E26" i="11"/>
  <c r="F26" i="11"/>
  <c r="F56" i="11"/>
  <c r="E56" i="11"/>
  <c r="F32" i="11"/>
  <c r="E32" i="11"/>
  <c r="E22" i="11"/>
  <c r="F22" i="11"/>
  <c r="E57" i="11"/>
  <c r="F57" i="11"/>
  <c r="E10" i="11"/>
  <c r="F10" i="11"/>
  <c r="F52" i="11"/>
  <c r="E52" i="11"/>
  <c r="F27" i="11"/>
  <c r="E27" i="11"/>
  <c r="E76" i="11"/>
  <c r="F76" i="11"/>
  <c r="F74" i="11"/>
  <c r="E74" i="11"/>
  <c r="E23" i="11"/>
  <c r="F23" i="11"/>
  <c r="E5" i="11"/>
  <c r="F5" i="11"/>
  <c r="F70" i="11"/>
  <c r="E70" i="11"/>
  <c r="E79" i="11"/>
  <c r="F79" i="11"/>
  <c r="E3" i="11"/>
  <c r="F3" i="11"/>
  <c r="F16" i="11"/>
  <c r="E16" i="11"/>
  <c r="E73" i="11"/>
  <c r="F73" i="11"/>
  <c r="F15" i="11"/>
  <c r="E15" i="11"/>
  <c r="F6" i="11"/>
  <c r="E6" i="11"/>
  <c r="F55" i="11"/>
  <c r="E55" i="11"/>
  <c r="F12" i="11"/>
  <c r="E12" i="11"/>
  <c r="E31" i="11"/>
  <c r="F31" i="11"/>
  <c r="E28" i="11"/>
  <c r="F28" i="11"/>
  <c r="E33" i="11"/>
  <c r="F33" i="11"/>
  <c r="E71" i="11"/>
  <c r="F71" i="11"/>
  <c r="E35" i="11"/>
  <c r="F35" i="11"/>
  <c r="F54" i="11"/>
  <c r="E54" i="11"/>
  <c r="E25" i="11"/>
  <c r="F25" i="11"/>
  <c r="E62" i="11"/>
  <c r="F62" i="11"/>
  <c r="E75" i="11"/>
  <c r="F75" i="11"/>
  <c r="F21" i="11"/>
  <c r="E21" i="11"/>
  <c r="F20" i="11"/>
  <c r="E20" i="11"/>
  <c r="E30" i="11"/>
  <c r="F30" i="11"/>
  <c r="E42" i="11"/>
  <c r="F42" i="11"/>
  <c r="F69" i="11"/>
  <c r="E69" i="11"/>
  <c r="F65" i="11"/>
  <c r="E65" i="11"/>
  <c r="E61" i="11"/>
  <c r="F61" i="11"/>
  <c r="F13" i="11"/>
  <c r="E13" i="11"/>
  <c r="E19" i="11"/>
  <c r="F19" i="11"/>
  <c r="E41" i="11"/>
  <c r="F41" i="11"/>
  <c r="B5" i="25"/>
  <c r="E44" i="11"/>
  <c r="F44" i="11"/>
  <c r="F37" i="11"/>
  <c r="E37" i="11"/>
  <c r="F17" i="11"/>
  <c r="E17" i="11"/>
  <c r="E67" i="11"/>
  <c r="F67" i="11"/>
  <c r="E77" i="11"/>
  <c r="F77" i="11"/>
  <c r="E39" i="11"/>
  <c r="F39" i="11"/>
  <c r="F47" i="11"/>
  <c r="E47" i="11"/>
  <c r="F80" i="11"/>
  <c r="E80" i="11"/>
  <c r="F49" i="11"/>
  <c r="E49" i="11"/>
  <c r="E40" i="11"/>
  <c r="F40" i="11"/>
  <c r="E18" i="11"/>
  <c r="F18" i="11"/>
  <c r="F45" i="11"/>
  <c r="E45" i="11"/>
  <c r="F53" i="11"/>
  <c r="E53" i="11"/>
  <c r="F4" i="11"/>
  <c r="E4" i="11"/>
  <c r="F7" i="11"/>
  <c r="E7" i="11"/>
  <c r="E38" i="11"/>
  <c r="F38" i="11"/>
  <c r="E9" i="11"/>
  <c r="F9" i="11"/>
  <c r="E50" i="11"/>
  <c r="F50" i="11"/>
  <c r="F2" i="11"/>
  <c r="E2" i="11"/>
  <c r="C19" i="15"/>
  <c r="EE10" i="15" s="1"/>
  <c r="E29" i="11"/>
  <c r="F29" i="11"/>
  <c r="F58" i="11"/>
  <c r="E58" i="11"/>
  <c r="F63" i="11"/>
  <c r="E63" i="11"/>
  <c r="F14" i="11"/>
  <c r="E14" i="11"/>
  <c r="F24" i="11"/>
  <c r="E24" i="11"/>
  <c r="F34" i="11"/>
  <c r="E34" i="11"/>
  <c r="F81" i="11"/>
  <c r="E81" i="11"/>
  <c r="E64" i="11"/>
  <c r="F64" i="11"/>
  <c r="E68" i="11"/>
  <c r="F68" i="11"/>
  <c r="F72" i="11"/>
  <c r="E72" i="11"/>
  <c r="E46" i="11"/>
  <c r="F46" i="11"/>
  <c r="F48" i="11"/>
  <c r="E48" i="11"/>
  <c r="E51" i="11"/>
  <c r="F51" i="11"/>
  <c r="E8" i="11"/>
  <c r="F8" i="11"/>
  <c r="E36" i="11"/>
  <c r="F36" i="11"/>
  <c r="BD10" i="15" l="1"/>
  <c r="CR10" i="15"/>
  <c r="CA10" i="15"/>
  <c r="CB10" i="15"/>
  <c r="CQ10" i="15"/>
  <c r="CL10" i="15"/>
  <c r="BM10" i="15"/>
  <c r="DR10" i="15"/>
  <c r="CK10" i="15"/>
  <c r="CY10" i="15"/>
  <c r="AI10" i="15"/>
  <c r="BI10" i="15"/>
  <c r="S10" i="15"/>
  <c r="BN10" i="15"/>
  <c r="AS10" i="15"/>
  <c r="Y10" i="15"/>
  <c r="EN10" i="15"/>
  <c r="EM10" i="15" s="1"/>
  <c r="EL10" i="15" s="1"/>
  <c r="BA10" i="15"/>
  <c r="AC10" i="15"/>
  <c r="Q10" i="15"/>
  <c r="P10" i="15" s="1"/>
  <c r="O10" i="15" s="1"/>
  <c r="C20" i="15"/>
  <c r="E10" i="15"/>
  <c r="C25" i="15"/>
  <c r="C27" i="15"/>
  <c r="B6" i="25"/>
  <c r="D10" i="15" l="1"/>
  <c r="B7" i="25"/>
  <c r="B8" i="25" s="1"/>
  <c r="CY8" i="15" l="1"/>
  <c r="EE8" i="15"/>
  <c r="DR8" i="15"/>
  <c r="CX8" i="15"/>
  <c r="CW8" i="15" s="1"/>
  <c r="CV8" i="15" s="1"/>
  <c r="CY14" i="15"/>
  <c r="BA8" i="15"/>
  <c r="BA14" i="15" s="1"/>
  <c r="CK8" i="15"/>
  <c r="BN8" i="15"/>
  <c r="AZ8" i="15"/>
  <c r="AY8" i="15" s="1"/>
  <c r="AX8" i="15" s="1"/>
  <c r="AW8" i="15" s="1"/>
  <c r="AV8" i="15" s="1"/>
  <c r="AU8" i="15" s="1"/>
  <c r="AT8" i="15" s="1"/>
  <c r="AS8" i="15" s="1"/>
  <c r="AR8" i="15" s="1"/>
  <c r="AQ8" i="15" s="1"/>
  <c r="AP8" i="15" s="1"/>
  <c r="AO8" i="15" s="1"/>
  <c r="AN8" i="15" s="1"/>
  <c r="AM8" i="15" s="1"/>
  <c r="AL8" i="15" s="1"/>
  <c r="AK8" i="15" s="1"/>
  <c r="AJ8" i="15" s="1"/>
  <c r="AI8" i="15" s="1"/>
  <c r="AH8" i="15" s="1"/>
  <c r="AG8" i="15" s="1"/>
  <c r="AF8" i="15" s="1"/>
  <c r="AE8" i="15" s="1"/>
  <c r="AD8" i="15" s="1"/>
  <c r="EY9" i="15"/>
  <c r="C29" i="15" s="1"/>
  <c r="AC8" i="15"/>
  <c r="E8" i="15"/>
  <c r="B9" i="25"/>
  <c r="B10" i="25" s="1"/>
  <c r="ED8" i="15" l="1"/>
  <c r="EC8" i="15" s="1"/>
  <c r="EB8" i="15" s="1"/>
  <c r="EA8" i="15" s="1"/>
  <c r="DZ8" i="15" s="1"/>
  <c r="DY8" i="15" s="1"/>
  <c r="DX8" i="15" s="1"/>
  <c r="DW8" i="15" s="1"/>
  <c r="DV8" i="15" s="1"/>
  <c r="DU8" i="15" s="1"/>
  <c r="DT8" i="15" s="1"/>
  <c r="DS8" i="15" s="1"/>
  <c r="EE14" i="15"/>
  <c r="CX14" i="15"/>
  <c r="CW14" i="15" s="1"/>
  <c r="D97" i="23" s="1"/>
  <c r="E97" i="23" s="1"/>
  <c r="DQ8" i="15"/>
  <c r="DP8" i="15" s="1"/>
  <c r="DO8" i="15" s="1"/>
  <c r="DN8" i="15" s="1"/>
  <c r="DM8" i="15" s="1"/>
  <c r="DL8" i="15" s="1"/>
  <c r="DK8" i="15" s="1"/>
  <c r="DJ8" i="15" s="1"/>
  <c r="DI8" i="15" s="1"/>
  <c r="DH8" i="15" s="1"/>
  <c r="DG8" i="15" s="1"/>
  <c r="DF8" i="15" s="1"/>
  <c r="DE8" i="15" s="1"/>
  <c r="DD8" i="15" s="1"/>
  <c r="DC8" i="15" s="1"/>
  <c r="DB8" i="15" s="1"/>
  <c r="DA8" i="15" s="1"/>
  <c r="CZ8" i="15" s="1"/>
  <c r="DR14" i="15"/>
  <c r="D137" i="23"/>
  <c r="CU8" i="15"/>
  <c r="CT8" i="15" s="1"/>
  <c r="CS8" i="15" s="1"/>
  <c r="CR8" i="15" s="1"/>
  <c r="CQ8" i="15" s="1"/>
  <c r="CP8" i="15" s="1"/>
  <c r="CO8" i="15" s="1"/>
  <c r="CN8" i="15" s="1"/>
  <c r="CM8" i="15" s="1"/>
  <c r="CL8" i="15" s="1"/>
  <c r="CV14" i="15"/>
  <c r="CJ8" i="15"/>
  <c r="CI8" i="15" s="1"/>
  <c r="CH8" i="15" s="1"/>
  <c r="CG8" i="15" s="1"/>
  <c r="CF8" i="15" s="1"/>
  <c r="CE8" i="15" s="1"/>
  <c r="CD8" i="15" s="1"/>
  <c r="CC8" i="15" s="1"/>
  <c r="CB8" i="15" s="1"/>
  <c r="CA8" i="15" s="1"/>
  <c r="BZ8" i="15" s="1"/>
  <c r="BY8" i="15" s="1"/>
  <c r="BX8" i="15" s="1"/>
  <c r="BW8" i="15" s="1"/>
  <c r="BV8" i="15" s="1"/>
  <c r="BU8" i="15" s="1"/>
  <c r="BT8" i="15" s="1"/>
  <c r="BS8" i="15" s="1"/>
  <c r="BR8" i="15" s="1"/>
  <c r="BQ8" i="15" s="1"/>
  <c r="BP8" i="15" s="1"/>
  <c r="BO8" i="15" s="1"/>
  <c r="CK14" i="15"/>
  <c r="BM8" i="15"/>
  <c r="BL8" i="15" s="1"/>
  <c r="BK8" i="15" s="1"/>
  <c r="BJ8" i="15" s="1"/>
  <c r="BI8" i="15" s="1"/>
  <c r="BH8" i="15" s="1"/>
  <c r="BG8" i="15" s="1"/>
  <c r="BF8" i="15" s="1"/>
  <c r="BE8" i="15" s="1"/>
  <c r="BD8" i="15" s="1"/>
  <c r="BC8" i="15" s="1"/>
  <c r="BB8" i="15" s="1"/>
  <c r="BN14" i="15"/>
  <c r="AZ14" i="15"/>
  <c r="AY14" i="15" s="1"/>
  <c r="AX14" i="15" s="1"/>
  <c r="AW14" i="15" s="1"/>
  <c r="AV14" i="15" s="1"/>
  <c r="AU14" i="15" s="1"/>
  <c r="AT14" i="15" s="1"/>
  <c r="AS14" i="15" s="1"/>
  <c r="AR14" i="15" s="1"/>
  <c r="AQ14" i="15" s="1"/>
  <c r="AP14" i="15" s="1"/>
  <c r="AO14" i="15" s="1"/>
  <c r="AN14" i="15" s="1"/>
  <c r="AM14" i="15" s="1"/>
  <c r="AL14" i="15" s="1"/>
  <c r="AK14" i="15" s="1"/>
  <c r="AJ14" i="15" s="1"/>
  <c r="AI14" i="15" s="1"/>
  <c r="AH14" i="15" s="1"/>
  <c r="AG14" i="15" s="1"/>
  <c r="AF14" i="15" s="1"/>
  <c r="AE14" i="15" s="1"/>
  <c r="AD14" i="15" s="1"/>
  <c r="AB8" i="15"/>
  <c r="AA8" i="15" s="1"/>
  <c r="Z8" i="15" s="1"/>
  <c r="Y8" i="15" s="1"/>
  <c r="X8" i="15" s="1"/>
  <c r="W8" i="15" s="1"/>
  <c r="V8" i="15" s="1"/>
  <c r="U8" i="15" s="1"/>
  <c r="T8" i="15" s="1"/>
  <c r="S8" i="15" s="1"/>
  <c r="R8" i="15" s="1"/>
  <c r="Q8" i="15" s="1"/>
  <c r="P8" i="15" s="1"/>
  <c r="O8" i="15" s="1"/>
  <c r="N8" i="15" s="1"/>
  <c r="M8" i="15" s="1"/>
  <c r="L8" i="15" s="1"/>
  <c r="K8" i="15" s="1"/>
  <c r="J8" i="15" s="1"/>
  <c r="I8" i="15" s="1"/>
  <c r="H8" i="15" s="1"/>
  <c r="G8" i="15" s="1"/>
  <c r="F8" i="15" s="1"/>
  <c r="AC14" i="15"/>
  <c r="D8" i="15"/>
  <c r="E14" i="15"/>
  <c r="B11" i="25"/>
  <c r="B12" i="25" s="1"/>
  <c r="ED14" i="15" l="1"/>
  <c r="EC14" i="15" s="1"/>
  <c r="EB14" i="15" s="1"/>
  <c r="EA14" i="15" s="1"/>
  <c r="DZ14" i="15" s="1"/>
  <c r="DY14" i="15" s="1"/>
  <c r="DX14" i="15" s="1"/>
  <c r="DW14" i="15" s="1"/>
  <c r="DV14" i="15" s="1"/>
  <c r="DU14" i="15" s="1"/>
  <c r="DT14" i="15" s="1"/>
  <c r="DS14" i="15" s="1"/>
  <c r="CU14" i="15"/>
  <c r="CT14" i="15" s="1"/>
  <c r="CS14" i="15" s="1"/>
  <c r="CR14" i="15" s="1"/>
  <c r="CQ14" i="15" s="1"/>
  <c r="DQ14" i="15"/>
  <c r="DP14" i="15" s="1"/>
  <c r="DO14" i="15" s="1"/>
  <c r="DN14" i="15" s="1"/>
  <c r="DM14" i="15" s="1"/>
  <c r="DL14" i="15" s="1"/>
  <c r="DK14" i="15" s="1"/>
  <c r="DJ14" i="15" s="1"/>
  <c r="DI14" i="15" s="1"/>
  <c r="DH14" i="15" s="1"/>
  <c r="DG14" i="15" s="1"/>
  <c r="DF14" i="15" s="1"/>
  <c r="DE14" i="15" s="1"/>
  <c r="DD14" i="15" s="1"/>
  <c r="DC14" i="15" s="1"/>
  <c r="DB14" i="15" s="1"/>
  <c r="DA14" i="15" s="1"/>
  <c r="CZ14" i="15" s="1"/>
  <c r="E138" i="23"/>
  <c r="CP14" i="15"/>
  <c r="CO14" i="15" s="1"/>
  <c r="CN14" i="15" s="1"/>
  <c r="CM14" i="15" s="1"/>
  <c r="CL14" i="15" s="1"/>
  <c r="E139" i="23"/>
  <c r="CJ14" i="15"/>
  <c r="CI14" i="15" s="1"/>
  <c r="CH14" i="15" s="1"/>
  <c r="CG14" i="15" s="1"/>
  <c r="CF14" i="15" s="1"/>
  <c r="CE14" i="15" s="1"/>
  <c r="CD14" i="15" s="1"/>
  <c r="CC14" i="15" s="1"/>
  <c r="CB14" i="15" s="1"/>
  <c r="CA14" i="15" s="1"/>
  <c r="BZ14" i="15" s="1"/>
  <c r="BY14" i="15" s="1"/>
  <c r="BX14" i="15" s="1"/>
  <c r="BW14" i="15" s="1"/>
  <c r="BV14" i="15" s="1"/>
  <c r="BU14" i="15" s="1"/>
  <c r="BT14" i="15" s="1"/>
  <c r="BS14" i="15" s="1"/>
  <c r="BR14" i="15" s="1"/>
  <c r="BQ14" i="15" s="1"/>
  <c r="BP14" i="15" s="1"/>
  <c r="BO14" i="15" s="1"/>
  <c r="BM14" i="15"/>
  <c r="BL14" i="15" s="1"/>
  <c r="BK14" i="15" s="1"/>
  <c r="BJ14" i="15" s="1"/>
  <c r="BI14" i="15" s="1"/>
  <c r="BH14" i="15" s="1"/>
  <c r="BG14" i="15" s="1"/>
  <c r="BF14" i="15" s="1"/>
  <c r="BE14" i="15" s="1"/>
  <c r="BD14" i="15" s="1"/>
  <c r="BC14" i="15" s="1"/>
  <c r="BB14" i="15" s="1"/>
  <c r="AB14" i="15"/>
  <c r="AA14" i="15" s="1"/>
  <c r="Z14" i="15" s="1"/>
  <c r="Y14" i="15" s="1"/>
  <c r="X14" i="15" s="1"/>
  <c r="W14" i="15" s="1"/>
  <c r="V14" i="15" s="1"/>
  <c r="U14" i="15" s="1"/>
  <c r="T14" i="15" s="1"/>
  <c r="S14" i="15" s="1"/>
  <c r="R14" i="15" s="1"/>
  <c r="Q14" i="15" s="1"/>
  <c r="P14" i="15" s="1"/>
  <c r="O14" i="15" s="1"/>
  <c r="N14" i="15" s="1"/>
  <c r="M14" i="15" s="1"/>
  <c r="L14" i="15" s="1"/>
  <c r="K14" i="15" s="1"/>
  <c r="J14" i="15" s="1"/>
  <c r="I14" i="15" s="1"/>
  <c r="H14" i="15" s="1"/>
  <c r="G14" i="15" s="1"/>
  <c r="F14" i="15" s="1"/>
  <c r="D14" i="15"/>
  <c r="EY13" i="15"/>
  <c r="EX13" i="15" s="1"/>
  <c r="C30" i="15" s="1"/>
  <c r="B13" i="25"/>
  <c r="B14" i="25" s="1"/>
  <c r="B15" i="25" s="1"/>
  <c r="B16" i="25" s="1"/>
  <c r="B17" i="25" s="1"/>
  <c r="B18" i="25" s="1"/>
  <c r="B19" i="25" s="1"/>
  <c r="B20" i="25" s="1"/>
  <c r="B21" i="25" s="1"/>
  <c r="C14" i="15" l="1"/>
  <c r="C21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naultm</author>
  </authors>
  <commentList>
    <comment ref="A1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naultm:</t>
        </r>
        <r>
          <rPr>
            <sz val="8"/>
            <color indexed="81"/>
            <rFont val="Tahoma"/>
            <family val="2"/>
          </rPr>
          <t xml:space="preserve">
formerly </t>
        </r>
        <r>
          <rPr>
            <i/>
            <sz val="8"/>
            <color indexed="81"/>
            <rFont val="Tahoma"/>
            <family val="2"/>
          </rPr>
          <t>Megalodonta beckii</t>
        </r>
      </text>
    </comment>
  </commentList>
</comments>
</file>

<file path=xl/sharedStrings.xml><?xml version="1.0" encoding="utf-8"?>
<sst xmlns="http://schemas.openxmlformats.org/spreadsheetml/2006/main" count="991" uniqueCount="532">
  <si>
    <t>sampling point</t>
  </si>
  <si>
    <t>Relative Frequency (%)</t>
  </si>
  <si>
    <t>Relative Frequency (squared)</t>
  </si>
  <si>
    <t>Simpson Diversity Index</t>
  </si>
  <si>
    <t>comments</t>
  </si>
  <si>
    <t>sp3</t>
  </si>
  <si>
    <t>sp4</t>
  </si>
  <si>
    <t>sp5</t>
  </si>
  <si>
    <t>sp6</t>
  </si>
  <si>
    <t>sp7</t>
  </si>
  <si>
    <t>sp8</t>
  </si>
  <si>
    <t>sp9</t>
  </si>
  <si>
    <t>Total vegetation</t>
  </si>
  <si>
    <t>Frequency of occurrence within vegetated areas (%)</t>
  </si>
  <si>
    <t>STATS</t>
  </si>
  <si>
    <t>Entry</t>
  </si>
  <si>
    <t>Boat Survey</t>
  </si>
  <si>
    <t>Sampled holding rake pole (P) or rake rope (R)?</t>
  </si>
  <si>
    <t>Depth with some plants (NO ENTRY!)</t>
  </si>
  <si>
    <t>Depths within vegetated range(NO ENTRY!)</t>
  </si>
  <si>
    <t>Frequency of occurrence at sites shallower than maximum depth of plants</t>
  </si>
  <si>
    <t>Total Number Species at Site (NO ENTRY!)</t>
  </si>
  <si>
    <t>Longitude (need electronic copy of site locations)</t>
  </si>
  <si>
    <t>INDIVIDUAL SPECIES STATS:</t>
  </si>
  <si>
    <t>SUMMARY STATS:</t>
  </si>
  <si>
    <t>County</t>
  </si>
  <si>
    <t>WBIC</t>
  </si>
  <si>
    <t>Number of sites sampled using rake on Pole (P)</t>
  </si>
  <si>
    <t>Average number of native species per site (shallower than max depth)</t>
  </si>
  <si>
    <t>Total Number Species at Site (shallower than max depth) (NO ENTRY!) includes exotics</t>
  </si>
  <si>
    <t>Total Number Species - veg sites only (NO ENTRY!)includes exotics</t>
  </si>
  <si>
    <t>Total Number Species - veg sites only (NO ENTRY!) No exotics</t>
  </si>
  <si>
    <t>Average number of all species per site (shallower than max depth)</t>
  </si>
  <si>
    <t>Species Richness (including visuals)</t>
  </si>
  <si>
    <t xml:space="preserve">Species Richness </t>
  </si>
  <si>
    <t>#visual sightings</t>
  </si>
  <si>
    <t>present (visual or collected)</t>
  </si>
  <si>
    <t>Average Rake Fullness</t>
  </si>
  <si>
    <t>Date of Survey</t>
  </si>
  <si>
    <t>Survey Date</t>
  </si>
  <si>
    <r>
      <t>Potamogeton crispus</t>
    </r>
    <r>
      <rPr>
        <sz val="9"/>
        <rFont val="Arial"/>
        <family val="2"/>
      </rPr>
      <t>,Curly-leaf pondweed</t>
    </r>
  </si>
  <si>
    <t>Nearest Point</t>
  </si>
  <si>
    <t xml:space="preserve">Depth (ft) </t>
  </si>
  <si>
    <t>Latitiude (need electronic copy of site locations)</t>
  </si>
  <si>
    <t>Species seen, habitat information</t>
  </si>
  <si>
    <t>Name</t>
  </si>
  <si>
    <t>Date</t>
  </si>
  <si>
    <t>Field Crew</t>
  </si>
  <si>
    <t>Lake</t>
  </si>
  <si>
    <t xml:space="preserve">WBIC </t>
  </si>
  <si>
    <t>ADDITIONAL COMMENTS</t>
  </si>
  <si>
    <t>sp2</t>
  </si>
  <si>
    <t>sp1</t>
  </si>
  <si>
    <t>Total number of sites with vegetation</t>
  </si>
  <si>
    <t>Total number of sites shallower than maximum depth of plants</t>
  </si>
  <si>
    <t>Number of sites sampled using rake on Rope (R)</t>
  </si>
  <si>
    <t>Average number of all species per site (veg. sites only)</t>
  </si>
  <si>
    <t>Average number of native species per site (veg. sites only)</t>
  </si>
  <si>
    <t>Number of sites where species found</t>
  </si>
  <si>
    <t>Section</t>
  </si>
  <si>
    <t>Species</t>
  </si>
  <si>
    <t>Common Name</t>
  </si>
  <si>
    <t>C</t>
  </si>
  <si>
    <t>species present=1</t>
  </si>
  <si>
    <t>Alisma triviale</t>
  </si>
  <si>
    <t>Bolboschoenus fluviatilis</t>
  </si>
  <si>
    <t>Brasenia schreberi</t>
  </si>
  <si>
    <t>Watershield</t>
  </si>
  <si>
    <t>Calla palustris</t>
  </si>
  <si>
    <t>Callitriche hermaphroditica</t>
  </si>
  <si>
    <t>Callitriche heterophylla</t>
  </si>
  <si>
    <t>Callitriche palustris</t>
  </si>
  <si>
    <t>Carex comosa</t>
  </si>
  <si>
    <t>Bottle brush sedge</t>
  </si>
  <si>
    <t>Catabrosa aquatica</t>
  </si>
  <si>
    <t>Brook grass</t>
  </si>
  <si>
    <t>Ceratophyllum demersum</t>
  </si>
  <si>
    <t>Coontail</t>
  </si>
  <si>
    <t>Ceratophyllum echinatum</t>
  </si>
  <si>
    <t>Muskgrasses</t>
  </si>
  <si>
    <t>Dulichium arundinaceum</t>
  </si>
  <si>
    <t>Three-way sedge</t>
  </si>
  <si>
    <t>Elatine minima</t>
  </si>
  <si>
    <t>Waterwort</t>
  </si>
  <si>
    <t>Elatine triandra</t>
  </si>
  <si>
    <t>Eleocharis acicularis</t>
  </si>
  <si>
    <t>Needle spikerush</t>
  </si>
  <si>
    <t>Eleocharis erythropoda</t>
  </si>
  <si>
    <t>Eleocharis palustris</t>
  </si>
  <si>
    <t>Creeping spikerush</t>
  </si>
  <si>
    <t>Elodea canadensis</t>
  </si>
  <si>
    <t>Common waterweed</t>
  </si>
  <si>
    <t>Elodea nuttallii</t>
  </si>
  <si>
    <t>Slender waterweed</t>
  </si>
  <si>
    <t>Equisetum fluviatile</t>
  </si>
  <si>
    <t>Water horsetail</t>
  </si>
  <si>
    <t>Eriocaulon aquaticum</t>
  </si>
  <si>
    <t>Pipewort</t>
  </si>
  <si>
    <t>Glyceria borealis</t>
  </si>
  <si>
    <t>Northern manna grass</t>
  </si>
  <si>
    <t>Gratiola aurea</t>
  </si>
  <si>
    <t>Heteranthera dubia</t>
  </si>
  <si>
    <t>Water star-grass</t>
  </si>
  <si>
    <t>Isoetes echinospora</t>
  </si>
  <si>
    <t>Spiny-spored quillwort</t>
  </si>
  <si>
    <t>Isoetes lacustris</t>
  </si>
  <si>
    <t>Brown-fruited rush</t>
  </si>
  <si>
    <t>Juncus torreyi</t>
  </si>
  <si>
    <t>Torrey's rush</t>
  </si>
  <si>
    <t>Lemna minor</t>
  </si>
  <si>
    <t>Small duckweed</t>
  </si>
  <si>
    <t>Lemna perpusilla</t>
  </si>
  <si>
    <t>Least duckweed</t>
  </si>
  <si>
    <t>Lemna trisulca</t>
  </si>
  <si>
    <t>Littorella</t>
  </si>
  <si>
    <t>Lobelia dortmanna</t>
  </si>
  <si>
    <t>Water lobelia</t>
  </si>
  <si>
    <t>Ludwigia palustris</t>
  </si>
  <si>
    <t>Water marigold</t>
  </si>
  <si>
    <t>Myriophyllum alterniflorum</t>
  </si>
  <si>
    <t>Alternate-flowered water-milfoil</t>
  </si>
  <si>
    <t>Myriophyllum farwellii</t>
  </si>
  <si>
    <t>Farwell's water-milfoil</t>
  </si>
  <si>
    <t>Myriophyllum heterophyllum</t>
  </si>
  <si>
    <t>Various-leaved water-milfoil</t>
  </si>
  <si>
    <t>Northern water-milfoil</t>
  </si>
  <si>
    <t>Myriophyllum tenellum</t>
  </si>
  <si>
    <t>Dwarf water-milfoil</t>
  </si>
  <si>
    <t>Myriophyllum verticillatum</t>
  </si>
  <si>
    <t>Whorled water-milfoil</t>
  </si>
  <si>
    <t>Najas flexilis</t>
  </si>
  <si>
    <t>Najas gracillima</t>
  </si>
  <si>
    <t>Najas guadalupensis</t>
  </si>
  <si>
    <t>Nelumbo lutea</t>
  </si>
  <si>
    <t xml:space="preserve">Nitella </t>
  </si>
  <si>
    <t>Nitella</t>
  </si>
  <si>
    <t>Nuphar advena</t>
  </si>
  <si>
    <t>Yellow pond lily</t>
  </si>
  <si>
    <t>Nuphar microphylla</t>
  </si>
  <si>
    <t>Small pond lily</t>
  </si>
  <si>
    <t>Intermediate pond lily</t>
  </si>
  <si>
    <t>Nuphar variegata</t>
  </si>
  <si>
    <t>Spatterdock</t>
  </si>
  <si>
    <t>Nymphaea odorata</t>
  </si>
  <si>
    <t>White water lily</t>
  </si>
  <si>
    <t>Phragmites australis</t>
  </si>
  <si>
    <t>Common reed</t>
  </si>
  <si>
    <t>Polygonum amphibium</t>
  </si>
  <si>
    <t>Water smartweed</t>
  </si>
  <si>
    <t>Polygonum punctatum</t>
  </si>
  <si>
    <t>Dotted smartweed</t>
  </si>
  <si>
    <t>Pontederia cordata</t>
  </si>
  <si>
    <t>Pickerelweed</t>
  </si>
  <si>
    <t>Potamogeton alpinus</t>
  </si>
  <si>
    <t>Alpine pondweed</t>
  </si>
  <si>
    <t>Potamogeton amplifolius</t>
  </si>
  <si>
    <t>Large-leaf pondweed</t>
  </si>
  <si>
    <t>Potamogeton confervoides</t>
  </si>
  <si>
    <t>Algal-leaved pondweed</t>
  </si>
  <si>
    <t>Potamogeton diversifolius</t>
  </si>
  <si>
    <t>Potamogeton epihydrus</t>
  </si>
  <si>
    <t>Ribbon-leaf pondweed</t>
  </si>
  <si>
    <t>Potamogeton foliosus</t>
  </si>
  <si>
    <t>Leafy pondweed</t>
  </si>
  <si>
    <t>Potamogeton friesii</t>
  </si>
  <si>
    <t>Potamogeton gramineus</t>
  </si>
  <si>
    <t>Potamogeton hillii</t>
  </si>
  <si>
    <t>Hill's pondweed</t>
  </si>
  <si>
    <t>Potamogeton illinoensis</t>
  </si>
  <si>
    <t>Illinois pondweed</t>
  </si>
  <si>
    <t>Potamogeton natans</t>
  </si>
  <si>
    <t>Potamogeton nodosus</t>
  </si>
  <si>
    <t>Long-leaf pondweed</t>
  </si>
  <si>
    <t>Potamogeton oakesianus</t>
  </si>
  <si>
    <t>Potamogeton obtusifolius</t>
  </si>
  <si>
    <t>Blunt-leaf pondweed</t>
  </si>
  <si>
    <t>White-stem pondweed</t>
  </si>
  <si>
    <t>Potamogeton pulcher</t>
  </si>
  <si>
    <t>Spotted pondweed</t>
  </si>
  <si>
    <t>Potamogeton pusillus</t>
  </si>
  <si>
    <t>Small pondweed</t>
  </si>
  <si>
    <t>Potamogeton richardsonii</t>
  </si>
  <si>
    <t>Clasping-leaf pondweed</t>
  </si>
  <si>
    <t>Potamogeton robbinsii</t>
  </si>
  <si>
    <t>Potamogeton spirillus</t>
  </si>
  <si>
    <t>Spiral-fruited pondweed</t>
  </si>
  <si>
    <t>Potamogeton strictifolius</t>
  </si>
  <si>
    <t>Stiff pondweed</t>
  </si>
  <si>
    <t>Potamogeton vaseyi</t>
  </si>
  <si>
    <t>Vasey's pondweed</t>
  </si>
  <si>
    <t>Potamogeton zosteriformis</t>
  </si>
  <si>
    <t>Flat-stem pondweed</t>
  </si>
  <si>
    <t>Ranunculus aquatilis</t>
  </si>
  <si>
    <t>Ranunculus flabellaris</t>
  </si>
  <si>
    <t>Ranunculus flammula</t>
  </si>
  <si>
    <t>Creeping spearwort</t>
  </si>
  <si>
    <t>Riccia fluitans</t>
  </si>
  <si>
    <t>Slender riccia</t>
  </si>
  <si>
    <t>Ditch grass</t>
  </si>
  <si>
    <t>Arum-leaved arrowhead</t>
  </si>
  <si>
    <t>Sagittaria cuneata</t>
  </si>
  <si>
    <t>Midwestern arrowhead</t>
  </si>
  <si>
    <t>Sagittaria graminea</t>
  </si>
  <si>
    <t>Sagittaria latifolia</t>
  </si>
  <si>
    <t>Common arrowhead</t>
  </si>
  <si>
    <t>Sagittaria rigida</t>
  </si>
  <si>
    <t>Schoenoplectus acutus</t>
  </si>
  <si>
    <t>Hardstem bulrush</t>
  </si>
  <si>
    <t>Schoenoplectus heterochaetus</t>
  </si>
  <si>
    <t>Slender bulrush</t>
  </si>
  <si>
    <t>Schoenoplectus pungens</t>
  </si>
  <si>
    <t>Schoenoplectus subterminalis</t>
  </si>
  <si>
    <t>Water bulrush</t>
  </si>
  <si>
    <t>Schoenoplectus tabernaemontani</t>
  </si>
  <si>
    <t>Softstem bulrush</t>
  </si>
  <si>
    <t>Sparganium americanum</t>
  </si>
  <si>
    <t xml:space="preserve">American bur-reed </t>
  </si>
  <si>
    <t>Sparganium androcladum</t>
  </si>
  <si>
    <t xml:space="preserve">Branched bur-reed </t>
  </si>
  <si>
    <t>Sparganium angustifolium</t>
  </si>
  <si>
    <t xml:space="preserve">Narrow-leaved bur-reed </t>
  </si>
  <si>
    <t>Sparganium emersum</t>
  </si>
  <si>
    <t xml:space="preserve">Short-stemmed bur-reed </t>
  </si>
  <si>
    <t>Sparganium eurycarpum</t>
  </si>
  <si>
    <t>Common bur-reed</t>
  </si>
  <si>
    <t>Sparganium fluctuans</t>
  </si>
  <si>
    <t>Sparganium natans</t>
  </si>
  <si>
    <t>Small bur-reed</t>
  </si>
  <si>
    <t>Spirodela polyrhiza</t>
  </si>
  <si>
    <t>Stuckenia filiformis</t>
  </si>
  <si>
    <t>Stuckenia pectinata</t>
  </si>
  <si>
    <t>Stuckenia vaginata</t>
  </si>
  <si>
    <t>Sheathed pondweed</t>
  </si>
  <si>
    <t>Typha angustifolium</t>
  </si>
  <si>
    <t>Narrow-leaved cattail</t>
  </si>
  <si>
    <t>Typha latifolia</t>
  </si>
  <si>
    <t>Broad-leaved cattail</t>
  </si>
  <si>
    <t>Utricularia cornuta</t>
  </si>
  <si>
    <t>Horned bladderwort</t>
  </si>
  <si>
    <t>Utricularia geminiscapa</t>
  </si>
  <si>
    <t>Twin-stemmed bladderwort</t>
  </si>
  <si>
    <t>Utricularia gibba</t>
  </si>
  <si>
    <t>Creeping bladderwort</t>
  </si>
  <si>
    <t>Utricularia intermedia</t>
  </si>
  <si>
    <t>Flat-leaf bladderwort</t>
  </si>
  <si>
    <t>Utricularia minor</t>
  </si>
  <si>
    <t>Utricularia purpurea</t>
  </si>
  <si>
    <t>Large purple bladderwort</t>
  </si>
  <si>
    <t>Utricularia resupinata</t>
  </si>
  <si>
    <t>Small purple bladderwort</t>
  </si>
  <si>
    <t>Utricularia vulgaris</t>
  </si>
  <si>
    <t>Common bladderwort</t>
  </si>
  <si>
    <t>Vallisneria americana</t>
  </si>
  <si>
    <t>Wild celery</t>
  </si>
  <si>
    <t>Wolffia columbiana</t>
  </si>
  <si>
    <t>Common watermeal</t>
  </si>
  <si>
    <t>Zannichellia palustris</t>
  </si>
  <si>
    <t>Zizania aquatica</t>
  </si>
  <si>
    <t>Zizania palustris</t>
  </si>
  <si>
    <t>Northern wild rice</t>
  </si>
  <si>
    <t xml:space="preserve">N </t>
  </si>
  <si>
    <t>mean C</t>
  </si>
  <si>
    <t>Ruppia cirrhosa</t>
  </si>
  <si>
    <t>Horned pondweed</t>
  </si>
  <si>
    <t>Sago pondweed</t>
  </si>
  <si>
    <t>Potamogeton praelongus</t>
  </si>
  <si>
    <t>Juncus pelocarpus f. submersus</t>
  </si>
  <si>
    <t>Southern wild rice</t>
  </si>
  <si>
    <t>DEPTH BIN (FT)</t>
  </si>
  <si>
    <t># SITES (NO ENTRY)</t>
  </si>
  <si>
    <t>Myriophyllum sibiricum</t>
  </si>
  <si>
    <r>
      <t xml:space="preserve">CITATION: </t>
    </r>
    <r>
      <rPr>
        <b/>
        <sz val="12"/>
        <color indexed="8"/>
        <rFont val="Arial"/>
        <family val="2"/>
      </rPr>
      <t xml:space="preserve">Nichols, SA. 1999. Floristic Quality Assessment of Wisconsin Lake Plant Communities with Example Applications. Journal of Lake and Reservoir Management, 15(2):133-141. </t>
    </r>
  </si>
  <si>
    <t>FQI</t>
  </si>
  <si>
    <t>Northern watermeal</t>
  </si>
  <si>
    <t>Spiny hornwort</t>
  </si>
  <si>
    <t>Chara</t>
  </si>
  <si>
    <t>Northern water-plantain</t>
  </si>
  <si>
    <t>River bulrush</t>
  </si>
  <si>
    <t>Wild calla</t>
  </si>
  <si>
    <t>Greater waterwort</t>
  </si>
  <si>
    <t>Bald spikerush</t>
  </si>
  <si>
    <t>Variable pondweed</t>
  </si>
  <si>
    <t>Small bladderwort</t>
  </si>
  <si>
    <t>Forked duckweed</t>
  </si>
  <si>
    <t>Marsh purslane</t>
  </si>
  <si>
    <t>American lotus</t>
  </si>
  <si>
    <r>
      <t xml:space="preserve">Nuphar </t>
    </r>
    <r>
      <rPr>
        <sz val="11"/>
        <color indexed="8"/>
        <rFont val="Arial"/>
        <family val="2"/>
      </rPr>
      <t xml:space="preserve">X </t>
    </r>
    <r>
      <rPr>
        <i/>
        <sz val="11"/>
        <color indexed="8"/>
        <rFont val="Arial"/>
        <family val="2"/>
      </rPr>
      <t>rubrodisca</t>
    </r>
  </si>
  <si>
    <t>Potamogeton bicupulatus</t>
  </si>
  <si>
    <t>Water-thread pondweed</t>
  </si>
  <si>
    <t>Floating-leaf pondweed</t>
  </si>
  <si>
    <t>Fine-leaved pondweed</t>
  </si>
  <si>
    <t>Large duckweed</t>
  </si>
  <si>
    <t>Grass-leaved arrowhead</t>
  </si>
  <si>
    <t>Sessile-fruited arrowhead</t>
  </si>
  <si>
    <t>Sweet-flag</t>
  </si>
  <si>
    <t>Acorus americanus</t>
  </si>
  <si>
    <t>Autumnal water-starwort</t>
  </si>
  <si>
    <t>Large water-starwort</t>
  </si>
  <si>
    <t>Common water-starwort</t>
  </si>
  <si>
    <t>Golden hedge-hyssop</t>
  </si>
  <si>
    <t>Lake quillwort</t>
  </si>
  <si>
    <t>Littorella uniflora</t>
  </si>
  <si>
    <t>Southern naiad</t>
  </si>
  <si>
    <t>Northern naiad</t>
  </si>
  <si>
    <t>Slender naiad</t>
  </si>
  <si>
    <t>Fries' pondweed</t>
  </si>
  <si>
    <t>Oakes' pondweed</t>
  </si>
  <si>
    <t>Fern pondweed</t>
  </si>
  <si>
    <t>White water crowfoot</t>
  </si>
  <si>
    <t>Yellow water crowfoot</t>
  </si>
  <si>
    <t>Sagittaria brevirostra</t>
  </si>
  <si>
    <r>
      <t xml:space="preserve">CITATION: </t>
    </r>
    <r>
      <rPr>
        <b/>
        <sz val="12"/>
        <color indexed="8"/>
        <rFont val="Arial"/>
        <family val="2"/>
      </rPr>
      <t>University of Wisconsin-Madison, 2001. Wisconsin Floristic Quality Assessment (WFQA). Retrived October 27, 2009 from: http://www.botany.wisc.edu/WFQA.asp</t>
    </r>
  </si>
  <si>
    <t>Floating-leaf bur-reed</t>
  </si>
  <si>
    <t>Three-square bulrush</t>
  </si>
  <si>
    <r>
      <t xml:space="preserve">Zizania </t>
    </r>
    <r>
      <rPr>
        <sz val="11"/>
        <color indexed="8"/>
        <rFont val="Arial"/>
        <family val="2"/>
      </rPr>
      <t>sp.</t>
    </r>
  </si>
  <si>
    <t>Wild rice</t>
  </si>
  <si>
    <r>
      <t xml:space="preserve">Typha </t>
    </r>
    <r>
      <rPr>
        <sz val="11"/>
        <color indexed="8"/>
        <rFont val="Arial"/>
        <family val="2"/>
      </rPr>
      <t>sp.</t>
    </r>
  </si>
  <si>
    <t>Cattail</t>
  </si>
  <si>
    <r>
      <t xml:space="preserve">Isoetes </t>
    </r>
    <r>
      <rPr>
        <sz val="11"/>
        <color indexed="8"/>
        <rFont val="Arial"/>
        <family val="2"/>
      </rPr>
      <t>sp.</t>
    </r>
  </si>
  <si>
    <t>Quillwort</t>
  </si>
  <si>
    <t>Wolffia borealis</t>
  </si>
  <si>
    <t>Bidens beckii</t>
  </si>
  <si>
    <t>Click on the outermost portion of the graph, and adjust the selection box in Column A.</t>
  </si>
  <si>
    <r>
      <t>Note:</t>
    </r>
    <r>
      <rPr>
        <sz val="11"/>
        <rFont val="Arial"/>
        <family val="2"/>
      </rPr>
      <t xml:space="preserve"> The X-axis (Depth Bin) can be scaled to better fit the plant distribution data.</t>
    </r>
  </si>
  <si>
    <t>Total number of sites visited</t>
  </si>
  <si>
    <t>Township</t>
  </si>
  <si>
    <t>Range</t>
  </si>
  <si>
    <t>Matthew S. Berg</t>
  </si>
  <si>
    <t>Alisma triviale,Northern water-plantain</t>
  </si>
  <si>
    <t>Bolboschoenus fluviatilis,River bulrush</t>
  </si>
  <si>
    <t>Total Number Species at Site (shallower than max depth) (NO ENTRY!),no exotics</t>
  </si>
  <si>
    <t>Dominant sediment type (M=muck,S=Sand,R=Rock)</t>
  </si>
  <si>
    <t>Myriophyllum spicatum,Eurasian water-milfoil or Hybrid water-milfoil</t>
  </si>
  <si>
    <t>Acorus americanus,Sweet-flag</t>
  </si>
  <si>
    <t>Brasenia schreberi,Watershield</t>
  </si>
  <si>
    <t>Calla palustris,Wild calla</t>
  </si>
  <si>
    <t>Callitriche hermaphroditica,Autumnal water-starwort</t>
  </si>
  <si>
    <t>Callitriche heterophylla,Large water-starwort</t>
  </si>
  <si>
    <t>Callitriche palustris,Common water-starwort</t>
  </si>
  <si>
    <t>Carex comosa,Bottle brush sedge</t>
  </si>
  <si>
    <t>Catabrosa aquatica,Brook grass</t>
  </si>
  <si>
    <t>Ceratophyllum demersum,Coontail</t>
  </si>
  <si>
    <t>Ceratophyllum echinatum,Spiny hornwort</t>
  </si>
  <si>
    <t>Comarum palustre,Marsh cinquefoil</t>
  </si>
  <si>
    <t>Decodon verticillatus,Swamp loosestrife</t>
  </si>
  <si>
    <t>Dulichium arundinaceum,Three-way sedge</t>
  </si>
  <si>
    <t>Elatine minima,Waterwort</t>
  </si>
  <si>
    <t>Elatine triandra,Greater waterwort</t>
  </si>
  <si>
    <t>Eleocharis acicularis,Needle spikerush</t>
  </si>
  <si>
    <t>Eleocharis erythropoda,Bald spikerush</t>
  </si>
  <si>
    <t>Eleocharis palustris,Creeping spikerush</t>
  </si>
  <si>
    <t>Eleocharis robbinsii,Robbins' spikerush</t>
  </si>
  <si>
    <t>Elodea canadensis,Common waterweed</t>
  </si>
  <si>
    <t>Elodea nuttallii,Slender waterweed</t>
  </si>
  <si>
    <t>Equisetum fluviatile,Water horsetail</t>
  </si>
  <si>
    <t>Eriocaulon aquaticum,Pipewort</t>
  </si>
  <si>
    <t>Glyceria borealis,Northern manna grass</t>
  </si>
  <si>
    <t>Gratiola aurea,Golden hedge-hyssop</t>
  </si>
  <si>
    <t>Heteranthera dubia,Water star-grass</t>
  </si>
  <si>
    <t>Iris versicolor,Northern blue flag</t>
  </si>
  <si>
    <t>Iris virginica,Southern blue flag</t>
  </si>
  <si>
    <t>Isoetes echinospora,Spiny spored-quillwort</t>
  </si>
  <si>
    <t>Isoetes lacustris,Lake quillwort</t>
  </si>
  <si>
    <t>Isoetes sp.,Quillwort</t>
  </si>
  <si>
    <t>Juncus pelocarpus f. submersus,Brown-fruited rush</t>
  </si>
  <si>
    <t>Juncus torreyi,Torrey's rush</t>
  </si>
  <si>
    <t>Lemna minor,Small duckweed</t>
  </si>
  <si>
    <t>Lemna perpusilla,Least duckweed</t>
  </si>
  <si>
    <t>Lemna trisulca,Forked duckweed</t>
  </si>
  <si>
    <t>Littorella uniflora,Littorella</t>
  </si>
  <si>
    <t>Lobelia dortmanna,Water lobelia</t>
  </si>
  <si>
    <t>Ludwigia palustris,Marsh purslane</t>
  </si>
  <si>
    <t>Lythrum salicaria,Purple loosestrife</t>
  </si>
  <si>
    <t>Myriophyllum alterniflorum,Alternate-flowered water-milfoil</t>
  </si>
  <si>
    <t>Myriophyllum farwellii,Farwell's water-milfoil</t>
  </si>
  <si>
    <t>Myriophyllum heterophyllum,Various-leaved water-milfoil</t>
  </si>
  <si>
    <t>Myriophyllum sibiricum,Northern water-milfoil</t>
  </si>
  <si>
    <t>Myriophyllum tenellum,Dwarf water-milfoil</t>
  </si>
  <si>
    <t>Myriophyllum verticillatum,Whorled water-milfoil</t>
  </si>
  <si>
    <t>Najas flexilis,Slender naiad</t>
  </si>
  <si>
    <t>Najas gracillima,Northern naiad</t>
  </si>
  <si>
    <t>Najas guadalupensis,Southern naiad</t>
  </si>
  <si>
    <t>Najas marina,Spiny naiad</t>
  </si>
  <si>
    <t>Nelumbo lutea,American lotus</t>
  </si>
  <si>
    <t>Nitella sp.,Nitella</t>
  </si>
  <si>
    <t>Nuphar advena,Yellow pond lily</t>
  </si>
  <si>
    <t>Nuphar microphylla,Small pond lily</t>
  </si>
  <si>
    <t>Nuphar X rubrodisca,Intermediate pond lily</t>
  </si>
  <si>
    <t>Nuphar variegata,Spatterdock</t>
  </si>
  <si>
    <t>Nymphaea odorata,White water lily</t>
  </si>
  <si>
    <t>Phalaris arundinacea,Reed canary grass</t>
  </si>
  <si>
    <t>Phragmites australis,Common reed</t>
  </si>
  <si>
    <t>Polygonum amphibium,Water smartweed</t>
  </si>
  <si>
    <t>Polygonum punctatum,Dotted smartweed</t>
  </si>
  <si>
    <t>Pontederia cordata,Pickerelweed</t>
  </si>
  <si>
    <t>Potamogeton alpinus,Alpine pondweed</t>
  </si>
  <si>
    <t>Potamogeton amplifolius,Large-leaf pondweed</t>
  </si>
  <si>
    <t>Potamogeton bicupulatus,Snail-seed pondweed</t>
  </si>
  <si>
    <t>Potamogeton confervoides,Algal-leaved pondweed</t>
  </si>
  <si>
    <t>Potamogeton diversifolius,Water-thread pondweed</t>
  </si>
  <si>
    <t>Potamogeton epihydrus,Ribbon-leaf pondweed</t>
  </si>
  <si>
    <t>Potamogeton foliosus,Leafy pondweed</t>
  </si>
  <si>
    <t>Potamogeton friesii,Fries' pondweed</t>
  </si>
  <si>
    <t>Potamogeton gramineus,Variable pondweed</t>
  </si>
  <si>
    <t>Potamogeton hillii,Hill's pondweed</t>
  </si>
  <si>
    <t>Potamogeton illinoensis,Illinois pondweed</t>
  </si>
  <si>
    <t>Potamogeton natans,Floating-leaf pondweed</t>
  </si>
  <si>
    <t>Potamogeton nodosus,Long-leaf pondweed</t>
  </si>
  <si>
    <t>Potamogeton oakesianus,Oakes' pondweed</t>
  </si>
  <si>
    <t>Potamogeton obtusifolius,Blunt-leaf pondweed</t>
  </si>
  <si>
    <t>Potamogeton praelongus,White-stem pondweed</t>
  </si>
  <si>
    <t>Potamogeton pulcher,Spotted pondweed</t>
  </si>
  <si>
    <t>Potamogeton pusillus,Small pondweed</t>
  </si>
  <si>
    <t>Potamogeton richardsonii,Clasping-leaf pondweed</t>
  </si>
  <si>
    <t>Potamogeton robbinsii,Fern pondweed</t>
  </si>
  <si>
    <t>Potamogeton spirillus,Spiral-fruited pondweed</t>
  </si>
  <si>
    <t>Potamogeton strictifolius,Stiff pondweed</t>
  </si>
  <si>
    <t>Potamogeton vaseyi,Vasey's pondweed</t>
  </si>
  <si>
    <t>Potamogeton zosteriformis,Flat-stem pondweed</t>
  </si>
  <si>
    <t>Ranunculus aquatilis,White water crowfoot</t>
  </si>
  <si>
    <t>Ranunculus flabellaris,Yellow water crowfoot</t>
  </si>
  <si>
    <t>Ranunculus flammula,Creeping spearwort</t>
  </si>
  <si>
    <t>Ruppia cirrhosa,Ditch grass</t>
  </si>
  <si>
    <t>Sagittaria brevirostra,Midwestern arrowhead</t>
  </si>
  <si>
    <t>Sagittaria cristata,Crested arrowhead</t>
  </si>
  <si>
    <t>Sagittaria cuneata,Arum-leaved arrowhead</t>
  </si>
  <si>
    <t>Sagittaria graminea,Grass-leaved arrowhead</t>
  </si>
  <si>
    <t>Sagittaria latifolia,Common arrowhead</t>
  </si>
  <si>
    <t>Sagittaria rigida,Sessile-fruited arrowhead</t>
  </si>
  <si>
    <t>Sagittaria sp.,Arrowhead</t>
  </si>
  <si>
    <t>Schoenoplectus acutus,Hardstem bulrush</t>
  </si>
  <si>
    <t>Schoenoplectus heterochaetus,Slender bulrush</t>
  </si>
  <si>
    <t>Schoenoplectus pungens,Three-square bulrush</t>
  </si>
  <si>
    <t>Schoenoplectus subterminalis,Water bulrush</t>
  </si>
  <si>
    <t>Schoenoplectus tabernaemontani,Softstem bulrush</t>
  </si>
  <si>
    <t>Sparganium americanum,American bur-reed</t>
  </si>
  <si>
    <t>Sparganium androcladum,Branched bur-reed</t>
  </si>
  <si>
    <t>Sparganium angustifolium,Narrow-leaved bur-reed</t>
  </si>
  <si>
    <t>Sparganium emersum,Short-stemmed bur-reed</t>
  </si>
  <si>
    <t>Sparganium eurycarpum,Common bur-reed</t>
  </si>
  <si>
    <t>Sparganium fluctuans,Floating-leaf bur-reed</t>
  </si>
  <si>
    <t>Sparganium natans,Small bur-reed</t>
  </si>
  <si>
    <t>Sparganium sp.,Bur-reed</t>
  </si>
  <si>
    <t>Spirodela polyrhiza,Large duckweed</t>
  </si>
  <si>
    <t>Stuckenia filiformis,Fine-leaved pondweed</t>
  </si>
  <si>
    <t>Stuckenia pectinata,Sago pondweed</t>
  </si>
  <si>
    <t>Stuckenia vaginata,Sheathed pondweed</t>
  </si>
  <si>
    <t>Typha angustifolia,Narrow-leaved cattail</t>
  </si>
  <si>
    <t>Typha latifolia,Broad-leaved cattail</t>
  </si>
  <si>
    <t>Typha sp.,Cattail</t>
  </si>
  <si>
    <t>Utricularia cornuta,Horned pondweed</t>
  </si>
  <si>
    <t>Utricularia geminiscapa,Twin-stemmed bladderwort</t>
  </si>
  <si>
    <t>Utricularia gibba,Creeping bladderwort</t>
  </si>
  <si>
    <t>Utricularia intermedia,Flat-leaf bladderwort</t>
  </si>
  <si>
    <t>Utricularia minor,Small bladderwort</t>
  </si>
  <si>
    <t>Utricularia purpurea,Large purple bladderwort</t>
  </si>
  <si>
    <t>Utricularia resupinata,Small purple bladderwort</t>
  </si>
  <si>
    <t>Utricularia vulgaris,Common bladderwort</t>
  </si>
  <si>
    <t>Vallisneria americana,Wild celery</t>
  </si>
  <si>
    <t>Wolffia borealis,Northern watermeal</t>
  </si>
  <si>
    <t>Wolffia columbiana,Common watermeal</t>
  </si>
  <si>
    <t>Zannichellia palustris,Horned pondweed</t>
  </si>
  <si>
    <t>Zizania aquatica,Southern wild rice</t>
  </si>
  <si>
    <t>Zizania palustris,Northern wild rice</t>
  </si>
  <si>
    <t>Zizania sp.,Wild rice</t>
  </si>
  <si>
    <t>Riccia fluitans,Slender riccia</t>
  </si>
  <si>
    <t xml:space="preserve">Ricciocarpus natans,Purple-fringed riccia </t>
  </si>
  <si>
    <t>Sagittaria cristata</t>
  </si>
  <si>
    <t>Crested arrowhead</t>
  </si>
  <si>
    <t>Mean depth of plants (ft)</t>
  </si>
  <si>
    <t>Median depth of plants (ft)</t>
  </si>
  <si>
    <t>Species Richness (including visuals and boat survey)</t>
  </si>
  <si>
    <t>Bidens beckii,Water marigold</t>
  </si>
  <si>
    <t>Mean rake fullness (veg. sites only)</t>
  </si>
  <si>
    <t>Chara sp.,Muskgrass</t>
  </si>
  <si>
    <t>Total_Rake_Fullness</t>
  </si>
  <si>
    <t>Snail-seed pondweed</t>
  </si>
  <si>
    <t>,Aquatic moss</t>
  </si>
  <si>
    <t>,Freshwater sponge</t>
  </si>
  <si>
    <t>,Filamentous algae</t>
  </si>
  <si>
    <r>
      <t>Myriophyllum spicatum</t>
    </r>
    <r>
      <rPr>
        <sz val="9"/>
        <rFont val="Times New Roman"/>
        <family val="1"/>
      </rPr>
      <t>,Eurasian water milfoil</t>
    </r>
  </si>
  <si>
    <r>
      <t>Potamogeton crispus</t>
    </r>
    <r>
      <rPr>
        <sz val="9"/>
        <rFont val="Times New Roman"/>
        <family val="1"/>
      </rPr>
      <t xml:space="preserve">,Curly-leaf pondweed </t>
    </r>
  </si>
  <si>
    <r>
      <t>Maximum depth of plants (ft)</t>
    </r>
    <r>
      <rPr>
        <b/>
        <sz val="12"/>
        <rFont val="Times New Roman"/>
        <family val="1"/>
      </rPr>
      <t xml:space="preserve">** </t>
    </r>
  </si>
  <si>
    <r>
      <t>**</t>
    </r>
    <r>
      <rPr>
        <b/>
        <sz val="10"/>
        <rFont val="Times New Roman"/>
        <family val="1"/>
      </rPr>
      <t>SEE "MAX DEPTH GRAPH" WORKSHEET TO CONFIRM</t>
    </r>
  </si>
  <si>
    <t>S</t>
  </si>
  <si>
    <t>M</t>
  </si>
  <si>
    <t>R</t>
  </si>
  <si>
    <t>P</t>
  </si>
  <si>
    <t/>
  </si>
  <si>
    <t>present</t>
  </si>
  <si>
    <t>Potamogeton crispus</t>
  </si>
  <si>
    <t xml:space="preserve">Curly-leaf pondweed </t>
  </si>
  <si>
    <t>Muskgrass</t>
  </si>
  <si>
    <t>Filamentous algae</t>
  </si>
  <si>
    <t>*</t>
  </si>
  <si>
    <t>* Excluded from relative frequency analysis</t>
  </si>
  <si>
    <t>ID</t>
  </si>
  <si>
    <t>Longitude</t>
  </si>
  <si>
    <t>Depth</t>
  </si>
  <si>
    <t>Littoral_Zone</t>
  </si>
  <si>
    <t>Littoral_Zone_with_Plants</t>
  </si>
  <si>
    <t>Native_Species_Richness</t>
  </si>
  <si>
    <t>Ceratophyllum_demersum_Coontail</t>
  </si>
  <si>
    <t>Elodea_canadensis_Common_waterweed</t>
  </si>
  <si>
    <t>Heteranthera_dubia_Water_star_grass</t>
  </si>
  <si>
    <t>Lemna_trisulca_Forked_duckweed</t>
  </si>
  <si>
    <t>Myriophyllum_sibiricum_Northern_water_milfoil</t>
  </si>
  <si>
    <t>Filamentous_algae</t>
  </si>
  <si>
    <t>Substrate</t>
  </si>
  <si>
    <t>Potamogeton_pusillus_Small_pondweed</t>
  </si>
  <si>
    <t>Chara_sp__Muskgrass</t>
  </si>
  <si>
    <t>Barron</t>
  </si>
  <si>
    <t>Lower Vermillion</t>
  </si>
  <si>
    <t>Hallie M. Jensen</t>
  </si>
  <si>
    <t>V</t>
  </si>
  <si>
    <t>Myriophyllum spicatum</t>
  </si>
  <si>
    <t>Eurasian water milfoil</t>
  </si>
  <si>
    <t>Aquatic moss</t>
  </si>
  <si>
    <r>
      <t>Chara</t>
    </r>
    <r>
      <rPr>
        <sz val="10"/>
        <rFont val="Times New Roman"/>
        <family val="1"/>
      </rPr>
      <t xml:space="preserve"> sp.</t>
    </r>
  </si>
  <si>
    <t>Lattitude</t>
  </si>
  <si>
    <t>EWM</t>
  </si>
  <si>
    <t>CLP</t>
  </si>
  <si>
    <t>Aquatic_moss</t>
  </si>
  <si>
    <t>Najas_flexilis_Slender_naiad</t>
  </si>
  <si>
    <t>Nuphar_variegata_Spatterdock</t>
  </si>
  <si>
    <t>Potamogeton_gramineus_Variable_pondweed</t>
  </si>
  <si>
    <t>Ranunculus_aquatilis_White_water_crowfoot</t>
  </si>
  <si>
    <t>Stuckenia_pectinata_Sago_pondweed</t>
  </si>
  <si>
    <t>Vallisneria_americana_Wild_celery</t>
  </si>
  <si>
    <t>Potamogeton_friesii_Fries__pondweed</t>
  </si>
  <si>
    <t>Potamogeton_richardsonii_Clasping_leaf_pondweed</t>
  </si>
  <si>
    <t>Potamogeton_zosteriformis_Flat_stem_pondweed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</si>
</sst>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82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2" xfId="0" applyBorder="1" applyAlignment="1" applyProtection="1">
      <alignment textRotation="45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textRotation="45"/>
      <protection locked="0"/>
    </xf>
    <xf numFmtId="0" fontId="7" fillId="0" borderId="2" xfId="0" applyFont="1" applyBorder="1" applyAlignment="1" applyProtection="1">
      <alignment textRotation="45"/>
      <protection locked="0"/>
    </xf>
    <xf numFmtId="0" fontId="0" fillId="0" borderId="4" xfId="0" applyBorder="1" applyAlignment="1" applyProtection="1">
      <alignment textRotation="45"/>
      <protection locked="0"/>
    </xf>
    <xf numFmtId="0" fontId="0" fillId="2" borderId="2" xfId="0" applyFill="1" applyBorder="1" applyProtection="1">
      <protection locked="0"/>
    </xf>
    <xf numFmtId="0" fontId="10" fillId="0" borderId="0" xfId="0" applyFont="1"/>
    <xf numFmtId="0" fontId="8" fillId="2" borderId="2" xfId="0" applyFont="1" applyFill="1" applyBorder="1" applyAlignment="1" applyProtection="1">
      <alignment textRotation="45" wrapText="1"/>
      <protection locked="0"/>
    </xf>
    <xf numFmtId="0" fontId="0" fillId="0" borderId="0" xfId="0" applyFill="1" applyProtection="1">
      <protection locked="0"/>
    </xf>
    <xf numFmtId="0" fontId="0" fillId="0" borderId="5" xfId="0" applyBorder="1" applyAlignment="1" applyProtection="1">
      <alignment textRotation="45"/>
      <protection locked="0"/>
    </xf>
    <xf numFmtId="0" fontId="0" fillId="3" borderId="2" xfId="0" applyFill="1" applyBorder="1" applyProtection="1"/>
    <xf numFmtId="0" fontId="0" fillId="0" borderId="0" xfId="0" applyFill="1" applyBorder="1" applyProtection="1">
      <protection locked="0"/>
    </xf>
    <xf numFmtId="0" fontId="0" fillId="0" borderId="0" xfId="0" applyFill="1" applyBorder="1"/>
    <xf numFmtId="0" fontId="6" fillId="0" borderId="4" xfId="0" applyFont="1" applyBorder="1" applyAlignment="1" applyProtection="1">
      <protection locked="0"/>
    </xf>
    <xf numFmtId="0" fontId="1" fillId="0" borderId="2" xfId="0" applyFont="1" applyFill="1" applyBorder="1" applyAlignment="1" applyProtection="1">
      <alignment textRotation="45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4" borderId="2" xfId="0" applyFont="1" applyFill="1" applyBorder="1" applyAlignment="1" applyProtection="1">
      <alignment textRotation="45" wrapText="1"/>
      <protection hidden="1"/>
    </xf>
    <xf numFmtId="0" fontId="4" fillId="4" borderId="2" xfId="0" applyFont="1" applyFill="1" applyBorder="1" applyAlignment="1" applyProtection="1">
      <alignment textRotation="45" wrapText="1"/>
      <protection hidden="1"/>
    </xf>
    <xf numFmtId="0" fontId="0" fillId="4" borderId="2" xfId="0" applyFill="1" applyBorder="1" applyAlignment="1" applyProtection="1">
      <alignment textRotation="45"/>
      <protection hidden="1"/>
    </xf>
    <xf numFmtId="0" fontId="0" fillId="4" borderId="2" xfId="0" applyFill="1" applyBorder="1" applyProtection="1">
      <protection hidden="1"/>
    </xf>
    <xf numFmtId="0" fontId="0" fillId="0" borderId="6" xfId="0" applyBorder="1"/>
    <xf numFmtId="0" fontId="0" fillId="0" borderId="0" xfId="0" applyAlignment="1">
      <alignment horizontal="right"/>
    </xf>
    <xf numFmtId="0" fontId="5" fillId="0" borderId="0" xfId="0" applyFont="1"/>
    <xf numFmtId="0" fontId="12" fillId="0" borderId="0" xfId="3" applyFont="1" applyFill="1" applyBorder="1" applyAlignment="1">
      <alignment horizontal="left" wrapText="1"/>
    </xf>
    <xf numFmtId="0" fontId="15" fillId="0" borderId="0" xfId="0" applyFont="1"/>
    <xf numFmtId="0" fontId="16" fillId="0" borderId="0" xfId="3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6" fillId="0" borderId="0" xfId="2" applyFont="1" applyFill="1" applyBorder="1" applyAlignment="1"/>
    <xf numFmtId="0" fontId="16" fillId="0" borderId="2" xfId="2" applyFont="1" applyFill="1" applyBorder="1" applyAlignment="1">
      <alignment horizontal="left" wrapText="1"/>
    </xf>
    <xf numFmtId="0" fontId="16" fillId="0" borderId="0" xfId="3" applyFont="1" applyFill="1" applyBorder="1" applyAlignment="1">
      <alignment horizontal="left" wrapText="1"/>
    </xf>
    <xf numFmtId="1" fontId="16" fillId="0" borderId="0" xfId="3" applyNumberFormat="1" applyFont="1" applyFill="1" applyBorder="1" applyAlignment="1">
      <alignment wrapText="1"/>
    </xf>
    <xf numFmtId="0" fontId="15" fillId="0" borderId="0" xfId="0" applyFont="1" applyBorder="1" applyAlignment="1"/>
    <xf numFmtId="1" fontId="15" fillId="0" borderId="0" xfId="0" applyNumberFormat="1" applyFont="1" applyAlignme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2" xfId="0" applyFont="1" applyBorder="1"/>
    <xf numFmtId="0" fontId="16" fillId="0" borderId="2" xfId="0" applyFont="1" applyBorder="1" applyAlignment="1">
      <alignment horizontal="left" vertical="top" wrapText="1"/>
    </xf>
    <xf numFmtId="0" fontId="16" fillId="0" borderId="2" xfId="3" applyFont="1" applyFill="1" applyBorder="1" applyAlignment="1">
      <alignment horizontal="left" wrapText="1"/>
    </xf>
    <xf numFmtId="0" fontId="16" fillId="0" borderId="2" xfId="0" applyFont="1" applyBorder="1"/>
    <xf numFmtId="0" fontId="15" fillId="0" borderId="2" xfId="0" applyFont="1" applyBorder="1" applyAlignment="1">
      <alignment horizontal="left" wrapText="1"/>
    </xf>
    <xf numFmtId="0" fontId="15" fillId="0" borderId="2" xfId="3" applyFont="1" applyFill="1" applyBorder="1" applyAlignment="1">
      <alignment horizontal="left" wrapText="1"/>
    </xf>
    <xf numFmtId="0" fontId="8" fillId="0" borderId="2" xfId="0" applyFont="1" applyFill="1" applyBorder="1" applyAlignment="1" applyProtection="1">
      <alignment textRotation="45" wrapText="1"/>
      <protection locked="0"/>
    </xf>
    <xf numFmtId="0" fontId="19" fillId="0" borderId="7" xfId="2" applyFont="1" applyFill="1" applyBorder="1" applyAlignment="1">
      <alignment horizontal="left" wrapText="1"/>
    </xf>
    <xf numFmtId="1" fontId="16" fillId="0" borderId="8" xfId="2" applyNumberFormat="1" applyFont="1" applyFill="1" applyBorder="1" applyAlignment="1">
      <alignment wrapText="1"/>
    </xf>
    <xf numFmtId="0" fontId="19" fillId="0" borderId="7" xfId="3" applyFont="1" applyFill="1" applyBorder="1" applyAlignment="1">
      <alignment horizontal="left" wrapText="1"/>
    </xf>
    <xf numFmtId="1" fontId="16" fillId="0" borderId="8" xfId="3" applyNumberFormat="1" applyFont="1" applyFill="1" applyBorder="1" applyAlignment="1">
      <alignment wrapText="1"/>
    </xf>
    <xf numFmtId="0" fontId="20" fillId="0" borderId="7" xfId="3" applyFont="1" applyFill="1" applyBorder="1" applyAlignment="1">
      <alignment horizontal="left" wrapText="1"/>
    </xf>
    <xf numFmtId="1" fontId="15" fillId="0" borderId="8" xfId="3" applyNumberFormat="1" applyFont="1" applyFill="1" applyBorder="1" applyAlignment="1">
      <alignment wrapText="1"/>
    </xf>
    <xf numFmtId="0" fontId="19" fillId="0" borderId="9" xfId="3" applyFont="1" applyFill="1" applyBorder="1" applyAlignment="1">
      <alignment horizontal="left" wrapText="1"/>
    </xf>
    <xf numFmtId="0" fontId="15" fillId="0" borderId="10" xfId="0" applyFont="1" applyBorder="1"/>
    <xf numFmtId="1" fontId="16" fillId="0" borderId="11" xfId="3" applyNumberFormat="1" applyFont="1" applyFill="1" applyBorder="1" applyAlignment="1">
      <alignment wrapText="1"/>
    </xf>
    <xf numFmtId="0" fontId="19" fillId="0" borderId="12" xfId="2" applyFont="1" applyFill="1" applyBorder="1" applyAlignment="1">
      <alignment horizontal="left" wrapText="1"/>
    </xf>
    <xf numFmtId="0" fontId="16" fillId="0" borderId="13" xfId="2" applyFont="1" applyFill="1" applyBorder="1" applyAlignment="1">
      <alignment horizontal="left" wrapText="1"/>
    </xf>
    <xf numFmtId="1" fontId="16" fillId="0" borderId="14" xfId="2" applyNumberFormat="1" applyFont="1" applyFill="1" applyBorder="1" applyAlignment="1">
      <alignment wrapText="1"/>
    </xf>
    <xf numFmtId="0" fontId="17" fillId="0" borderId="15" xfId="3" applyFont="1" applyFill="1" applyBorder="1" applyAlignment="1">
      <alignment horizontal="center"/>
    </xf>
    <xf numFmtId="0" fontId="17" fillId="0" borderId="16" xfId="3" applyFont="1" applyFill="1" applyBorder="1" applyAlignment="1">
      <alignment horizontal="center"/>
    </xf>
    <xf numFmtId="0" fontId="17" fillId="0" borderId="17" xfId="2" applyFont="1" applyFill="1" applyBorder="1" applyAlignment="1">
      <alignment horizontal="center"/>
    </xf>
    <xf numFmtId="0" fontId="15" fillId="0" borderId="18" xfId="0" applyFont="1" applyBorder="1" applyAlignment="1"/>
    <xf numFmtId="1" fontId="16" fillId="0" borderId="19" xfId="2" applyNumberFormat="1" applyFont="1" applyFill="1" applyBorder="1" applyAlignment="1">
      <alignment wrapText="1"/>
    </xf>
    <xf numFmtId="1" fontId="16" fillId="0" borderId="20" xfId="2" applyNumberFormat="1" applyFont="1" applyFill="1" applyBorder="1" applyAlignment="1">
      <alignment wrapText="1"/>
    </xf>
    <xf numFmtId="1" fontId="16" fillId="0" borderId="21" xfId="2" applyNumberFormat="1" applyFont="1" applyFill="1" applyBorder="1" applyAlignment="1">
      <alignment wrapText="1"/>
    </xf>
    <xf numFmtId="1" fontId="16" fillId="0" borderId="22" xfId="2" applyNumberFormat="1" applyFont="1" applyFill="1" applyBorder="1" applyAlignment="1">
      <alignment wrapText="1"/>
    </xf>
    <xf numFmtId="0" fontId="17" fillId="0" borderId="23" xfId="3" applyFont="1" applyFill="1" applyBorder="1" applyAlignment="1">
      <alignment horizontal="center"/>
    </xf>
    <xf numFmtId="0" fontId="16" fillId="5" borderId="24" xfId="3" applyFont="1" applyFill="1" applyBorder="1" applyAlignment="1">
      <alignment horizontal="left" wrapText="1"/>
    </xf>
    <xf numFmtId="0" fontId="15" fillId="6" borderId="24" xfId="0" applyFont="1" applyFill="1" applyBorder="1" applyAlignment="1"/>
    <xf numFmtId="0" fontId="15" fillId="6" borderId="24" xfId="0" applyFont="1" applyFill="1" applyBorder="1"/>
    <xf numFmtId="0" fontId="24" fillId="0" borderId="0" xfId="3" applyFont="1" applyFill="1" applyBorder="1" applyAlignment="1">
      <alignment horizontal="left" wrapText="1"/>
    </xf>
    <xf numFmtId="0" fontId="24" fillId="5" borderId="25" xfId="3" applyFont="1" applyFill="1" applyBorder="1" applyAlignment="1">
      <alignment horizontal="left" wrapText="1"/>
    </xf>
    <xf numFmtId="0" fontId="25" fillId="0" borderId="26" xfId="0" applyFont="1" applyBorder="1"/>
    <xf numFmtId="0" fontId="26" fillId="0" borderId="27" xfId="0" applyFont="1" applyBorder="1"/>
    <xf numFmtId="0" fontId="26" fillId="0" borderId="28" xfId="0" applyFont="1" applyBorder="1"/>
    <xf numFmtId="0" fontId="26" fillId="0" borderId="29" xfId="0" applyFont="1" applyBorder="1"/>
    <xf numFmtId="0" fontId="26" fillId="0" borderId="6" xfId="0" applyFont="1" applyBorder="1"/>
    <xf numFmtId="0" fontId="26" fillId="0" borderId="30" xfId="0" applyFont="1" applyBorder="1"/>
    <xf numFmtId="0" fontId="0" fillId="0" borderId="31" xfId="0" applyBorder="1"/>
    <xf numFmtId="0" fontId="0" fillId="0" borderId="32" xfId="0" applyBorder="1"/>
    <xf numFmtId="0" fontId="18" fillId="0" borderId="0" xfId="0" applyFont="1" applyFill="1" applyBorder="1"/>
    <xf numFmtId="0" fontId="17" fillId="0" borderId="33" xfId="3" applyFont="1" applyFill="1" applyBorder="1" applyAlignment="1">
      <alignment horizontal="center"/>
    </xf>
    <xf numFmtId="0" fontId="17" fillId="0" borderId="34" xfId="3" applyFont="1" applyFill="1" applyBorder="1" applyAlignment="1">
      <alignment horizontal="center"/>
    </xf>
    <xf numFmtId="0" fontId="16" fillId="0" borderId="35" xfId="2" applyFont="1" applyFill="1" applyBorder="1" applyAlignment="1">
      <alignment horizontal="center"/>
    </xf>
    <xf numFmtId="0" fontId="17" fillId="0" borderId="36" xfId="3" applyFont="1" applyFill="1" applyBorder="1" applyAlignment="1">
      <alignment horizontal="center"/>
    </xf>
    <xf numFmtId="0" fontId="16" fillId="0" borderId="37" xfId="2" applyFont="1" applyFill="1" applyBorder="1" applyAlignment="1">
      <alignment horizontal="center"/>
    </xf>
    <xf numFmtId="0" fontId="17" fillId="0" borderId="29" xfId="3" applyFont="1" applyFill="1" applyBorder="1" applyAlignment="1">
      <alignment horizontal="center"/>
    </xf>
    <xf numFmtId="0" fontId="16" fillId="0" borderId="30" xfId="2" applyFont="1" applyFill="1" applyBorder="1" applyAlignment="1">
      <alignment horizontal="center"/>
    </xf>
    <xf numFmtId="0" fontId="9" fillId="6" borderId="5" xfId="0" applyFont="1" applyFill="1" applyBorder="1" applyAlignment="1" applyProtection="1">
      <alignment textRotation="45" wrapText="1"/>
      <protection locked="0"/>
    </xf>
    <xf numFmtId="0" fontId="3" fillId="6" borderId="5" xfId="0" applyFont="1" applyFill="1" applyBorder="1" applyAlignment="1" applyProtection="1">
      <alignment textRotation="45"/>
      <protection locked="0"/>
    </xf>
    <xf numFmtId="0" fontId="7" fillId="6" borderId="5" xfId="0" applyFont="1" applyFill="1" applyBorder="1" applyAlignment="1" applyProtection="1">
      <alignment textRotation="45"/>
      <protection locked="0"/>
    </xf>
    <xf numFmtId="0" fontId="0" fillId="6" borderId="1" xfId="0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0" fillId="4" borderId="4" xfId="0" applyFill="1" applyBorder="1" applyAlignment="1" applyProtection="1">
      <alignment textRotation="45"/>
      <protection hidden="1"/>
    </xf>
    <xf numFmtId="0" fontId="0" fillId="4" borderId="4" xfId="0" applyFill="1" applyBorder="1" applyProtection="1">
      <protection hidden="1"/>
    </xf>
    <xf numFmtId="0" fontId="0" fillId="3" borderId="3" xfId="0" applyFill="1" applyBorder="1" applyAlignment="1" applyProtection="1">
      <alignment textRotation="45"/>
      <protection locked="0"/>
    </xf>
    <xf numFmtId="0" fontId="1" fillId="0" borderId="0" xfId="0" applyFont="1" applyFill="1" applyBorder="1" applyProtection="1">
      <protection locked="0"/>
    </xf>
    <xf numFmtId="165" fontId="16" fillId="0" borderId="35" xfId="2" applyNumberFormat="1" applyFont="1" applyFill="1" applyBorder="1" applyAlignment="1">
      <alignment horizontal="center"/>
    </xf>
    <xf numFmtId="0" fontId="15" fillId="0" borderId="38" xfId="0" applyFont="1" applyBorder="1" applyAlignment="1">
      <alignment horizontal="center"/>
    </xf>
    <xf numFmtId="164" fontId="15" fillId="0" borderId="0" xfId="0" applyNumberFormat="1" applyFont="1"/>
    <xf numFmtId="164" fontId="15" fillId="6" borderId="17" xfId="0" applyNumberFormat="1" applyFont="1" applyFill="1" applyBorder="1" applyAlignment="1"/>
    <xf numFmtId="0" fontId="27" fillId="0" borderId="4" xfId="0" applyFont="1" applyBorder="1" applyAlignment="1">
      <alignment textRotation="45"/>
    </xf>
    <xf numFmtId="0" fontId="28" fillId="0" borderId="4" xfId="0" applyFont="1" applyBorder="1" applyAlignment="1"/>
    <xf numFmtId="2" fontId="29" fillId="0" borderId="2" xfId="0" applyNumberFormat="1" applyFont="1" applyBorder="1" applyAlignment="1">
      <alignment textRotation="45"/>
    </xf>
    <xf numFmtId="0" fontId="30" fillId="0" borderId="3" xfId="0" applyFont="1" applyFill="1" applyBorder="1" applyAlignment="1" applyProtection="1">
      <alignment textRotation="45"/>
      <protection locked="0"/>
    </xf>
    <xf numFmtId="0" fontId="30" fillId="0" borderId="2" xfId="0" applyFont="1" applyFill="1" applyBorder="1" applyAlignment="1" applyProtection="1">
      <alignment textRotation="45"/>
      <protection locked="0"/>
    </xf>
    <xf numFmtId="0" fontId="29" fillId="0" borderId="2" xfId="0" applyFont="1" applyFill="1" applyBorder="1" applyAlignment="1" applyProtection="1">
      <alignment textRotation="45" wrapText="1"/>
      <protection locked="0"/>
    </xf>
    <xf numFmtId="0" fontId="27" fillId="0" borderId="0" xfId="0" applyFont="1" applyBorder="1" applyAlignment="1">
      <alignment textRotation="45"/>
    </xf>
    <xf numFmtId="0" fontId="31" fillId="0" borderId="0" xfId="0" applyFont="1" applyProtection="1"/>
    <xf numFmtId="0" fontId="27" fillId="0" borderId="0" xfId="0" applyFont="1" applyBorder="1" applyAlignment="1">
      <alignment horizontal="left"/>
    </xf>
    <xf numFmtId="2" fontId="27" fillId="0" borderId="2" xfId="0" applyNumberFormat="1" applyFont="1" applyBorder="1" applyAlignment="1">
      <alignment textRotation="45"/>
    </xf>
    <xf numFmtId="0" fontId="32" fillId="0" borderId="3" xfId="0" applyFont="1" applyFill="1" applyBorder="1" applyAlignment="1" applyProtection="1">
      <alignment textRotation="45"/>
      <protection locked="0"/>
    </xf>
    <xf numFmtId="0" fontId="32" fillId="0" borderId="2" xfId="0" applyFont="1" applyFill="1" applyBorder="1" applyAlignment="1" applyProtection="1">
      <alignment textRotation="45"/>
      <protection locked="0"/>
    </xf>
    <xf numFmtId="0" fontId="29" fillId="0" borderId="3" xfId="0" applyFont="1" applyFill="1" applyBorder="1" applyAlignment="1" applyProtection="1">
      <alignment textRotation="45" wrapText="1"/>
      <protection locked="0"/>
    </xf>
    <xf numFmtId="0" fontId="31" fillId="0" borderId="0" xfId="0" applyFont="1" applyFill="1" applyBorder="1" applyProtection="1"/>
    <xf numFmtId="165" fontId="27" fillId="0" borderId="0" xfId="0" applyNumberFormat="1" applyFont="1" applyBorder="1" applyAlignment="1">
      <alignment horizontal="left"/>
    </xf>
    <xf numFmtId="0" fontId="33" fillId="0" borderId="0" xfId="0" applyFont="1" applyBorder="1" applyAlignment="1"/>
    <xf numFmtId="0" fontId="27" fillId="0" borderId="2" xfId="0" applyFont="1" applyFill="1" applyBorder="1" applyAlignment="1" applyProtection="1">
      <alignment textRotation="45"/>
      <protection locked="0"/>
    </xf>
    <xf numFmtId="0" fontId="27" fillId="0" borderId="2" xfId="0" applyFont="1" applyFill="1" applyBorder="1" applyAlignment="1">
      <alignment textRotation="45"/>
    </xf>
    <xf numFmtId="2" fontId="31" fillId="0" borderId="0" xfId="0" applyNumberFormat="1" applyFont="1"/>
    <xf numFmtId="2" fontId="31" fillId="2" borderId="2" xfId="0" applyNumberFormat="1" applyFont="1" applyFill="1" applyBorder="1" applyAlignment="1"/>
    <xf numFmtId="2" fontId="27" fillId="2" borderId="3" xfId="0" applyNumberFormat="1" applyFont="1" applyFill="1" applyBorder="1"/>
    <xf numFmtId="2" fontId="27" fillId="2" borderId="2" xfId="0" applyNumberFormat="1" applyFont="1" applyFill="1" applyBorder="1"/>
    <xf numFmtId="2" fontId="31" fillId="0" borderId="0" xfId="0" applyNumberFormat="1" applyFont="1" applyBorder="1"/>
    <xf numFmtId="2" fontId="31" fillId="2" borderId="2" xfId="0" applyNumberFormat="1" applyFont="1" applyFill="1" applyBorder="1"/>
    <xf numFmtId="164" fontId="27" fillId="0" borderId="0" xfId="0" applyNumberFormat="1" applyFont="1"/>
    <xf numFmtId="164" fontId="31" fillId="0" borderId="0" xfId="0" applyNumberFormat="1" applyFont="1"/>
    <xf numFmtId="164" fontId="27" fillId="2" borderId="3" xfId="0" applyNumberFormat="1" applyFont="1" applyFill="1" applyBorder="1"/>
    <xf numFmtId="164" fontId="27" fillId="0" borderId="0" xfId="0" applyNumberFormat="1" applyFont="1" applyBorder="1"/>
    <xf numFmtId="2" fontId="27" fillId="0" borderId="0" xfId="0" applyNumberFormat="1" applyFont="1"/>
    <xf numFmtId="2" fontId="27" fillId="2" borderId="2" xfId="0" applyNumberFormat="1" applyFont="1" applyFill="1" applyBorder="1" applyAlignment="1"/>
    <xf numFmtId="2" fontId="27" fillId="0" borderId="0" xfId="0" applyNumberFormat="1" applyFont="1" applyBorder="1"/>
    <xf numFmtId="0" fontId="27" fillId="0" borderId="0" xfId="0" applyFont="1"/>
    <xf numFmtId="0" fontId="31" fillId="0" borderId="0" xfId="0" applyFont="1"/>
    <xf numFmtId="0" fontId="27" fillId="2" borderId="3" xfId="0" applyFont="1" applyFill="1" applyBorder="1"/>
    <xf numFmtId="0" fontId="27" fillId="0" borderId="0" xfId="0" applyFont="1" applyBorder="1"/>
    <xf numFmtId="1" fontId="27" fillId="0" borderId="0" xfId="0" applyNumberFormat="1" applyFont="1"/>
    <xf numFmtId="1" fontId="31" fillId="0" borderId="0" xfId="0" applyNumberFormat="1" applyFont="1"/>
    <xf numFmtId="1" fontId="27" fillId="2" borderId="2" xfId="0" applyNumberFormat="1" applyFont="1" applyFill="1" applyBorder="1" applyAlignment="1"/>
    <xf numFmtId="1" fontId="27" fillId="0" borderId="0" xfId="0" applyNumberFormat="1" applyFont="1" applyBorder="1"/>
    <xf numFmtId="1" fontId="31" fillId="0" borderId="0" xfId="0" applyNumberFormat="1" applyFont="1" applyBorder="1"/>
    <xf numFmtId="1" fontId="27" fillId="2" borderId="3" xfId="0" applyNumberFormat="1" applyFont="1" applyFill="1" applyBorder="1" applyAlignment="1"/>
    <xf numFmtId="1" fontId="27" fillId="0" borderId="0" xfId="0" applyNumberFormat="1" applyFont="1" applyFill="1" applyBorder="1"/>
    <xf numFmtId="1" fontId="31" fillId="0" borderId="0" xfId="0" applyNumberFormat="1" applyFont="1" applyFill="1" applyBorder="1"/>
    <xf numFmtId="1" fontId="27" fillId="0" borderId="0" xfId="0" applyNumberFormat="1" applyFont="1" applyFill="1" applyBorder="1" applyAlignment="1"/>
    <xf numFmtId="2" fontId="27" fillId="0" borderId="0" xfId="0" applyNumberFormat="1" applyFont="1" applyFill="1" applyBorder="1"/>
    <xf numFmtId="0" fontId="33" fillId="0" borderId="0" xfId="0" applyFont="1"/>
    <xf numFmtId="2" fontId="27" fillId="0" borderId="0" xfId="0" applyNumberFormat="1" applyFont="1" applyBorder="1" applyAlignment="1"/>
    <xf numFmtId="164" fontId="27" fillId="0" borderId="0" xfId="0" applyNumberFormat="1" applyFont="1" applyFill="1" applyBorder="1"/>
    <xf numFmtId="0" fontId="31" fillId="0" borderId="0" xfId="0" applyFont="1" applyBorder="1" applyAlignment="1"/>
    <xf numFmtId="1" fontId="31" fillId="2" borderId="2" xfId="0" applyNumberFormat="1" applyFont="1" applyFill="1" applyBorder="1" applyAlignment="1"/>
    <xf numFmtId="0" fontId="27" fillId="0" borderId="0" xfId="0" applyFont="1" applyFill="1" applyBorder="1"/>
    <xf numFmtId="2" fontId="27" fillId="0" borderId="0" xfId="0" applyNumberFormat="1" applyFont="1" applyFill="1" applyBorder="1" applyAlignment="1"/>
    <xf numFmtId="1" fontId="31" fillId="2" borderId="2" xfId="0" applyNumberFormat="1" applyFont="1" applyFill="1" applyBorder="1"/>
    <xf numFmtId="0" fontId="34" fillId="0" borderId="0" xfId="0" applyFont="1" applyFill="1" applyBorder="1"/>
    <xf numFmtId="2" fontId="27" fillId="0" borderId="2" xfId="0" applyNumberFormat="1" applyFont="1" applyBorder="1" applyAlignment="1"/>
    <xf numFmtId="0" fontId="0" fillId="7" borderId="2" xfId="0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2" xfId="0" applyFont="1" applyFill="1" applyBorder="1" applyAlignment="1" applyProtection="1">
      <alignment horizontal="left"/>
      <protection locked="0"/>
    </xf>
    <xf numFmtId="165" fontId="1" fillId="7" borderId="2" xfId="0" applyNumberFormat="1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textRotation="45"/>
      <protection locked="0"/>
    </xf>
    <xf numFmtId="0" fontId="1" fillId="0" borderId="3" xfId="0" applyFont="1" applyBorder="1" applyAlignment="1" applyProtection="1">
      <alignment textRotation="45"/>
      <protection locked="0"/>
    </xf>
    <xf numFmtId="0" fontId="1" fillId="0" borderId="2" xfId="0" applyFont="1" applyBorder="1" applyAlignment="1" applyProtection="1">
      <alignment textRotation="45"/>
      <protection locked="0"/>
    </xf>
    <xf numFmtId="0" fontId="1" fillId="0" borderId="5" xfId="0" applyFont="1" applyBorder="1" applyAlignment="1" applyProtection="1">
      <alignment textRotation="45"/>
      <protection locked="0"/>
    </xf>
    <xf numFmtId="0" fontId="1" fillId="4" borderId="4" xfId="0" applyFont="1" applyFill="1" applyBorder="1" applyAlignment="1" applyProtection="1">
      <alignment textRotation="45"/>
      <protection hidden="1"/>
    </xf>
    <xf numFmtId="0" fontId="1" fillId="6" borderId="5" xfId="0" applyFont="1" applyFill="1" applyBorder="1" applyAlignment="1" applyProtection="1">
      <alignment textRotation="45"/>
      <protection locked="0"/>
    </xf>
    <xf numFmtId="0" fontId="19" fillId="0" borderId="12" xfId="3" applyFont="1" applyFill="1" applyBorder="1" applyAlignment="1">
      <alignment horizontal="left" wrapText="1"/>
    </xf>
    <xf numFmtId="0" fontId="15" fillId="0" borderId="13" xfId="0" applyFont="1" applyBorder="1"/>
    <xf numFmtId="1" fontId="16" fillId="0" borderId="14" xfId="3" applyNumberFormat="1" applyFont="1" applyFill="1" applyBorder="1" applyAlignment="1">
      <alignment wrapText="1"/>
    </xf>
    <xf numFmtId="0" fontId="1" fillId="0" borderId="0" xfId="0" applyFont="1" applyProtection="1">
      <protection locked="0"/>
    </xf>
    <xf numFmtId="0" fontId="32" fillId="0" borderId="0" xfId="0" applyFont="1" applyFill="1" applyBorder="1"/>
    <xf numFmtId="2" fontId="32" fillId="0" borderId="0" xfId="0" applyNumberFormat="1" applyFont="1" applyFill="1" applyBorder="1" applyAlignment="1"/>
    <xf numFmtId="0" fontId="27" fillId="0" borderId="0" xfId="0" applyFont="1" applyAlignment="1">
      <alignment horizontal="center"/>
    </xf>
    <xf numFmtId="0" fontId="13" fillId="0" borderId="0" xfId="3" applyFont="1" applyFill="1" applyBorder="1" applyAlignment="1">
      <alignment horizontal="left" wrapText="1"/>
    </xf>
  </cellXfs>
  <cellStyles count="4">
    <cellStyle name="Normal" xfId="0" builtinId="0"/>
    <cellStyle name="Normal 2" xfId="1" xr:uid="{00000000-0005-0000-0000-000001000000}"/>
    <cellStyle name="Normal_Sheet1" xfId="2" xr:uid="{00000000-0005-0000-0000-000002000000}"/>
    <cellStyle name="Normal_Sheet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Maximum Depth of Plant Colonization</a:t>
            </a:r>
          </a:p>
        </c:rich>
      </c:tx>
      <c:layout>
        <c:manualLayout>
          <c:xMode val="edge"/>
          <c:yMode val="edge"/>
          <c:x val="0.26227678571428714"/>
          <c:y val="2.654867256637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79464285714339"/>
          <c:y val="0.14306805267683717"/>
          <c:w val="0.88058035714285487"/>
          <c:h val="0.722714905274741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'MAX DEPTH GRAPH'!$A$2:$A$21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'MAX DEPTH GRAPH'!$B$2:$B$21</c:f>
              <c:numCache>
                <c:formatCode>General</c:formatCode>
                <c:ptCount val="20"/>
                <c:pt idx="0">
                  <c:v>1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8-4B3F-973D-B0C0B4E25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44704"/>
        <c:axId val="337441960"/>
      </c:barChart>
      <c:catAx>
        <c:axId val="3374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 Bin (feet)</a:t>
                </a:r>
              </a:p>
            </c:rich>
          </c:tx>
          <c:layout>
            <c:manualLayout>
              <c:xMode val="edge"/>
              <c:yMode val="edge"/>
              <c:x val="0.4609375"/>
              <c:y val="0.930679859707802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441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37441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Sites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0.4542779055272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44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17</xdr:col>
      <xdr:colOff>0</xdr:colOff>
      <xdr:row>31</xdr:row>
      <xdr:rowOff>95250</xdr:rowOff>
    </xdr:to>
    <xdr:graphicFrame macro="">
      <xdr:nvGraphicFramePr>
        <xdr:cNvPr id="1070" name="Chart 1">
          <a:extLst>
            <a:ext uri="{FF2B5EF4-FFF2-40B4-BE49-F238E27FC236}">
              <a16:creationId xmlns:a16="http://schemas.microsoft.com/office/drawing/2014/main" id="{00000000-0008-0000-05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1"/>
  <sheetViews>
    <sheetView workbookViewId="0">
      <pane xSplit="1" ySplit="1" topLeftCell="B2" activePane="bottomRight" state="frozen"/>
      <selection pane="topRight" activeCell="K1" sqref="K1"/>
      <selection pane="bottomLeft" activeCell="A2" sqref="A2"/>
      <selection pane="bottomRight"/>
    </sheetView>
  </sheetViews>
  <sheetFormatPr defaultColWidth="5.6640625" defaultRowHeight="12.75" x14ac:dyDescent="0.35"/>
  <cols>
    <col min="1" max="1" width="5" style="14" bestFit="1" customWidth="1"/>
    <col min="2" max="2" width="11" style="4" customWidth="1"/>
    <col min="3" max="3" width="13.33203125" style="4" customWidth="1"/>
    <col min="4" max="5" width="5.6640625" style="4" customWidth="1"/>
    <col min="6" max="6" width="4.46484375" style="100" customWidth="1"/>
    <col min="7" max="7" width="5" style="14" bestFit="1" customWidth="1"/>
    <col min="8" max="8" width="7" style="100" customWidth="1"/>
    <col min="9" max="9" width="5.6640625" style="4" customWidth="1"/>
    <col min="10" max="11" width="6.6640625" style="4" customWidth="1"/>
    <col min="12" max="27" width="5.6640625" style="4" customWidth="1"/>
    <col min="28" max="28" width="5.6640625" style="11" customWidth="1"/>
    <col min="29" max="16384" width="5.6640625" style="4"/>
  </cols>
  <sheetData>
    <row r="1" spans="1:29" s="3" customFormat="1" ht="190.25" customHeight="1" x14ac:dyDescent="0.35">
      <c r="A1" s="168" t="s">
        <v>496</v>
      </c>
      <c r="B1" s="169" t="s">
        <v>519</v>
      </c>
      <c r="C1" s="170" t="s">
        <v>497</v>
      </c>
      <c r="D1" s="171" t="s">
        <v>498</v>
      </c>
      <c r="E1" s="170" t="s">
        <v>508</v>
      </c>
      <c r="F1" s="172" t="s">
        <v>499</v>
      </c>
      <c r="G1" s="168" t="s">
        <v>500</v>
      </c>
      <c r="H1" s="29" t="s">
        <v>501</v>
      </c>
      <c r="I1" s="7" t="s">
        <v>475</v>
      </c>
      <c r="J1" s="10" t="s">
        <v>520</v>
      </c>
      <c r="K1" s="10" t="s">
        <v>521</v>
      </c>
      <c r="L1" s="6" t="s">
        <v>502</v>
      </c>
      <c r="M1" s="6" t="s">
        <v>510</v>
      </c>
      <c r="N1" s="6" t="s">
        <v>503</v>
      </c>
      <c r="O1" s="6" t="s">
        <v>504</v>
      </c>
      <c r="P1" s="6" t="s">
        <v>505</v>
      </c>
      <c r="Q1" s="6" t="s">
        <v>506</v>
      </c>
      <c r="R1" s="6" t="s">
        <v>523</v>
      </c>
      <c r="S1" s="6" t="s">
        <v>524</v>
      </c>
      <c r="T1" s="6" t="s">
        <v>529</v>
      </c>
      <c r="U1" s="6" t="s">
        <v>525</v>
      </c>
      <c r="V1" s="6" t="s">
        <v>509</v>
      </c>
      <c r="W1" s="6" t="s">
        <v>530</v>
      </c>
      <c r="X1" s="6" t="s">
        <v>531</v>
      </c>
      <c r="Y1" s="6" t="s">
        <v>526</v>
      </c>
      <c r="Z1" s="6" t="s">
        <v>527</v>
      </c>
      <c r="AA1" s="6" t="s">
        <v>528</v>
      </c>
      <c r="AB1" s="96" t="s">
        <v>522</v>
      </c>
      <c r="AC1" s="173" t="s">
        <v>507</v>
      </c>
    </row>
    <row r="2" spans="1:29" x14ac:dyDescent="0.35">
      <c r="A2" s="13">
        <v>1</v>
      </c>
      <c r="B2">
        <v>45.511580000000002</v>
      </c>
      <c r="C2">
        <v>91.95599</v>
      </c>
      <c r="D2" s="4">
        <v>5.5</v>
      </c>
      <c r="E2" s="4" t="s">
        <v>485</v>
      </c>
      <c r="F2" s="102">
        <v>1</v>
      </c>
      <c r="G2" s="13">
        <v>1</v>
      </c>
      <c r="H2" s="31">
        <v>4</v>
      </c>
      <c r="I2" s="4">
        <v>2</v>
      </c>
      <c r="J2" s="8">
        <v>0</v>
      </c>
      <c r="K2" s="8">
        <v>2</v>
      </c>
      <c r="L2" s="14">
        <v>2</v>
      </c>
      <c r="M2" s="14">
        <v>0</v>
      </c>
      <c r="N2" s="4">
        <v>0</v>
      </c>
      <c r="O2" s="4">
        <v>0</v>
      </c>
      <c r="P2" s="4">
        <v>0</v>
      </c>
      <c r="Q2" s="4">
        <v>1</v>
      </c>
      <c r="R2" s="4">
        <v>0</v>
      </c>
      <c r="S2" s="4">
        <v>0</v>
      </c>
      <c r="T2" s="4">
        <v>1</v>
      </c>
      <c r="U2" s="4">
        <v>0</v>
      </c>
      <c r="V2" s="4">
        <v>0</v>
      </c>
      <c r="W2" s="4">
        <v>0</v>
      </c>
      <c r="X2" s="4">
        <v>1</v>
      </c>
      <c r="Y2" s="4">
        <v>0</v>
      </c>
      <c r="Z2" s="4">
        <v>0</v>
      </c>
      <c r="AA2" s="4">
        <v>0</v>
      </c>
      <c r="AB2" s="99">
        <v>0</v>
      </c>
      <c r="AC2" s="99">
        <v>0</v>
      </c>
    </row>
    <row r="3" spans="1:29" x14ac:dyDescent="0.35">
      <c r="A3" s="13">
        <v>2</v>
      </c>
      <c r="B3">
        <v>45.511580000000002</v>
      </c>
      <c r="C3">
        <v>91.956180000000003</v>
      </c>
      <c r="D3" s="4">
        <v>7</v>
      </c>
      <c r="E3" s="4" t="s">
        <v>485</v>
      </c>
      <c r="F3" s="102">
        <v>1</v>
      </c>
      <c r="G3" s="13">
        <v>1</v>
      </c>
      <c r="H3" s="31">
        <v>4</v>
      </c>
      <c r="I3" s="4">
        <v>2</v>
      </c>
      <c r="J3" s="8">
        <v>0</v>
      </c>
      <c r="K3" s="8">
        <v>1</v>
      </c>
      <c r="L3" s="14">
        <v>2</v>
      </c>
      <c r="M3" s="14">
        <v>0</v>
      </c>
      <c r="N3" s="4">
        <v>0</v>
      </c>
      <c r="O3" s="4">
        <v>0</v>
      </c>
      <c r="P3" s="4">
        <v>0</v>
      </c>
      <c r="Q3" s="4">
        <v>2</v>
      </c>
      <c r="R3" s="4">
        <v>0</v>
      </c>
      <c r="S3" s="4">
        <v>0</v>
      </c>
      <c r="T3" s="4">
        <v>1</v>
      </c>
      <c r="U3" s="4">
        <v>0</v>
      </c>
      <c r="V3" s="4">
        <v>0</v>
      </c>
      <c r="W3" s="4">
        <v>0</v>
      </c>
      <c r="X3" s="4">
        <v>1</v>
      </c>
      <c r="Y3" s="4">
        <v>0</v>
      </c>
      <c r="Z3" s="4">
        <v>0</v>
      </c>
      <c r="AA3" s="4">
        <v>0</v>
      </c>
      <c r="AB3" s="99">
        <v>0</v>
      </c>
      <c r="AC3" s="99">
        <v>0</v>
      </c>
    </row>
    <row r="4" spans="1:29" x14ac:dyDescent="0.35">
      <c r="A4" s="13">
        <v>3</v>
      </c>
      <c r="B4">
        <v>45.51173</v>
      </c>
      <c r="C4">
        <v>91.956310000000002</v>
      </c>
      <c r="D4" s="4">
        <v>8.5</v>
      </c>
      <c r="E4" s="4" t="s">
        <v>486</v>
      </c>
      <c r="F4" s="102">
        <v>1</v>
      </c>
      <c r="G4" s="13">
        <v>1</v>
      </c>
      <c r="H4" s="31">
        <v>4</v>
      </c>
      <c r="I4" s="4">
        <v>1</v>
      </c>
      <c r="J4" s="8">
        <v>4</v>
      </c>
      <c r="K4" s="8">
        <v>4</v>
      </c>
      <c r="L4" s="14">
        <v>0</v>
      </c>
      <c r="M4" s="14">
        <v>0</v>
      </c>
      <c r="N4" s="4">
        <v>1</v>
      </c>
      <c r="O4" s="4">
        <v>0</v>
      </c>
      <c r="P4" s="4">
        <v>0</v>
      </c>
      <c r="Q4" s="4">
        <v>1</v>
      </c>
      <c r="R4" s="4">
        <v>0</v>
      </c>
      <c r="S4" s="4">
        <v>0</v>
      </c>
      <c r="T4" s="4">
        <v>0</v>
      </c>
      <c r="U4" s="4">
        <v>0</v>
      </c>
      <c r="V4" s="4">
        <v>1</v>
      </c>
      <c r="W4" s="4">
        <v>0</v>
      </c>
      <c r="X4" s="4">
        <v>1</v>
      </c>
      <c r="Y4" s="4">
        <v>0</v>
      </c>
      <c r="Z4" s="4">
        <v>0</v>
      </c>
      <c r="AA4" s="4">
        <v>0</v>
      </c>
      <c r="AB4" s="99">
        <v>0</v>
      </c>
      <c r="AC4" s="99">
        <v>0</v>
      </c>
    </row>
    <row r="5" spans="1:29" x14ac:dyDescent="0.35">
      <c r="A5" s="13">
        <v>4</v>
      </c>
      <c r="B5">
        <v>45.51173</v>
      </c>
      <c r="C5">
        <v>91.956090000000003</v>
      </c>
      <c r="D5" s="4">
        <v>5.5</v>
      </c>
      <c r="E5" s="4" t="s">
        <v>486</v>
      </c>
      <c r="F5" s="102">
        <v>1</v>
      </c>
      <c r="G5" s="13">
        <v>1</v>
      </c>
      <c r="H5" s="31">
        <v>3</v>
      </c>
      <c r="I5" s="4">
        <v>2</v>
      </c>
      <c r="J5" s="8">
        <v>0</v>
      </c>
      <c r="K5" s="8">
        <v>2</v>
      </c>
      <c r="L5" s="14">
        <v>1</v>
      </c>
      <c r="M5" s="14">
        <v>0</v>
      </c>
      <c r="N5" s="4">
        <v>0</v>
      </c>
      <c r="O5" s="4">
        <v>0</v>
      </c>
      <c r="P5" s="4">
        <v>0</v>
      </c>
      <c r="Q5" s="4">
        <v>1</v>
      </c>
      <c r="R5" s="4">
        <v>0</v>
      </c>
      <c r="S5" s="4">
        <v>0</v>
      </c>
      <c r="T5" s="4">
        <v>1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99">
        <v>0</v>
      </c>
      <c r="AC5" s="99">
        <v>0</v>
      </c>
    </row>
    <row r="6" spans="1:29" x14ac:dyDescent="0.35">
      <c r="A6" s="13">
        <v>5</v>
      </c>
      <c r="B6">
        <v>45.511740000000003</v>
      </c>
      <c r="C6">
        <v>91.955870000000004</v>
      </c>
      <c r="D6" s="4">
        <v>6</v>
      </c>
      <c r="E6" s="4" t="s">
        <v>485</v>
      </c>
      <c r="F6" s="102">
        <v>1</v>
      </c>
      <c r="G6" s="13">
        <v>1</v>
      </c>
      <c r="H6" s="31">
        <v>4</v>
      </c>
      <c r="I6" s="4">
        <v>2</v>
      </c>
      <c r="J6" s="8">
        <v>0</v>
      </c>
      <c r="K6" s="8">
        <v>4</v>
      </c>
      <c r="L6" s="14">
        <v>2</v>
      </c>
      <c r="M6" s="14">
        <v>0</v>
      </c>
      <c r="N6" s="4">
        <v>0</v>
      </c>
      <c r="O6" s="4">
        <v>0</v>
      </c>
      <c r="P6" s="4">
        <v>0</v>
      </c>
      <c r="Q6" s="4">
        <v>1</v>
      </c>
      <c r="R6" s="4">
        <v>0</v>
      </c>
      <c r="S6" s="4">
        <v>0</v>
      </c>
      <c r="T6" s="4">
        <v>2</v>
      </c>
      <c r="U6" s="4">
        <v>0</v>
      </c>
      <c r="V6" s="4">
        <v>0</v>
      </c>
      <c r="W6" s="4">
        <v>1</v>
      </c>
      <c r="X6" s="4">
        <v>0</v>
      </c>
      <c r="Y6" s="4">
        <v>0</v>
      </c>
      <c r="Z6" s="4">
        <v>0</v>
      </c>
      <c r="AA6" s="4">
        <v>0</v>
      </c>
      <c r="AB6" s="99">
        <v>0</v>
      </c>
      <c r="AC6" s="99">
        <v>0</v>
      </c>
    </row>
    <row r="7" spans="1:29" x14ac:dyDescent="0.35">
      <c r="A7" s="13">
        <v>6</v>
      </c>
      <c r="B7">
        <v>45.511879999999998</v>
      </c>
      <c r="C7">
        <v>91.956410000000005</v>
      </c>
      <c r="D7" s="4">
        <v>11</v>
      </c>
      <c r="E7" s="4" t="s">
        <v>486</v>
      </c>
      <c r="F7" s="102">
        <v>1</v>
      </c>
      <c r="G7" s="13">
        <v>0</v>
      </c>
      <c r="H7" s="31">
        <v>0</v>
      </c>
      <c r="I7" s="4">
        <v>0</v>
      </c>
      <c r="J7" s="8">
        <v>0</v>
      </c>
      <c r="K7" s="8">
        <v>0</v>
      </c>
      <c r="L7" s="14">
        <v>0</v>
      </c>
      <c r="M7" s="1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99">
        <v>0</v>
      </c>
      <c r="AC7" s="99">
        <v>0</v>
      </c>
    </row>
    <row r="8" spans="1:29" x14ac:dyDescent="0.35">
      <c r="A8" s="13">
        <v>7</v>
      </c>
      <c r="B8">
        <v>45.511890000000001</v>
      </c>
      <c r="C8">
        <v>91.956199999999995</v>
      </c>
      <c r="D8" s="4">
        <v>9.5</v>
      </c>
      <c r="E8" s="4" t="s">
        <v>484</v>
      </c>
      <c r="F8" s="102">
        <v>1</v>
      </c>
      <c r="G8" s="13">
        <v>1</v>
      </c>
      <c r="H8" s="31">
        <v>4</v>
      </c>
      <c r="I8" s="4">
        <v>1</v>
      </c>
      <c r="J8" s="8">
        <v>4</v>
      </c>
      <c r="K8" s="8">
        <v>1</v>
      </c>
      <c r="L8" s="14">
        <v>1</v>
      </c>
      <c r="M8" s="1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1</v>
      </c>
      <c r="U8" s="4">
        <v>0</v>
      </c>
      <c r="V8" s="4">
        <v>1</v>
      </c>
      <c r="W8" s="4">
        <v>0</v>
      </c>
      <c r="X8" s="4">
        <v>1</v>
      </c>
      <c r="Y8" s="4">
        <v>0</v>
      </c>
      <c r="Z8" s="4">
        <v>0</v>
      </c>
      <c r="AA8" s="4">
        <v>0</v>
      </c>
      <c r="AB8" s="99">
        <v>0</v>
      </c>
      <c r="AC8" s="99">
        <v>1</v>
      </c>
    </row>
    <row r="9" spans="1:29" x14ac:dyDescent="0.35">
      <c r="A9" s="13">
        <v>8</v>
      </c>
      <c r="B9">
        <v>45.511890000000001</v>
      </c>
      <c r="C9">
        <v>91.95599</v>
      </c>
      <c r="D9" s="4">
        <v>8.5</v>
      </c>
      <c r="E9" s="4" t="s">
        <v>484</v>
      </c>
      <c r="F9" s="102">
        <v>1</v>
      </c>
      <c r="G9" s="13">
        <v>1</v>
      </c>
      <c r="H9" s="31">
        <v>3</v>
      </c>
      <c r="I9" s="4">
        <v>1</v>
      </c>
      <c r="J9" s="8">
        <v>4</v>
      </c>
      <c r="K9" s="8">
        <v>4</v>
      </c>
      <c r="L9" s="14">
        <v>1</v>
      </c>
      <c r="M9" s="1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1</v>
      </c>
      <c r="U9" s="4">
        <v>0</v>
      </c>
      <c r="V9" s="4">
        <v>1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99">
        <v>0</v>
      </c>
      <c r="AC9" s="99">
        <v>0</v>
      </c>
    </row>
    <row r="10" spans="1:29" x14ac:dyDescent="0.35">
      <c r="A10" s="13">
        <v>9</v>
      </c>
      <c r="B10">
        <v>45.511899999999997</v>
      </c>
      <c r="C10">
        <v>91.955789999999993</v>
      </c>
      <c r="D10" s="4">
        <v>7</v>
      </c>
      <c r="E10" s="4" t="s">
        <v>485</v>
      </c>
      <c r="F10" s="102">
        <v>1</v>
      </c>
      <c r="G10" s="13">
        <v>1</v>
      </c>
      <c r="H10" s="31">
        <v>3</v>
      </c>
      <c r="I10" s="4">
        <v>1</v>
      </c>
      <c r="J10" s="8">
        <v>0</v>
      </c>
      <c r="K10" s="8">
        <v>0</v>
      </c>
      <c r="L10" s="14">
        <v>1</v>
      </c>
      <c r="M10" s="1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1</v>
      </c>
      <c r="W10" s="4">
        <v>0</v>
      </c>
      <c r="X10" s="4">
        <v>1</v>
      </c>
      <c r="Y10" s="4">
        <v>0</v>
      </c>
      <c r="Z10" s="4">
        <v>0</v>
      </c>
      <c r="AA10" s="4">
        <v>0</v>
      </c>
      <c r="AB10" s="99">
        <v>0</v>
      </c>
      <c r="AC10" s="99">
        <v>0</v>
      </c>
    </row>
    <row r="11" spans="1:29" x14ac:dyDescent="0.35">
      <c r="A11" s="13">
        <v>10</v>
      </c>
      <c r="B11">
        <v>45.512039999999999</v>
      </c>
      <c r="C11">
        <v>91.956320000000005</v>
      </c>
      <c r="D11" s="4">
        <v>10.5</v>
      </c>
      <c r="E11" s="4" t="s">
        <v>486</v>
      </c>
      <c r="F11" s="102">
        <v>1</v>
      </c>
      <c r="G11" s="13">
        <v>0</v>
      </c>
      <c r="H11" s="31">
        <v>0</v>
      </c>
      <c r="I11" s="4">
        <v>0</v>
      </c>
      <c r="J11" s="8">
        <v>0</v>
      </c>
      <c r="K11" s="8">
        <v>0</v>
      </c>
      <c r="L11" s="14">
        <v>0</v>
      </c>
      <c r="M11" s="1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99">
        <v>0</v>
      </c>
      <c r="AC11" s="99">
        <v>1</v>
      </c>
    </row>
    <row r="12" spans="1:29" x14ac:dyDescent="0.35">
      <c r="A12" s="13">
        <v>11</v>
      </c>
      <c r="B12">
        <v>45.512039999999999</v>
      </c>
      <c r="C12">
        <v>91.956100000000006</v>
      </c>
      <c r="D12" s="4">
        <v>10.5</v>
      </c>
      <c r="E12" s="4" t="s">
        <v>486</v>
      </c>
      <c r="F12" s="102">
        <v>1</v>
      </c>
      <c r="G12" s="13">
        <v>1</v>
      </c>
      <c r="H12" s="31">
        <v>1</v>
      </c>
      <c r="I12" s="4">
        <v>1</v>
      </c>
      <c r="J12" s="8">
        <v>0</v>
      </c>
      <c r="K12" s="8">
        <v>0</v>
      </c>
      <c r="L12" s="14">
        <v>1</v>
      </c>
      <c r="M12" s="1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99">
        <v>0</v>
      </c>
      <c r="AC12" s="99">
        <v>1</v>
      </c>
    </row>
    <row r="13" spans="1:29" x14ac:dyDescent="0.35">
      <c r="A13" s="13">
        <v>12</v>
      </c>
      <c r="B13">
        <v>45.512039999999999</v>
      </c>
      <c r="C13">
        <v>91.955879999999993</v>
      </c>
      <c r="D13" s="4">
        <v>8.5</v>
      </c>
      <c r="E13" s="4" t="s">
        <v>486</v>
      </c>
      <c r="F13" s="102">
        <v>1</v>
      </c>
      <c r="G13" s="13">
        <v>1</v>
      </c>
      <c r="H13" s="31">
        <v>5</v>
      </c>
      <c r="I13" s="4">
        <v>1</v>
      </c>
      <c r="J13" s="8">
        <v>0</v>
      </c>
      <c r="K13" s="8">
        <v>4</v>
      </c>
      <c r="L13" s="14">
        <v>1</v>
      </c>
      <c r="M13" s="14">
        <v>0</v>
      </c>
      <c r="N13" s="4">
        <v>0</v>
      </c>
      <c r="O13" s="4">
        <v>0</v>
      </c>
      <c r="P13" s="4">
        <v>0</v>
      </c>
      <c r="Q13" s="4">
        <v>1</v>
      </c>
      <c r="R13" s="4">
        <v>0</v>
      </c>
      <c r="S13" s="4">
        <v>0</v>
      </c>
      <c r="T13" s="4">
        <v>1</v>
      </c>
      <c r="U13" s="4">
        <v>0</v>
      </c>
      <c r="V13" s="4">
        <v>1</v>
      </c>
      <c r="W13" s="4">
        <v>0</v>
      </c>
      <c r="X13" s="4">
        <v>1</v>
      </c>
      <c r="Y13" s="4">
        <v>0</v>
      </c>
      <c r="Z13" s="4">
        <v>0</v>
      </c>
      <c r="AA13" s="4">
        <v>0</v>
      </c>
      <c r="AB13" s="99">
        <v>0</v>
      </c>
      <c r="AC13" s="99">
        <v>0</v>
      </c>
    </row>
    <row r="14" spans="1:29" x14ac:dyDescent="0.35">
      <c r="A14" s="13">
        <v>13</v>
      </c>
      <c r="B14">
        <v>45.514319999999998</v>
      </c>
      <c r="C14">
        <v>91.967500000000001</v>
      </c>
      <c r="D14" s="4">
        <v>2.5</v>
      </c>
      <c r="E14" s="4" t="s">
        <v>486</v>
      </c>
      <c r="F14" s="102">
        <v>1</v>
      </c>
      <c r="G14" s="13">
        <v>1</v>
      </c>
      <c r="H14" s="31">
        <v>4</v>
      </c>
      <c r="I14" s="4">
        <v>1</v>
      </c>
      <c r="J14" s="8">
        <v>0</v>
      </c>
      <c r="K14" s="8">
        <v>0</v>
      </c>
      <c r="L14" s="14">
        <v>0</v>
      </c>
      <c r="M14" s="14">
        <v>0</v>
      </c>
      <c r="N14" s="4">
        <v>0</v>
      </c>
      <c r="O14" s="4">
        <v>1</v>
      </c>
      <c r="P14" s="4">
        <v>0</v>
      </c>
      <c r="Q14" s="4">
        <v>0</v>
      </c>
      <c r="R14" s="4">
        <v>1</v>
      </c>
      <c r="S14" s="4">
        <v>0</v>
      </c>
      <c r="T14" s="4">
        <v>1</v>
      </c>
      <c r="U14" s="4">
        <v>0</v>
      </c>
      <c r="V14" s="4">
        <v>1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99">
        <v>0</v>
      </c>
      <c r="AC14" s="99">
        <v>1</v>
      </c>
    </row>
    <row r="15" spans="1:29" x14ac:dyDescent="0.35">
      <c r="A15" s="13">
        <v>14</v>
      </c>
      <c r="B15">
        <v>45.514420000000001</v>
      </c>
      <c r="C15">
        <v>91.967609999999993</v>
      </c>
      <c r="D15" s="4">
        <v>11</v>
      </c>
      <c r="E15" s="4" t="s">
        <v>486</v>
      </c>
      <c r="F15" s="102">
        <v>1</v>
      </c>
      <c r="G15" s="13">
        <v>0</v>
      </c>
      <c r="H15" s="31">
        <v>0</v>
      </c>
      <c r="I15" s="4">
        <v>0</v>
      </c>
      <c r="J15" s="8">
        <v>0</v>
      </c>
      <c r="K15" s="8">
        <v>0</v>
      </c>
      <c r="L15" s="14">
        <v>0</v>
      </c>
      <c r="M15" s="1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99">
        <v>0</v>
      </c>
      <c r="AC15" s="99">
        <v>0</v>
      </c>
    </row>
    <row r="16" spans="1:29" x14ac:dyDescent="0.35">
      <c r="A16" s="13">
        <v>15</v>
      </c>
      <c r="B16">
        <v>45.51444</v>
      </c>
      <c r="C16">
        <v>91.968040000000002</v>
      </c>
      <c r="D16" s="4">
        <v>6</v>
      </c>
      <c r="E16" s="4" t="s">
        <v>484</v>
      </c>
      <c r="F16" s="102">
        <v>1</v>
      </c>
      <c r="G16" s="13">
        <v>1</v>
      </c>
      <c r="H16" s="31">
        <v>2</v>
      </c>
      <c r="I16" s="4">
        <v>1</v>
      </c>
      <c r="J16" s="8">
        <v>0</v>
      </c>
      <c r="K16" s="8">
        <v>0</v>
      </c>
      <c r="L16" s="14">
        <v>0</v>
      </c>
      <c r="M16" s="14">
        <v>0</v>
      </c>
      <c r="N16" s="4">
        <v>0</v>
      </c>
      <c r="O16" s="4">
        <v>1</v>
      </c>
      <c r="P16" s="4">
        <v>0</v>
      </c>
      <c r="Q16" s="4">
        <v>0</v>
      </c>
      <c r="R16" s="4">
        <v>1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99">
        <v>1</v>
      </c>
      <c r="AC16" s="99">
        <v>1</v>
      </c>
    </row>
    <row r="17" spans="1:29" x14ac:dyDescent="0.35">
      <c r="A17" s="13">
        <v>16</v>
      </c>
      <c r="B17">
        <v>45.51444</v>
      </c>
      <c r="C17">
        <v>91.967830000000006</v>
      </c>
      <c r="D17" s="4">
        <v>11</v>
      </c>
      <c r="E17" s="4" t="s">
        <v>486</v>
      </c>
      <c r="F17" s="102">
        <v>1</v>
      </c>
      <c r="G17" s="13">
        <v>1</v>
      </c>
      <c r="H17" s="31">
        <v>1</v>
      </c>
      <c r="I17" s="4">
        <v>1</v>
      </c>
      <c r="J17" s="8">
        <v>0</v>
      </c>
      <c r="K17" s="8">
        <v>0</v>
      </c>
      <c r="L17" s="14">
        <v>0</v>
      </c>
      <c r="M17" s="1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1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99">
        <v>0</v>
      </c>
      <c r="AC17" s="99">
        <v>0</v>
      </c>
    </row>
    <row r="18" spans="1:29" x14ac:dyDescent="0.35">
      <c r="A18" s="13">
        <v>17</v>
      </c>
      <c r="B18">
        <v>45.514580000000002</v>
      </c>
      <c r="C18">
        <v>91.968379999999996</v>
      </c>
      <c r="D18" s="4">
        <v>6.5</v>
      </c>
      <c r="E18" s="4" t="s">
        <v>484</v>
      </c>
      <c r="F18" s="102">
        <v>1</v>
      </c>
      <c r="G18" s="13">
        <v>1</v>
      </c>
      <c r="H18" s="31">
        <v>2</v>
      </c>
      <c r="I18" s="4">
        <v>1</v>
      </c>
      <c r="J18" s="8">
        <v>0</v>
      </c>
      <c r="K18" s="8">
        <v>4</v>
      </c>
      <c r="L18" s="14">
        <v>0</v>
      </c>
      <c r="M18" s="14">
        <v>0</v>
      </c>
      <c r="N18" s="4">
        <v>0</v>
      </c>
      <c r="O18" s="4">
        <v>1</v>
      </c>
      <c r="P18" s="4">
        <v>0</v>
      </c>
      <c r="Q18" s="4">
        <v>0</v>
      </c>
      <c r="R18" s="4">
        <v>1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99">
        <v>0</v>
      </c>
      <c r="AC18" s="99">
        <v>0</v>
      </c>
    </row>
    <row r="19" spans="1:29" x14ac:dyDescent="0.35">
      <c r="A19" s="13">
        <v>18</v>
      </c>
      <c r="B19">
        <v>45.514589999999998</v>
      </c>
      <c r="C19">
        <v>91.968159999999997</v>
      </c>
      <c r="D19" s="4">
        <v>14</v>
      </c>
      <c r="E19" s="4" t="s">
        <v>484</v>
      </c>
      <c r="F19" s="102">
        <v>0</v>
      </c>
      <c r="G19" s="13">
        <v>0</v>
      </c>
      <c r="H19" s="31">
        <v>0</v>
      </c>
      <c r="I19" s="4">
        <v>0</v>
      </c>
      <c r="J19" s="8">
        <v>0</v>
      </c>
      <c r="K19" s="8">
        <v>0</v>
      </c>
      <c r="L19" s="14">
        <v>0</v>
      </c>
      <c r="M19" s="1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99">
        <v>0</v>
      </c>
      <c r="AC19" s="99">
        <v>0</v>
      </c>
    </row>
    <row r="20" spans="1:29" x14ac:dyDescent="0.35">
      <c r="A20" s="13">
        <v>19</v>
      </c>
      <c r="B20">
        <v>45.51473</v>
      </c>
      <c r="C20">
        <v>91.96893</v>
      </c>
      <c r="D20" s="4">
        <v>3.5</v>
      </c>
      <c r="E20" s="4" t="s">
        <v>484</v>
      </c>
      <c r="F20" s="102">
        <v>1</v>
      </c>
      <c r="G20" s="13">
        <v>1</v>
      </c>
      <c r="H20" s="31">
        <v>3</v>
      </c>
      <c r="I20" s="4">
        <v>1</v>
      </c>
      <c r="J20" s="8">
        <v>0</v>
      </c>
      <c r="K20" s="8">
        <v>0</v>
      </c>
      <c r="L20" s="14">
        <v>0</v>
      </c>
      <c r="M20" s="14">
        <v>0</v>
      </c>
      <c r="N20" s="4">
        <v>0</v>
      </c>
      <c r="O20" s="4">
        <v>1</v>
      </c>
      <c r="P20" s="4">
        <v>0</v>
      </c>
      <c r="Q20" s="4">
        <v>0</v>
      </c>
      <c r="R20" s="4">
        <v>0</v>
      </c>
      <c r="S20" s="4">
        <v>1</v>
      </c>
      <c r="T20" s="4">
        <v>0</v>
      </c>
      <c r="U20" s="4">
        <v>0</v>
      </c>
      <c r="V20" s="4">
        <v>0</v>
      </c>
      <c r="W20" s="4">
        <v>1</v>
      </c>
      <c r="X20" s="4">
        <v>0</v>
      </c>
      <c r="Y20" s="4">
        <v>0</v>
      </c>
      <c r="Z20" s="4">
        <v>0</v>
      </c>
      <c r="AA20" s="4">
        <v>0</v>
      </c>
      <c r="AB20" s="99">
        <v>2</v>
      </c>
      <c r="AC20" s="99">
        <v>0</v>
      </c>
    </row>
    <row r="21" spans="1:29" x14ac:dyDescent="0.35">
      <c r="A21" s="13">
        <v>20</v>
      </c>
      <c r="B21">
        <v>45.51473</v>
      </c>
      <c r="C21">
        <v>91.968710000000002</v>
      </c>
      <c r="D21" s="4">
        <v>12.5</v>
      </c>
      <c r="E21" s="4" t="s">
        <v>486</v>
      </c>
      <c r="F21" s="102">
        <v>0</v>
      </c>
      <c r="G21" s="13">
        <v>0</v>
      </c>
      <c r="H21" s="31">
        <v>0</v>
      </c>
      <c r="I21" s="4">
        <v>0</v>
      </c>
      <c r="J21" s="8">
        <v>0</v>
      </c>
      <c r="K21" s="8">
        <v>0</v>
      </c>
      <c r="L21" s="14">
        <v>0</v>
      </c>
      <c r="M21" s="1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99">
        <v>0</v>
      </c>
      <c r="AC21" s="99">
        <v>0</v>
      </c>
    </row>
    <row r="22" spans="1:29" x14ac:dyDescent="0.35">
      <c r="A22" s="13">
        <v>21</v>
      </c>
      <c r="B22">
        <v>45.514870000000002</v>
      </c>
      <c r="C22">
        <v>91.969260000000006</v>
      </c>
      <c r="D22" s="4">
        <v>6</v>
      </c>
      <c r="E22" s="4" t="s">
        <v>484</v>
      </c>
      <c r="F22" s="102">
        <v>1</v>
      </c>
      <c r="G22" s="13">
        <v>0</v>
      </c>
      <c r="H22" s="31">
        <v>0</v>
      </c>
      <c r="I22" s="4">
        <v>0</v>
      </c>
      <c r="J22" s="8">
        <v>0</v>
      </c>
      <c r="K22" s="8">
        <v>0</v>
      </c>
      <c r="L22" s="14">
        <v>0</v>
      </c>
      <c r="M22" s="1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99">
        <v>2</v>
      </c>
      <c r="AC22" s="99">
        <v>0</v>
      </c>
    </row>
    <row r="23" spans="1:29" x14ac:dyDescent="0.35">
      <c r="A23" s="13">
        <v>22</v>
      </c>
      <c r="B23">
        <v>45.514879999999998</v>
      </c>
      <c r="C23">
        <v>91.969040000000007</v>
      </c>
      <c r="D23" s="4">
        <v>12.5</v>
      </c>
      <c r="E23" s="4" t="s">
        <v>486</v>
      </c>
      <c r="F23" s="102">
        <v>0</v>
      </c>
      <c r="G23" s="13">
        <v>0</v>
      </c>
      <c r="H23" s="31">
        <v>0</v>
      </c>
      <c r="I23" s="4">
        <v>0</v>
      </c>
      <c r="J23" s="8">
        <v>0</v>
      </c>
      <c r="K23" s="8">
        <v>0</v>
      </c>
      <c r="L23" s="14">
        <v>0</v>
      </c>
      <c r="M23" s="1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99">
        <v>0</v>
      </c>
      <c r="AC23" s="99">
        <v>0</v>
      </c>
    </row>
    <row r="24" spans="1:29" x14ac:dyDescent="0.35">
      <c r="A24" s="13">
        <v>23</v>
      </c>
      <c r="B24">
        <v>45.51502</v>
      </c>
      <c r="C24">
        <v>91.969589999999997</v>
      </c>
      <c r="D24" s="4">
        <v>6.5</v>
      </c>
      <c r="E24" s="4" t="s">
        <v>484</v>
      </c>
      <c r="F24" s="102">
        <v>1</v>
      </c>
      <c r="G24" s="13">
        <v>0</v>
      </c>
      <c r="H24" s="31">
        <v>0</v>
      </c>
      <c r="I24" s="4">
        <v>0</v>
      </c>
      <c r="J24" s="8">
        <v>0</v>
      </c>
      <c r="K24" s="8">
        <v>0</v>
      </c>
      <c r="L24" s="14">
        <v>0</v>
      </c>
      <c r="M24" s="1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99">
        <v>0</v>
      </c>
      <c r="AC24" s="99">
        <v>0</v>
      </c>
    </row>
    <row r="25" spans="1:29" x14ac:dyDescent="0.35">
      <c r="A25" s="13">
        <v>24</v>
      </c>
      <c r="B25">
        <v>45.515030000000003</v>
      </c>
      <c r="C25">
        <v>91.969369999999998</v>
      </c>
      <c r="D25" s="4">
        <v>14</v>
      </c>
      <c r="E25" s="4" t="s">
        <v>486</v>
      </c>
      <c r="F25" s="102">
        <v>0</v>
      </c>
      <c r="G25" s="13">
        <v>0</v>
      </c>
      <c r="H25" s="31">
        <v>0</v>
      </c>
      <c r="I25" s="4">
        <v>0</v>
      </c>
      <c r="J25" s="8">
        <v>0</v>
      </c>
      <c r="K25" s="8">
        <v>0</v>
      </c>
      <c r="L25" s="14">
        <v>0</v>
      </c>
      <c r="M25" s="1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99">
        <v>0</v>
      </c>
      <c r="AC25" s="99">
        <v>0</v>
      </c>
    </row>
    <row r="26" spans="1:29" x14ac:dyDescent="0.35">
      <c r="A26" s="13">
        <v>25</v>
      </c>
      <c r="B26">
        <v>45.515169999999998</v>
      </c>
      <c r="C26">
        <v>91.969920000000002</v>
      </c>
      <c r="D26" s="4">
        <v>4</v>
      </c>
      <c r="E26" s="4" t="s">
        <v>484</v>
      </c>
      <c r="F26" s="102">
        <v>1</v>
      </c>
      <c r="G26" s="13">
        <v>1</v>
      </c>
      <c r="H26" s="31">
        <v>3</v>
      </c>
      <c r="I26" s="4">
        <v>2</v>
      </c>
      <c r="J26" s="8">
        <v>4</v>
      </c>
      <c r="K26" s="8">
        <v>0</v>
      </c>
      <c r="L26" s="14">
        <v>0</v>
      </c>
      <c r="M26" s="14">
        <v>0</v>
      </c>
      <c r="N26" s="4">
        <v>0</v>
      </c>
      <c r="O26" s="4">
        <v>2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1</v>
      </c>
      <c r="V26" s="4">
        <v>0</v>
      </c>
      <c r="W26" s="4">
        <v>0</v>
      </c>
      <c r="X26" s="4">
        <v>1</v>
      </c>
      <c r="Y26" s="4">
        <v>0</v>
      </c>
      <c r="Z26" s="4">
        <v>0</v>
      </c>
      <c r="AA26" s="4">
        <v>0</v>
      </c>
      <c r="AB26" s="99">
        <v>0</v>
      </c>
      <c r="AC26" s="99">
        <v>2</v>
      </c>
    </row>
    <row r="27" spans="1:29" x14ac:dyDescent="0.35">
      <c r="A27" s="13">
        <v>26</v>
      </c>
      <c r="B27">
        <v>45.515169999999998</v>
      </c>
      <c r="C27">
        <v>91.969700000000003</v>
      </c>
      <c r="D27" s="4">
        <v>14</v>
      </c>
      <c r="E27" s="4" t="s">
        <v>486</v>
      </c>
      <c r="F27" s="102">
        <v>0</v>
      </c>
      <c r="G27" s="13">
        <v>0</v>
      </c>
      <c r="H27" s="31">
        <v>0</v>
      </c>
      <c r="I27" s="4">
        <v>0</v>
      </c>
      <c r="J27" s="8">
        <v>0</v>
      </c>
      <c r="K27" s="8">
        <v>0</v>
      </c>
      <c r="L27" s="14">
        <v>0</v>
      </c>
      <c r="M27" s="1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99">
        <v>0</v>
      </c>
      <c r="AC27" s="99">
        <v>0</v>
      </c>
    </row>
    <row r="28" spans="1:29" x14ac:dyDescent="0.35">
      <c r="A28" s="13">
        <v>27</v>
      </c>
      <c r="B28">
        <v>45.515320000000003</v>
      </c>
      <c r="C28">
        <v>91.970249999999993</v>
      </c>
      <c r="D28" s="4">
        <v>6</v>
      </c>
      <c r="E28" s="4" t="s">
        <v>484</v>
      </c>
      <c r="F28" s="102">
        <v>1</v>
      </c>
      <c r="G28" s="13">
        <v>1</v>
      </c>
      <c r="H28" s="31">
        <v>4</v>
      </c>
      <c r="I28" s="4">
        <v>1</v>
      </c>
      <c r="J28" s="8">
        <v>0</v>
      </c>
      <c r="K28" s="8">
        <v>0</v>
      </c>
      <c r="L28" s="14">
        <v>1</v>
      </c>
      <c r="M28" s="14">
        <v>0</v>
      </c>
      <c r="N28" s="4">
        <v>0</v>
      </c>
      <c r="O28" s="4">
        <v>1</v>
      </c>
      <c r="P28" s="4">
        <v>0</v>
      </c>
      <c r="Q28" s="4">
        <v>0</v>
      </c>
      <c r="R28" s="4">
        <v>1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1</v>
      </c>
      <c r="Y28" s="4">
        <v>0</v>
      </c>
      <c r="Z28" s="4">
        <v>0</v>
      </c>
      <c r="AA28" s="4">
        <v>0</v>
      </c>
      <c r="AB28" s="99">
        <v>0</v>
      </c>
      <c r="AC28" s="99">
        <v>1</v>
      </c>
    </row>
    <row r="29" spans="1:29" x14ac:dyDescent="0.35">
      <c r="A29" s="13">
        <v>28</v>
      </c>
      <c r="B29">
        <v>45.515320000000003</v>
      </c>
      <c r="C29">
        <v>91.970029999999994</v>
      </c>
      <c r="D29" s="4">
        <v>9.5</v>
      </c>
      <c r="E29" s="4" t="s">
        <v>484</v>
      </c>
      <c r="F29" s="102">
        <v>1</v>
      </c>
      <c r="G29" s="13">
        <v>1</v>
      </c>
      <c r="H29" s="31">
        <v>2</v>
      </c>
      <c r="I29" s="4">
        <v>2</v>
      </c>
      <c r="J29" s="8">
        <v>0</v>
      </c>
      <c r="K29" s="8">
        <v>0</v>
      </c>
      <c r="L29" s="14">
        <v>2</v>
      </c>
      <c r="M29" s="1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1</v>
      </c>
      <c r="Y29" s="4">
        <v>0</v>
      </c>
      <c r="Z29" s="4">
        <v>0</v>
      </c>
      <c r="AA29" s="4">
        <v>0</v>
      </c>
      <c r="AB29" s="99">
        <v>0</v>
      </c>
      <c r="AC29" s="99">
        <v>0</v>
      </c>
    </row>
    <row r="30" spans="1:29" x14ac:dyDescent="0.35">
      <c r="A30" s="13">
        <v>29</v>
      </c>
      <c r="B30">
        <v>45.515459999999997</v>
      </c>
      <c r="C30">
        <v>91.971019999999996</v>
      </c>
      <c r="D30" s="4">
        <v>4</v>
      </c>
      <c r="E30" s="4" t="s">
        <v>486</v>
      </c>
      <c r="F30" s="102">
        <v>1</v>
      </c>
      <c r="G30" s="13">
        <v>1</v>
      </c>
      <c r="H30" s="31">
        <v>3</v>
      </c>
      <c r="I30" s="4">
        <v>1</v>
      </c>
      <c r="J30" s="8">
        <v>4</v>
      </c>
      <c r="K30" s="8">
        <v>0</v>
      </c>
      <c r="L30" s="14">
        <v>1</v>
      </c>
      <c r="M30" s="14">
        <v>0</v>
      </c>
      <c r="N30" s="4">
        <v>0</v>
      </c>
      <c r="O30" s="4">
        <v>1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1</v>
      </c>
      <c r="Z30" s="4">
        <v>0</v>
      </c>
      <c r="AA30" s="4">
        <v>0</v>
      </c>
      <c r="AB30" s="99">
        <v>0</v>
      </c>
      <c r="AC30" s="99">
        <v>1</v>
      </c>
    </row>
    <row r="31" spans="1:29" x14ac:dyDescent="0.35">
      <c r="A31" s="13">
        <v>30</v>
      </c>
      <c r="B31">
        <v>45.515459999999997</v>
      </c>
      <c r="C31">
        <v>91.970799999999997</v>
      </c>
      <c r="D31" s="4">
        <v>9.5</v>
      </c>
      <c r="E31" s="4" t="s">
        <v>484</v>
      </c>
      <c r="F31" s="102">
        <v>1</v>
      </c>
      <c r="G31" s="13">
        <v>1</v>
      </c>
      <c r="H31" s="31">
        <v>1</v>
      </c>
      <c r="I31" s="4">
        <v>1</v>
      </c>
      <c r="J31" s="8">
        <v>4</v>
      </c>
      <c r="K31" s="8">
        <v>0</v>
      </c>
      <c r="L31" s="14">
        <v>1</v>
      </c>
      <c r="M31" s="1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99">
        <v>0</v>
      </c>
      <c r="AC31" s="99">
        <v>1</v>
      </c>
    </row>
    <row r="32" spans="1:29" x14ac:dyDescent="0.35">
      <c r="A32" s="13">
        <v>31</v>
      </c>
      <c r="B32">
        <v>45.515459999999997</v>
      </c>
      <c r="C32">
        <v>91.970579999999998</v>
      </c>
      <c r="D32" s="4">
        <v>11</v>
      </c>
      <c r="E32" s="4" t="s">
        <v>486</v>
      </c>
      <c r="F32" s="102">
        <v>1</v>
      </c>
      <c r="G32" s="13">
        <v>1</v>
      </c>
      <c r="H32" s="31">
        <v>1</v>
      </c>
      <c r="I32" s="4">
        <v>1</v>
      </c>
      <c r="J32" s="8">
        <v>0</v>
      </c>
      <c r="K32" s="8">
        <v>0</v>
      </c>
      <c r="L32" s="14">
        <v>1</v>
      </c>
      <c r="M32" s="1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99">
        <v>0</v>
      </c>
      <c r="AC32" s="99">
        <v>0</v>
      </c>
    </row>
    <row r="33" spans="1:29" x14ac:dyDescent="0.35">
      <c r="A33" s="13">
        <v>32</v>
      </c>
      <c r="B33">
        <v>45.515590000000003</v>
      </c>
      <c r="C33">
        <v>91.971999999999994</v>
      </c>
      <c r="D33" s="4">
        <v>2</v>
      </c>
      <c r="E33" s="4" t="s">
        <v>485</v>
      </c>
      <c r="F33" s="102">
        <v>1</v>
      </c>
      <c r="G33" s="13">
        <v>1</v>
      </c>
      <c r="H33" s="31">
        <v>2</v>
      </c>
      <c r="I33" s="4">
        <v>1</v>
      </c>
      <c r="J33" s="8">
        <v>0</v>
      </c>
      <c r="K33" s="8">
        <v>1</v>
      </c>
      <c r="L33" s="14">
        <v>0</v>
      </c>
      <c r="M33" s="14">
        <v>0</v>
      </c>
      <c r="N33" s="4">
        <v>1</v>
      </c>
      <c r="O33" s="4">
        <v>0</v>
      </c>
      <c r="P33" s="4">
        <v>0</v>
      </c>
      <c r="Q33" s="4">
        <v>0</v>
      </c>
      <c r="R33" s="4">
        <v>0</v>
      </c>
      <c r="S33" s="4">
        <v>1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99">
        <v>0</v>
      </c>
      <c r="AC33" s="99">
        <v>1</v>
      </c>
    </row>
    <row r="34" spans="1:29" x14ac:dyDescent="0.35">
      <c r="A34" s="13">
        <v>33</v>
      </c>
      <c r="B34">
        <v>45.515599999999999</v>
      </c>
      <c r="C34">
        <v>91.971789999999999</v>
      </c>
      <c r="D34" s="4">
        <v>2.5</v>
      </c>
      <c r="E34" s="4" t="s">
        <v>484</v>
      </c>
      <c r="F34" s="102">
        <v>1</v>
      </c>
      <c r="G34" s="13">
        <v>1</v>
      </c>
      <c r="H34" s="31">
        <v>1</v>
      </c>
      <c r="I34" s="4">
        <v>2</v>
      </c>
      <c r="J34" s="8">
        <v>0</v>
      </c>
      <c r="K34" s="8">
        <v>2</v>
      </c>
      <c r="L34" s="14">
        <v>1</v>
      </c>
      <c r="M34" s="1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99">
        <v>0</v>
      </c>
      <c r="AC34" s="99">
        <v>2</v>
      </c>
    </row>
    <row r="35" spans="1:29" x14ac:dyDescent="0.35">
      <c r="A35" s="13">
        <v>34</v>
      </c>
      <c r="B35">
        <v>45.515599999999999</v>
      </c>
      <c r="C35">
        <v>91.97157</v>
      </c>
      <c r="D35" s="4">
        <v>3</v>
      </c>
      <c r="E35" s="4" t="s">
        <v>485</v>
      </c>
      <c r="F35" s="102">
        <v>1</v>
      </c>
      <c r="G35" s="13">
        <v>1</v>
      </c>
      <c r="H35" s="31">
        <v>2</v>
      </c>
      <c r="I35" s="4">
        <v>2</v>
      </c>
      <c r="J35" s="8">
        <v>0</v>
      </c>
      <c r="K35" s="8">
        <v>1</v>
      </c>
      <c r="L35" s="14">
        <v>2</v>
      </c>
      <c r="M35" s="14">
        <v>0</v>
      </c>
      <c r="N35" s="4">
        <v>1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99">
        <v>0</v>
      </c>
      <c r="AC35" s="99">
        <v>1</v>
      </c>
    </row>
    <row r="36" spans="1:29" x14ac:dyDescent="0.35">
      <c r="A36" s="13">
        <v>35</v>
      </c>
      <c r="B36">
        <v>45.515599999999999</v>
      </c>
      <c r="C36">
        <v>91.971350000000001</v>
      </c>
      <c r="D36" s="4">
        <v>6</v>
      </c>
      <c r="E36" s="4" t="s">
        <v>485</v>
      </c>
      <c r="F36" s="102">
        <v>1</v>
      </c>
      <c r="G36" s="13">
        <v>1</v>
      </c>
      <c r="H36" s="31">
        <v>1</v>
      </c>
      <c r="I36" s="4">
        <v>1</v>
      </c>
      <c r="J36" s="8">
        <v>4</v>
      </c>
      <c r="K36" s="8">
        <v>4</v>
      </c>
      <c r="L36" s="14">
        <v>0</v>
      </c>
      <c r="M36" s="14">
        <v>0</v>
      </c>
      <c r="N36" s="4">
        <v>1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99">
        <v>0</v>
      </c>
      <c r="AC36" s="99">
        <v>1</v>
      </c>
    </row>
    <row r="37" spans="1:29" x14ac:dyDescent="0.35">
      <c r="A37" s="13">
        <v>36</v>
      </c>
      <c r="B37">
        <v>45.515610000000002</v>
      </c>
      <c r="C37">
        <v>91.971130000000002</v>
      </c>
      <c r="D37" s="4">
        <v>8</v>
      </c>
      <c r="E37" s="4" t="s">
        <v>485</v>
      </c>
      <c r="F37" s="102">
        <v>1</v>
      </c>
      <c r="G37" s="13">
        <v>1</v>
      </c>
      <c r="H37" s="31">
        <v>1</v>
      </c>
      <c r="I37" s="4">
        <v>3</v>
      </c>
      <c r="J37" s="8">
        <v>0</v>
      </c>
      <c r="K37" s="8">
        <v>4</v>
      </c>
      <c r="L37" s="14">
        <v>3</v>
      </c>
      <c r="M37" s="1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99">
        <v>0</v>
      </c>
      <c r="AC37" s="99">
        <v>1</v>
      </c>
    </row>
    <row r="38" spans="1:29" x14ac:dyDescent="0.35">
      <c r="A38" s="13">
        <v>37</v>
      </c>
      <c r="B38">
        <v>45.515740000000001</v>
      </c>
      <c r="C38">
        <v>91.972329999999999</v>
      </c>
      <c r="D38" s="4">
        <v>1.5</v>
      </c>
      <c r="E38" s="4" t="s">
        <v>485</v>
      </c>
      <c r="F38" s="102">
        <v>1</v>
      </c>
      <c r="G38" s="13">
        <v>1</v>
      </c>
      <c r="H38" s="31">
        <v>1</v>
      </c>
      <c r="I38" s="4">
        <v>1</v>
      </c>
      <c r="J38" s="8">
        <v>0</v>
      </c>
      <c r="K38" s="8">
        <v>1</v>
      </c>
      <c r="L38" s="14">
        <v>0</v>
      </c>
      <c r="M38" s="1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1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99">
        <v>0</v>
      </c>
      <c r="AC38" s="99">
        <v>1</v>
      </c>
    </row>
    <row r="39" spans="1:29" x14ac:dyDescent="0.35">
      <c r="A39" s="13">
        <v>38</v>
      </c>
      <c r="B39">
        <v>45.515740000000001</v>
      </c>
      <c r="C39">
        <v>91.972120000000004</v>
      </c>
      <c r="D39" s="4">
        <v>4.5</v>
      </c>
      <c r="E39" s="4" t="s">
        <v>485</v>
      </c>
      <c r="F39" s="102">
        <v>1</v>
      </c>
      <c r="G39" s="13">
        <v>1</v>
      </c>
      <c r="H39" s="31">
        <v>1</v>
      </c>
      <c r="I39" s="4">
        <v>3</v>
      </c>
      <c r="J39" s="8">
        <v>0</v>
      </c>
      <c r="K39" s="8">
        <v>3</v>
      </c>
      <c r="L39" s="14">
        <v>1</v>
      </c>
      <c r="M39" s="1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99">
        <v>0</v>
      </c>
      <c r="AC39" s="99">
        <v>1</v>
      </c>
    </row>
    <row r="40" spans="1:29" x14ac:dyDescent="0.35">
      <c r="A40" s="13">
        <v>39</v>
      </c>
      <c r="B40">
        <v>45.515749999999997</v>
      </c>
      <c r="C40">
        <v>91.971900000000005</v>
      </c>
      <c r="D40" s="4">
        <v>6</v>
      </c>
      <c r="E40" s="4" t="s">
        <v>485</v>
      </c>
      <c r="F40" s="102">
        <v>1</v>
      </c>
      <c r="G40" s="13">
        <v>1</v>
      </c>
      <c r="H40" s="31">
        <v>2</v>
      </c>
      <c r="I40" s="4">
        <v>1</v>
      </c>
      <c r="J40" s="8">
        <v>0</v>
      </c>
      <c r="K40" s="8">
        <v>1</v>
      </c>
      <c r="L40" s="14">
        <v>1</v>
      </c>
      <c r="M40" s="1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1</v>
      </c>
      <c r="Y40" s="4">
        <v>0</v>
      </c>
      <c r="Z40" s="4">
        <v>0</v>
      </c>
      <c r="AA40" s="4">
        <v>0</v>
      </c>
      <c r="AB40" s="99">
        <v>0</v>
      </c>
      <c r="AC40" s="99">
        <v>1</v>
      </c>
    </row>
    <row r="41" spans="1:29" x14ac:dyDescent="0.35">
      <c r="A41" s="13">
        <v>40</v>
      </c>
      <c r="B41">
        <v>45.515889999999999</v>
      </c>
      <c r="C41">
        <v>91.972449999999995</v>
      </c>
      <c r="D41" s="4">
        <v>4</v>
      </c>
      <c r="E41" s="4" t="s">
        <v>485</v>
      </c>
      <c r="F41" s="102">
        <v>1</v>
      </c>
      <c r="G41" s="13">
        <v>1</v>
      </c>
      <c r="H41" s="31">
        <v>1</v>
      </c>
      <c r="I41" s="4">
        <v>3</v>
      </c>
      <c r="J41" s="8">
        <v>4</v>
      </c>
      <c r="K41" s="8">
        <v>3</v>
      </c>
      <c r="L41" s="14">
        <v>0</v>
      </c>
      <c r="M41" s="14">
        <v>0</v>
      </c>
      <c r="N41" s="4">
        <v>1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99">
        <v>0</v>
      </c>
      <c r="AC41" s="99">
        <v>1</v>
      </c>
    </row>
    <row r="42" spans="1:29" x14ac:dyDescent="0.35">
      <c r="A42" s="13">
        <v>41</v>
      </c>
      <c r="B42">
        <v>45.515889999999999</v>
      </c>
      <c r="C42">
        <v>91.972229999999996</v>
      </c>
      <c r="D42" s="4">
        <v>6</v>
      </c>
      <c r="E42" s="4" t="s">
        <v>485</v>
      </c>
      <c r="F42" s="102">
        <v>1</v>
      </c>
      <c r="G42" s="13">
        <v>1</v>
      </c>
      <c r="H42" s="31">
        <v>1</v>
      </c>
      <c r="I42" s="4">
        <v>3</v>
      </c>
      <c r="J42" s="8">
        <v>4</v>
      </c>
      <c r="K42" s="8">
        <v>3</v>
      </c>
      <c r="L42" s="14">
        <v>0</v>
      </c>
      <c r="M42" s="1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1</v>
      </c>
      <c r="Y42" s="4">
        <v>0</v>
      </c>
      <c r="Z42" s="4">
        <v>0</v>
      </c>
      <c r="AA42" s="4">
        <v>0</v>
      </c>
      <c r="AB42" s="99">
        <v>0</v>
      </c>
      <c r="AC42" s="99">
        <v>0</v>
      </c>
    </row>
    <row r="43" spans="1:29" x14ac:dyDescent="0.35">
      <c r="A43" s="13">
        <v>42</v>
      </c>
      <c r="B43">
        <v>45.516039999999997</v>
      </c>
      <c r="C43">
        <v>91.972560000000001</v>
      </c>
      <c r="D43" s="4">
        <v>3</v>
      </c>
      <c r="E43" s="4" t="s">
        <v>485</v>
      </c>
      <c r="F43" s="102">
        <v>1</v>
      </c>
      <c r="G43" s="13">
        <v>1</v>
      </c>
      <c r="H43" s="31">
        <v>1</v>
      </c>
      <c r="I43" s="4">
        <v>2</v>
      </c>
      <c r="J43" s="8">
        <v>0</v>
      </c>
      <c r="K43" s="8">
        <v>2</v>
      </c>
      <c r="L43" s="14">
        <v>0</v>
      </c>
      <c r="M43" s="14">
        <v>0</v>
      </c>
      <c r="N43" s="4">
        <v>0</v>
      </c>
      <c r="O43" s="4">
        <v>0</v>
      </c>
      <c r="P43" s="4">
        <v>0</v>
      </c>
      <c r="Q43" s="4">
        <v>1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99">
        <v>0</v>
      </c>
      <c r="AC43" s="99">
        <v>1</v>
      </c>
    </row>
    <row r="44" spans="1:29" x14ac:dyDescent="0.35">
      <c r="A44" s="13">
        <v>43</v>
      </c>
      <c r="B44">
        <v>45.51605</v>
      </c>
      <c r="C44">
        <v>91.972350000000006</v>
      </c>
      <c r="D44" s="4">
        <v>6.5</v>
      </c>
      <c r="E44" s="4" t="s">
        <v>485</v>
      </c>
      <c r="F44" s="102">
        <v>1</v>
      </c>
      <c r="G44" s="13">
        <v>1</v>
      </c>
      <c r="H44" s="31">
        <v>2</v>
      </c>
      <c r="I44" s="4">
        <v>1</v>
      </c>
      <c r="J44" s="8">
        <v>0</v>
      </c>
      <c r="K44" s="8">
        <v>1</v>
      </c>
      <c r="L44" s="14">
        <v>1</v>
      </c>
      <c r="M44" s="1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1</v>
      </c>
      <c r="Y44" s="4">
        <v>0</v>
      </c>
      <c r="Z44" s="4">
        <v>0</v>
      </c>
      <c r="AA44" s="4">
        <v>0</v>
      </c>
      <c r="AB44" s="99">
        <v>0</v>
      </c>
      <c r="AC44" s="99">
        <v>0</v>
      </c>
    </row>
    <row r="45" spans="1:29" x14ac:dyDescent="0.35">
      <c r="A45" s="13">
        <v>44</v>
      </c>
      <c r="B45">
        <v>45.516190000000002</v>
      </c>
      <c r="C45">
        <v>91.972679999999997</v>
      </c>
      <c r="D45" s="4">
        <v>2</v>
      </c>
      <c r="E45" s="4" t="s">
        <v>486</v>
      </c>
      <c r="F45" s="102">
        <v>1</v>
      </c>
      <c r="G45" s="13">
        <v>1</v>
      </c>
      <c r="H45" s="31">
        <v>2</v>
      </c>
      <c r="I45" s="4">
        <v>2</v>
      </c>
      <c r="J45" s="8">
        <v>1</v>
      </c>
      <c r="K45" s="8">
        <v>2</v>
      </c>
      <c r="L45" s="14">
        <v>0</v>
      </c>
      <c r="M45" s="14">
        <v>0</v>
      </c>
      <c r="N45" s="4">
        <v>1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1</v>
      </c>
      <c r="Y45" s="4">
        <v>0</v>
      </c>
      <c r="Z45" s="4">
        <v>0</v>
      </c>
      <c r="AA45" s="4">
        <v>0</v>
      </c>
      <c r="AB45" s="99">
        <v>0</v>
      </c>
      <c r="AC45" s="99">
        <v>0</v>
      </c>
    </row>
    <row r="46" spans="1:29" x14ac:dyDescent="0.35">
      <c r="A46" s="13">
        <v>45</v>
      </c>
      <c r="B46">
        <v>45.516199999999998</v>
      </c>
      <c r="C46">
        <v>91.972459999999998</v>
      </c>
      <c r="D46" s="4">
        <v>5</v>
      </c>
      <c r="E46" s="4" t="s">
        <v>484</v>
      </c>
      <c r="F46" s="102">
        <v>1</v>
      </c>
      <c r="G46" s="13">
        <v>1</v>
      </c>
      <c r="H46" s="31">
        <v>3</v>
      </c>
      <c r="I46" s="4">
        <v>2</v>
      </c>
      <c r="J46" s="8">
        <v>0</v>
      </c>
      <c r="K46" s="8">
        <v>0</v>
      </c>
      <c r="L46" s="14">
        <v>2</v>
      </c>
      <c r="M46" s="1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1</v>
      </c>
      <c r="X46" s="4">
        <v>1</v>
      </c>
      <c r="Y46" s="4">
        <v>0</v>
      </c>
      <c r="Z46" s="4">
        <v>0</v>
      </c>
      <c r="AA46" s="4">
        <v>0</v>
      </c>
      <c r="AB46" s="99">
        <v>0</v>
      </c>
      <c r="AC46" s="99">
        <v>0</v>
      </c>
    </row>
    <row r="47" spans="1:29" x14ac:dyDescent="0.35">
      <c r="A47" s="13">
        <v>46</v>
      </c>
      <c r="B47">
        <v>45.516350000000003</v>
      </c>
      <c r="C47">
        <v>91.972570000000005</v>
      </c>
      <c r="D47" s="4">
        <v>3.5</v>
      </c>
      <c r="E47" s="4" t="s">
        <v>485</v>
      </c>
      <c r="F47" s="102">
        <v>1</v>
      </c>
      <c r="G47" s="13">
        <v>1</v>
      </c>
      <c r="H47" s="31">
        <v>2</v>
      </c>
      <c r="I47" s="4">
        <v>2</v>
      </c>
      <c r="J47" s="8">
        <v>0</v>
      </c>
      <c r="K47" s="8">
        <v>4</v>
      </c>
      <c r="L47" s="14">
        <v>0</v>
      </c>
      <c r="M47" s="14">
        <v>0</v>
      </c>
      <c r="N47" s="4">
        <v>1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2</v>
      </c>
      <c r="Y47" s="4">
        <v>0</v>
      </c>
      <c r="Z47" s="4">
        <v>0</v>
      </c>
      <c r="AA47" s="4">
        <v>0</v>
      </c>
      <c r="AB47" s="99">
        <v>0</v>
      </c>
      <c r="AC47" s="99">
        <v>0</v>
      </c>
    </row>
    <row r="48" spans="1:29" x14ac:dyDescent="0.35">
      <c r="A48" s="13">
        <v>47</v>
      </c>
      <c r="B48">
        <v>45.516500000000001</v>
      </c>
      <c r="C48">
        <v>91.97269</v>
      </c>
      <c r="D48" s="4">
        <v>2</v>
      </c>
      <c r="E48" s="4" t="s">
        <v>485</v>
      </c>
      <c r="F48" s="102">
        <v>1</v>
      </c>
      <c r="G48" s="13">
        <v>1</v>
      </c>
      <c r="H48" s="31">
        <v>1</v>
      </c>
      <c r="I48" s="4">
        <v>1</v>
      </c>
      <c r="J48" s="8">
        <v>4</v>
      </c>
      <c r="K48" s="8">
        <v>0</v>
      </c>
      <c r="L48" s="14">
        <v>0</v>
      </c>
      <c r="M48" s="1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1</v>
      </c>
      <c r="Y48" s="4">
        <v>0</v>
      </c>
      <c r="Z48" s="4">
        <v>0</v>
      </c>
      <c r="AA48" s="4">
        <v>0</v>
      </c>
      <c r="AB48" s="99">
        <v>0</v>
      </c>
      <c r="AC48" s="99">
        <v>0</v>
      </c>
    </row>
    <row r="49" spans="1:29" x14ac:dyDescent="0.35">
      <c r="A49" s="13">
        <v>48</v>
      </c>
      <c r="B49">
        <v>45.516500000000001</v>
      </c>
      <c r="C49">
        <v>91.972470000000001</v>
      </c>
      <c r="D49" s="4">
        <v>4</v>
      </c>
      <c r="E49" s="4" t="s">
        <v>484</v>
      </c>
      <c r="F49" s="102">
        <v>1</v>
      </c>
      <c r="G49" s="13">
        <v>1</v>
      </c>
      <c r="H49" s="31">
        <v>5</v>
      </c>
      <c r="I49" s="4">
        <v>2</v>
      </c>
      <c r="J49" s="8">
        <v>0</v>
      </c>
      <c r="K49" s="8">
        <v>4</v>
      </c>
      <c r="L49" s="14">
        <v>1</v>
      </c>
      <c r="M49" s="14">
        <v>1</v>
      </c>
      <c r="N49" s="4">
        <v>2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1</v>
      </c>
      <c r="U49" s="4">
        <v>0</v>
      </c>
      <c r="V49" s="4">
        <v>0</v>
      </c>
      <c r="W49" s="4">
        <v>0</v>
      </c>
      <c r="X49" s="4">
        <v>2</v>
      </c>
      <c r="Y49" s="4">
        <v>0</v>
      </c>
      <c r="Z49" s="4">
        <v>0</v>
      </c>
      <c r="AA49" s="4">
        <v>0</v>
      </c>
      <c r="AB49" s="99">
        <v>0</v>
      </c>
      <c r="AC49" s="99">
        <v>0</v>
      </c>
    </row>
    <row r="50" spans="1:29" x14ac:dyDescent="0.35">
      <c r="A50" s="13">
        <v>49</v>
      </c>
      <c r="B50">
        <v>45.516649999999998</v>
      </c>
      <c r="C50">
        <v>91.972579999999994</v>
      </c>
      <c r="D50" s="4">
        <v>4</v>
      </c>
      <c r="E50" s="4" t="s">
        <v>484</v>
      </c>
      <c r="F50" s="102">
        <v>1</v>
      </c>
      <c r="G50" s="13">
        <v>1</v>
      </c>
      <c r="H50" s="31">
        <v>3</v>
      </c>
      <c r="I50" s="4">
        <v>2</v>
      </c>
      <c r="J50" s="8">
        <v>0</v>
      </c>
      <c r="K50" s="8">
        <v>4</v>
      </c>
      <c r="L50" s="14">
        <v>1</v>
      </c>
      <c r="M50" s="14">
        <v>0</v>
      </c>
      <c r="N50" s="4">
        <v>2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2</v>
      </c>
      <c r="Y50" s="4">
        <v>0</v>
      </c>
      <c r="Z50" s="4">
        <v>0</v>
      </c>
      <c r="AA50" s="4">
        <v>0</v>
      </c>
      <c r="AB50" s="99">
        <v>0</v>
      </c>
      <c r="AC50" s="99">
        <v>0</v>
      </c>
    </row>
    <row r="51" spans="1:29" x14ac:dyDescent="0.35">
      <c r="A51" s="13">
        <v>50</v>
      </c>
      <c r="B51">
        <v>45.516800000000003</v>
      </c>
      <c r="C51">
        <v>91.972700000000003</v>
      </c>
      <c r="D51" s="4">
        <v>3</v>
      </c>
      <c r="E51" s="4" t="s">
        <v>484</v>
      </c>
      <c r="F51" s="102">
        <v>1</v>
      </c>
      <c r="G51" s="13">
        <v>1</v>
      </c>
      <c r="H51" s="31">
        <v>3</v>
      </c>
      <c r="I51" s="4">
        <v>2</v>
      </c>
      <c r="J51" s="8">
        <v>0</v>
      </c>
      <c r="K51" s="8">
        <v>4</v>
      </c>
      <c r="L51" s="14">
        <v>2</v>
      </c>
      <c r="M51" s="1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1</v>
      </c>
      <c r="T51" s="4">
        <v>0</v>
      </c>
      <c r="U51" s="4">
        <v>0</v>
      </c>
      <c r="V51" s="4">
        <v>0</v>
      </c>
      <c r="W51" s="4">
        <v>0</v>
      </c>
      <c r="X51" s="4">
        <v>1</v>
      </c>
      <c r="Y51" s="4">
        <v>0</v>
      </c>
      <c r="Z51" s="4">
        <v>0</v>
      </c>
      <c r="AA51" s="4">
        <v>0</v>
      </c>
      <c r="AB51" s="99">
        <v>0</v>
      </c>
      <c r="AC51" s="99">
        <v>1</v>
      </c>
    </row>
    <row r="52" spans="1:29" x14ac:dyDescent="0.35">
      <c r="A52" s="13">
        <v>51</v>
      </c>
      <c r="B52">
        <v>45.51681</v>
      </c>
      <c r="C52">
        <v>91.972480000000004</v>
      </c>
      <c r="D52" s="4">
        <v>5</v>
      </c>
      <c r="E52" s="4" t="s">
        <v>485</v>
      </c>
      <c r="F52" s="102">
        <v>1</v>
      </c>
      <c r="G52" s="13">
        <v>1</v>
      </c>
      <c r="H52" s="31">
        <v>3</v>
      </c>
      <c r="I52" s="4">
        <v>2</v>
      </c>
      <c r="J52" s="8">
        <v>0</v>
      </c>
      <c r="K52" s="8">
        <v>0</v>
      </c>
      <c r="L52" s="14">
        <v>2</v>
      </c>
      <c r="M52" s="14">
        <v>0</v>
      </c>
      <c r="N52" s="4">
        <v>0</v>
      </c>
      <c r="O52" s="4">
        <v>0</v>
      </c>
      <c r="P52" s="4">
        <v>1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1</v>
      </c>
      <c r="Y52" s="4">
        <v>0</v>
      </c>
      <c r="Z52" s="4">
        <v>0</v>
      </c>
      <c r="AA52" s="4">
        <v>0</v>
      </c>
      <c r="AB52" s="99">
        <v>0</v>
      </c>
      <c r="AC52" s="99">
        <v>0</v>
      </c>
    </row>
    <row r="53" spans="1:29" x14ac:dyDescent="0.35">
      <c r="A53" s="13">
        <v>52</v>
      </c>
      <c r="B53">
        <v>45.516959999999997</v>
      </c>
      <c r="C53">
        <v>91.972809999999996</v>
      </c>
      <c r="D53" s="4">
        <v>2.5</v>
      </c>
      <c r="E53" s="4" t="s">
        <v>485</v>
      </c>
      <c r="F53" s="102">
        <v>1</v>
      </c>
      <c r="G53" s="13">
        <v>1</v>
      </c>
      <c r="H53" s="31">
        <v>2</v>
      </c>
      <c r="I53" s="4">
        <v>1</v>
      </c>
      <c r="J53" s="8">
        <v>0</v>
      </c>
      <c r="K53" s="8">
        <v>0</v>
      </c>
      <c r="L53" s="14">
        <v>1</v>
      </c>
      <c r="M53" s="14">
        <v>0</v>
      </c>
      <c r="N53" s="4">
        <v>1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99">
        <v>0</v>
      </c>
      <c r="AC53" s="99">
        <v>1</v>
      </c>
    </row>
    <row r="54" spans="1:29" x14ac:dyDescent="0.35">
      <c r="A54" s="13">
        <v>53</v>
      </c>
      <c r="B54">
        <v>45.516959999999997</v>
      </c>
      <c r="C54">
        <v>91.972589999999997</v>
      </c>
      <c r="D54" s="4">
        <v>5.5</v>
      </c>
      <c r="E54" s="4" t="s">
        <v>485</v>
      </c>
      <c r="F54" s="102">
        <v>1</v>
      </c>
      <c r="G54" s="13">
        <v>1</v>
      </c>
      <c r="H54" s="31">
        <v>1</v>
      </c>
      <c r="I54" s="4">
        <v>1</v>
      </c>
      <c r="J54" s="8">
        <v>0</v>
      </c>
      <c r="K54" s="8">
        <v>4</v>
      </c>
      <c r="L54" s="14">
        <v>1</v>
      </c>
      <c r="M54" s="1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99">
        <v>0</v>
      </c>
      <c r="AC54" s="99">
        <v>1</v>
      </c>
    </row>
    <row r="55" spans="1:29" x14ac:dyDescent="0.35">
      <c r="A55" s="13">
        <v>54</v>
      </c>
      <c r="B55">
        <v>45.517110000000002</v>
      </c>
      <c r="C55">
        <v>91.972710000000006</v>
      </c>
      <c r="D55" s="4">
        <v>2</v>
      </c>
      <c r="E55" s="4" t="s">
        <v>485</v>
      </c>
      <c r="F55" s="102">
        <v>1</v>
      </c>
      <c r="G55" s="13">
        <v>0</v>
      </c>
      <c r="H55" s="31">
        <v>0</v>
      </c>
      <c r="I55" s="4">
        <v>0</v>
      </c>
      <c r="J55" s="8">
        <v>0</v>
      </c>
      <c r="K55" s="8">
        <v>0</v>
      </c>
      <c r="L55" s="14">
        <v>0</v>
      </c>
      <c r="M55" s="1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99">
        <v>0</v>
      </c>
      <c r="AC55" s="99">
        <v>1</v>
      </c>
    </row>
    <row r="56" spans="1:29" x14ac:dyDescent="0.35">
      <c r="A56" s="13">
        <v>55</v>
      </c>
      <c r="B56">
        <v>45.517110000000002</v>
      </c>
      <c r="C56">
        <v>91.972489999999993</v>
      </c>
      <c r="D56" s="4">
        <v>3</v>
      </c>
      <c r="E56" s="4" t="s">
        <v>485</v>
      </c>
      <c r="F56" s="102">
        <v>1</v>
      </c>
      <c r="G56" s="13">
        <v>1</v>
      </c>
      <c r="H56" s="31">
        <v>0</v>
      </c>
      <c r="I56" s="4">
        <v>1</v>
      </c>
      <c r="J56" s="8">
        <v>0</v>
      </c>
      <c r="K56" s="8">
        <v>1</v>
      </c>
      <c r="L56" s="14">
        <v>0</v>
      </c>
      <c r="M56" s="1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99">
        <v>0</v>
      </c>
      <c r="AC56" s="99">
        <v>1</v>
      </c>
    </row>
    <row r="57" spans="1:29" x14ac:dyDescent="0.35">
      <c r="A57" s="13">
        <v>56</v>
      </c>
      <c r="B57">
        <v>45.51726</v>
      </c>
      <c r="C57">
        <v>91.972610000000003</v>
      </c>
      <c r="D57" s="4">
        <v>2</v>
      </c>
      <c r="E57" s="4" t="s">
        <v>485</v>
      </c>
      <c r="F57" s="102">
        <v>1</v>
      </c>
      <c r="G57" s="13">
        <v>1</v>
      </c>
      <c r="H57" s="31">
        <v>1</v>
      </c>
      <c r="I57" s="4">
        <v>1</v>
      </c>
      <c r="J57" s="8">
        <v>0</v>
      </c>
      <c r="K57" s="8">
        <v>0</v>
      </c>
      <c r="L57" s="14">
        <v>0</v>
      </c>
      <c r="M57" s="1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1</v>
      </c>
      <c r="X57" s="4">
        <v>0</v>
      </c>
      <c r="Y57" s="4">
        <v>0</v>
      </c>
      <c r="Z57" s="4">
        <v>0</v>
      </c>
      <c r="AA57" s="4">
        <v>0</v>
      </c>
      <c r="AB57" s="99">
        <v>0</v>
      </c>
      <c r="AC57" s="99">
        <v>0</v>
      </c>
    </row>
    <row r="58" spans="1:29" x14ac:dyDescent="0.35">
      <c r="A58" s="13">
        <v>57</v>
      </c>
      <c r="B58">
        <v>45.517270000000003</v>
      </c>
      <c r="C58">
        <v>91.972390000000004</v>
      </c>
      <c r="D58" s="4">
        <v>3</v>
      </c>
      <c r="E58" s="4" t="s">
        <v>485</v>
      </c>
      <c r="F58" s="102">
        <v>1</v>
      </c>
      <c r="G58" s="13">
        <v>1</v>
      </c>
      <c r="H58" s="31">
        <v>2</v>
      </c>
      <c r="I58" s="4">
        <v>1</v>
      </c>
      <c r="J58" s="8">
        <v>0</v>
      </c>
      <c r="K58" s="8">
        <v>0</v>
      </c>
      <c r="L58" s="14">
        <v>1</v>
      </c>
      <c r="M58" s="14">
        <v>0</v>
      </c>
      <c r="N58" s="4">
        <v>1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99">
        <v>0</v>
      </c>
      <c r="AC58" s="99">
        <v>1</v>
      </c>
    </row>
    <row r="59" spans="1:29" x14ac:dyDescent="0.35">
      <c r="A59" s="13">
        <v>58</v>
      </c>
      <c r="B59">
        <v>45.517440000000001</v>
      </c>
      <c r="C59">
        <v>91.969459999999998</v>
      </c>
      <c r="D59" s="4">
        <v>1.5</v>
      </c>
      <c r="E59" s="4" t="s">
        <v>486</v>
      </c>
      <c r="F59" s="102">
        <v>1</v>
      </c>
      <c r="G59" s="13">
        <v>1</v>
      </c>
      <c r="H59" s="31">
        <v>1</v>
      </c>
      <c r="I59" s="4">
        <v>1</v>
      </c>
      <c r="J59" s="8">
        <v>0</v>
      </c>
      <c r="K59" s="8">
        <v>4</v>
      </c>
      <c r="L59" s="14">
        <v>0</v>
      </c>
      <c r="M59" s="14">
        <v>0</v>
      </c>
      <c r="N59" s="4">
        <v>0</v>
      </c>
      <c r="O59" s="4">
        <v>0</v>
      </c>
      <c r="P59" s="4">
        <v>0</v>
      </c>
      <c r="Q59" s="4">
        <v>0</v>
      </c>
      <c r="R59" s="4">
        <v>1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99">
        <v>0</v>
      </c>
      <c r="AC59" s="99">
        <v>1</v>
      </c>
    </row>
    <row r="60" spans="1:29" x14ac:dyDescent="0.35">
      <c r="A60" s="13">
        <v>59</v>
      </c>
      <c r="B60">
        <v>45.517449999999997</v>
      </c>
      <c r="C60">
        <v>91.96902</v>
      </c>
      <c r="D60" s="4">
        <v>4</v>
      </c>
      <c r="E60" s="4" t="s">
        <v>486</v>
      </c>
      <c r="F60" s="102">
        <v>1</v>
      </c>
      <c r="G60" s="13">
        <v>1</v>
      </c>
      <c r="H60" s="31">
        <v>3</v>
      </c>
      <c r="I60" s="4">
        <v>3</v>
      </c>
      <c r="J60" s="8">
        <v>0</v>
      </c>
      <c r="K60" s="8">
        <v>3</v>
      </c>
      <c r="L60" s="14">
        <v>0</v>
      </c>
      <c r="M60" s="14">
        <v>0</v>
      </c>
      <c r="N60" s="4">
        <v>0</v>
      </c>
      <c r="O60" s="4">
        <v>0</v>
      </c>
      <c r="P60" s="4">
        <v>0</v>
      </c>
      <c r="Q60" s="4">
        <v>1</v>
      </c>
      <c r="R60" s="4">
        <v>0</v>
      </c>
      <c r="S60" s="4">
        <v>0</v>
      </c>
      <c r="T60" s="4">
        <v>0</v>
      </c>
      <c r="U60" s="4">
        <v>0</v>
      </c>
      <c r="V60" s="4">
        <v>1</v>
      </c>
      <c r="W60" s="4">
        <v>0</v>
      </c>
      <c r="X60" s="4">
        <v>1</v>
      </c>
      <c r="Y60" s="4">
        <v>0</v>
      </c>
      <c r="Z60" s="4">
        <v>0</v>
      </c>
      <c r="AA60" s="4">
        <v>0</v>
      </c>
      <c r="AB60" s="99">
        <v>0</v>
      </c>
      <c r="AC60" s="99">
        <v>1</v>
      </c>
    </row>
    <row r="61" spans="1:29" x14ac:dyDescent="0.35">
      <c r="A61" s="13">
        <v>60</v>
      </c>
      <c r="B61">
        <v>45.517440000000001</v>
      </c>
      <c r="C61">
        <v>91.969890000000007</v>
      </c>
      <c r="D61" s="4">
        <v>2.5</v>
      </c>
      <c r="E61" s="4" t="s">
        <v>484</v>
      </c>
      <c r="F61" s="102">
        <v>1</v>
      </c>
      <c r="G61" s="13">
        <v>1</v>
      </c>
      <c r="H61" s="31">
        <v>2</v>
      </c>
      <c r="I61" s="4">
        <v>1</v>
      </c>
      <c r="J61" s="8">
        <v>0</v>
      </c>
      <c r="K61" s="8">
        <v>0</v>
      </c>
      <c r="L61" s="14">
        <v>0</v>
      </c>
      <c r="M61" s="14">
        <v>0</v>
      </c>
      <c r="N61" s="4">
        <v>0</v>
      </c>
      <c r="O61" s="4">
        <v>0</v>
      </c>
      <c r="P61" s="4">
        <v>0</v>
      </c>
      <c r="Q61" s="4">
        <v>0</v>
      </c>
      <c r="R61" s="4">
        <v>1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1</v>
      </c>
      <c r="AA61" s="4">
        <v>0</v>
      </c>
      <c r="AB61" s="99">
        <v>0</v>
      </c>
      <c r="AC61" s="99">
        <v>1</v>
      </c>
    </row>
    <row r="62" spans="1:29" x14ac:dyDescent="0.35">
      <c r="A62" s="13">
        <v>61</v>
      </c>
      <c r="B62">
        <v>45.517420000000001</v>
      </c>
      <c r="C62">
        <v>91.972499999999997</v>
      </c>
      <c r="D62" s="4">
        <v>3</v>
      </c>
      <c r="E62" s="4" t="s">
        <v>485</v>
      </c>
      <c r="F62" s="102">
        <v>1</v>
      </c>
      <c r="G62" s="13">
        <v>1</v>
      </c>
      <c r="H62" s="31">
        <v>1</v>
      </c>
      <c r="I62" s="4">
        <v>1</v>
      </c>
      <c r="J62" s="8">
        <v>0</v>
      </c>
      <c r="K62" s="8">
        <v>0</v>
      </c>
      <c r="L62" s="14">
        <v>1</v>
      </c>
      <c r="M62" s="1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99">
        <v>0</v>
      </c>
      <c r="AC62" s="99">
        <v>0</v>
      </c>
    </row>
    <row r="63" spans="1:29" x14ac:dyDescent="0.35">
      <c r="A63" s="13">
        <v>62</v>
      </c>
      <c r="B63">
        <v>45.517420000000001</v>
      </c>
      <c r="C63">
        <v>91.972279999999998</v>
      </c>
      <c r="D63" s="4">
        <v>4.5</v>
      </c>
      <c r="E63" s="4" t="s">
        <v>485</v>
      </c>
      <c r="F63" s="102">
        <v>1</v>
      </c>
      <c r="G63" s="13">
        <v>1</v>
      </c>
      <c r="H63" s="31">
        <v>2</v>
      </c>
      <c r="I63" s="4">
        <v>1</v>
      </c>
      <c r="J63" s="8">
        <v>0</v>
      </c>
      <c r="K63" s="8">
        <v>0</v>
      </c>
      <c r="L63" s="14">
        <v>1</v>
      </c>
      <c r="M63" s="1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1</v>
      </c>
      <c r="X63" s="4">
        <v>0</v>
      </c>
      <c r="Y63" s="4">
        <v>0</v>
      </c>
      <c r="Z63" s="4">
        <v>0</v>
      </c>
      <c r="AA63" s="4">
        <v>0</v>
      </c>
      <c r="AB63" s="99">
        <v>0</v>
      </c>
      <c r="AC63" s="99">
        <v>0</v>
      </c>
    </row>
    <row r="64" spans="1:29" x14ac:dyDescent="0.35">
      <c r="A64" s="13">
        <v>63</v>
      </c>
      <c r="B64">
        <v>45.51746</v>
      </c>
      <c r="C64">
        <v>91.970110000000005</v>
      </c>
      <c r="D64" s="4">
        <v>2</v>
      </c>
      <c r="E64" s="4" t="s">
        <v>484</v>
      </c>
      <c r="F64" s="102">
        <v>1</v>
      </c>
      <c r="G64" s="13">
        <v>1</v>
      </c>
      <c r="H64" s="31">
        <v>3</v>
      </c>
      <c r="I64" s="4">
        <v>1</v>
      </c>
      <c r="J64" s="8">
        <v>0</v>
      </c>
      <c r="K64" s="8">
        <v>0</v>
      </c>
      <c r="L64" s="14">
        <v>0</v>
      </c>
      <c r="M64" s="14">
        <v>0</v>
      </c>
      <c r="N64" s="4">
        <v>0</v>
      </c>
      <c r="O64" s="4">
        <v>0</v>
      </c>
      <c r="P64" s="4">
        <v>0</v>
      </c>
      <c r="Q64" s="4">
        <v>0</v>
      </c>
      <c r="R64" s="4">
        <v>1</v>
      </c>
      <c r="S64" s="4">
        <v>0</v>
      </c>
      <c r="T64" s="4">
        <v>0</v>
      </c>
      <c r="U64" s="4">
        <v>0</v>
      </c>
      <c r="V64" s="4">
        <v>0</v>
      </c>
      <c r="W64" s="4">
        <v>1</v>
      </c>
      <c r="X64" s="4">
        <v>1</v>
      </c>
      <c r="Y64" s="4">
        <v>0</v>
      </c>
      <c r="Z64" s="4">
        <v>0</v>
      </c>
      <c r="AA64" s="4">
        <v>0</v>
      </c>
      <c r="AB64" s="99">
        <v>0</v>
      </c>
      <c r="AC64" s="99">
        <v>1</v>
      </c>
    </row>
    <row r="65" spans="1:29" x14ac:dyDescent="0.35">
      <c r="A65" s="13">
        <v>64</v>
      </c>
      <c r="B65">
        <v>45.517470000000003</v>
      </c>
      <c r="C65">
        <v>91.969669999999994</v>
      </c>
      <c r="D65" s="4">
        <v>1.5</v>
      </c>
      <c r="E65" s="4" t="s">
        <v>486</v>
      </c>
      <c r="F65" s="102">
        <v>1</v>
      </c>
      <c r="G65" s="13">
        <v>1</v>
      </c>
      <c r="H65" s="31">
        <v>1</v>
      </c>
      <c r="I65" s="4">
        <v>1</v>
      </c>
      <c r="J65" s="8">
        <v>0</v>
      </c>
      <c r="K65" s="8">
        <v>0</v>
      </c>
      <c r="L65" s="14">
        <v>0</v>
      </c>
      <c r="M65" s="14">
        <v>0</v>
      </c>
      <c r="N65" s="4">
        <v>0</v>
      </c>
      <c r="O65" s="4">
        <v>0</v>
      </c>
      <c r="P65" s="4">
        <v>0</v>
      </c>
      <c r="Q65" s="4">
        <v>0</v>
      </c>
      <c r="R65" s="4">
        <v>1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99">
        <v>0</v>
      </c>
      <c r="AC65" s="99">
        <v>0</v>
      </c>
    </row>
    <row r="66" spans="1:29" x14ac:dyDescent="0.35">
      <c r="A66" s="13">
        <v>65</v>
      </c>
      <c r="B66">
        <v>45.517479999999999</v>
      </c>
      <c r="C66">
        <v>91.969239999999999</v>
      </c>
      <c r="D66" s="4">
        <v>1.5</v>
      </c>
      <c r="E66" s="4" t="s">
        <v>486</v>
      </c>
      <c r="F66" s="102">
        <v>1</v>
      </c>
      <c r="G66" s="13">
        <v>1</v>
      </c>
      <c r="H66" s="31">
        <v>1</v>
      </c>
      <c r="I66" s="4">
        <v>1</v>
      </c>
      <c r="J66" s="8">
        <v>0</v>
      </c>
      <c r="K66" s="8">
        <v>0</v>
      </c>
      <c r="L66" s="14">
        <v>0</v>
      </c>
      <c r="M66" s="1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1</v>
      </c>
      <c r="X66" s="4">
        <v>0</v>
      </c>
      <c r="Y66" s="4">
        <v>0</v>
      </c>
      <c r="Z66" s="4">
        <v>0</v>
      </c>
      <c r="AA66" s="4">
        <v>0</v>
      </c>
      <c r="AB66" s="99">
        <v>0</v>
      </c>
      <c r="AC66" s="99">
        <v>1</v>
      </c>
    </row>
    <row r="67" spans="1:29" x14ac:dyDescent="0.35">
      <c r="A67" s="13">
        <v>66</v>
      </c>
      <c r="B67">
        <v>45.517470000000003</v>
      </c>
      <c r="C67">
        <v>91.970550000000003</v>
      </c>
      <c r="D67" s="4">
        <v>5</v>
      </c>
      <c r="E67" s="4" t="s">
        <v>484</v>
      </c>
      <c r="F67" s="102">
        <v>1</v>
      </c>
      <c r="G67" s="13">
        <v>1</v>
      </c>
      <c r="H67" s="31">
        <v>1</v>
      </c>
      <c r="I67" s="4">
        <v>2</v>
      </c>
      <c r="J67" s="8">
        <v>0</v>
      </c>
      <c r="K67" s="8">
        <v>0</v>
      </c>
      <c r="L67" s="14">
        <v>0</v>
      </c>
      <c r="M67" s="14">
        <v>0</v>
      </c>
      <c r="N67" s="4">
        <v>0</v>
      </c>
      <c r="O67" s="4">
        <v>2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99">
        <v>0</v>
      </c>
      <c r="AC67" s="99">
        <v>1</v>
      </c>
    </row>
    <row r="68" spans="1:29" x14ac:dyDescent="0.35">
      <c r="A68" s="13">
        <v>67</v>
      </c>
      <c r="B68">
        <v>45.517470000000003</v>
      </c>
      <c r="C68">
        <v>91.970759999999999</v>
      </c>
      <c r="D68" s="4">
        <v>6</v>
      </c>
      <c r="E68" s="4" t="s">
        <v>484</v>
      </c>
      <c r="F68" s="102">
        <v>1</v>
      </c>
      <c r="G68" s="13">
        <v>1</v>
      </c>
      <c r="H68" s="31">
        <v>4</v>
      </c>
      <c r="I68" s="4">
        <v>1</v>
      </c>
      <c r="J68" s="8">
        <v>0</v>
      </c>
      <c r="K68" s="8">
        <v>0</v>
      </c>
      <c r="L68" s="14">
        <v>0</v>
      </c>
      <c r="M68" s="14">
        <v>0</v>
      </c>
      <c r="N68" s="4">
        <v>0</v>
      </c>
      <c r="O68" s="4">
        <v>1</v>
      </c>
      <c r="P68" s="4">
        <v>0</v>
      </c>
      <c r="Q68" s="4">
        <v>0</v>
      </c>
      <c r="R68" s="4">
        <v>1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1</v>
      </c>
      <c r="Y68" s="4">
        <v>0</v>
      </c>
      <c r="Z68" s="4">
        <v>0</v>
      </c>
      <c r="AA68" s="4">
        <v>1</v>
      </c>
      <c r="AB68" s="99">
        <v>0</v>
      </c>
      <c r="AC68" s="99">
        <v>1</v>
      </c>
    </row>
    <row r="69" spans="1:29" x14ac:dyDescent="0.35">
      <c r="A69" s="13">
        <v>68</v>
      </c>
      <c r="B69">
        <v>45.517490000000002</v>
      </c>
      <c r="C69">
        <v>91.970320000000001</v>
      </c>
      <c r="D69" s="4">
        <v>2.5</v>
      </c>
      <c r="E69" s="4" t="s">
        <v>484</v>
      </c>
      <c r="F69" s="102">
        <v>1</v>
      </c>
      <c r="G69" s="13">
        <v>1</v>
      </c>
      <c r="H69" s="31">
        <v>3</v>
      </c>
      <c r="I69" s="4">
        <v>1</v>
      </c>
      <c r="J69" s="8">
        <v>0</v>
      </c>
      <c r="K69" s="8">
        <v>0</v>
      </c>
      <c r="L69" s="14">
        <v>0</v>
      </c>
      <c r="M69" s="14">
        <v>0</v>
      </c>
      <c r="N69" s="4">
        <v>0</v>
      </c>
      <c r="O69" s="4">
        <v>1</v>
      </c>
      <c r="P69" s="4">
        <v>0</v>
      </c>
      <c r="Q69" s="4">
        <v>0</v>
      </c>
      <c r="R69" s="4">
        <v>1</v>
      </c>
      <c r="S69" s="4">
        <v>0</v>
      </c>
      <c r="T69" s="4">
        <v>0</v>
      </c>
      <c r="U69" s="4">
        <v>0</v>
      </c>
      <c r="V69" s="4">
        <v>0</v>
      </c>
      <c r="W69" s="4">
        <v>1</v>
      </c>
      <c r="X69" s="4">
        <v>0</v>
      </c>
      <c r="Y69" s="4">
        <v>0</v>
      </c>
      <c r="Z69" s="4">
        <v>0</v>
      </c>
      <c r="AA69" s="4">
        <v>0</v>
      </c>
      <c r="AB69" s="99">
        <v>0</v>
      </c>
      <c r="AC69" s="99">
        <v>1</v>
      </c>
    </row>
    <row r="70" spans="1:29" x14ac:dyDescent="0.35">
      <c r="A70" s="13">
        <v>69</v>
      </c>
      <c r="B70">
        <v>45.517589999999998</v>
      </c>
      <c r="C70">
        <v>91.970879999999994</v>
      </c>
      <c r="D70" s="4">
        <v>1</v>
      </c>
      <c r="E70" s="4" t="s">
        <v>484</v>
      </c>
      <c r="F70" s="102">
        <v>1</v>
      </c>
      <c r="G70" s="13">
        <v>1</v>
      </c>
      <c r="H70" s="31">
        <v>2</v>
      </c>
      <c r="I70" s="4">
        <v>1</v>
      </c>
      <c r="J70" s="8">
        <v>0</v>
      </c>
      <c r="K70" s="8">
        <v>0</v>
      </c>
      <c r="L70" s="14">
        <v>0</v>
      </c>
      <c r="M70" s="1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1</v>
      </c>
      <c r="W70" s="4">
        <v>1</v>
      </c>
      <c r="X70" s="4">
        <v>0</v>
      </c>
      <c r="Y70" s="4">
        <v>0</v>
      </c>
      <c r="Z70" s="4">
        <v>0</v>
      </c>
      <c r="AA70" s="4">
        <v>0</v>
      </c>
      <c r="AB70" s="99">
        <v>0</v>
      </c>
      <c r="AC70" s="99">
        <v>2</v>
      </c>
    </row>
    <row r="71" spans="1:29" x14ac:dyDescent="0.35">
      <c r="A71" s="13">
        <v>70</v>
      </c>
      <c r="B71">
        <v>45.517569999999999</v>
      </c>
      <c r="C71">
        <v>91.972399999999993</v>
      </c>
      <c r="D71" s="4">
        <v>3</v>
      </c>
      <c r="E71" s="4" t="s">
        <v>485</v>
      </c>
      <c r="F71" s="102">
        <v>1</v>
      </c>
      <c r="G71" s="13">
        <v>1</v>
      </c>
      <c r="H71" s="31">
        <v>1</v>
      </c>
      <c r="I71" s="4">
        <v>2</v>
      </c>
      <c r="J71" s="8">
        <v>0</v>
      </c>
      <c r="K71" s="8">
        <v>2</v>
      </c>
      <c r="L71" s="14">
        <v>2</v>
      </c>
      <c r="M71" s="1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99">
        <v>0</v>
      </c>
      <c r="AC71" s="99">
        <v>1</v>
      </c>
    </row>
    <row r="72" spans="1:29" x14ac:dyDescent="0.35">
      <c r="A72" s="13">
        <v>71</v>
      </c>
      <c r="B72">
        <v>45.517580000000002</v>
      </c>
      <c r="C72">
        <v>91.972179999999994</v>
      </c>
      <c r="D72" s="4">
        <v>5</v>
      </c>
      <c r="E72" s="4" t="s">
        <v>485</v>
      </c>
      <c r="F72" s="102">
        <v>1</v>
      </c>
      <c r="G72" s="13">
        <v>1</v>
      </c>
      <c r="H72" s="31">
        <v>1</v>
      </c>
      <c r="I72" s="4">
        <v>1</v>
      </c>
      <c r="J72" s="8">
        <v>0</v>
      </c>
      <c r="K72" s="8">
        <v>0</v>
      </c>
      <c r="L72" s="14">
        <v>1</v>
      </c>
      <c r="M72" s="1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99">
        <v>0</v>
      </c>
      <c r="AC72" s="99">
        <v>1</v>
      </c>
    </row>
    <row r="73" spans="1:29" x14ac:dyDescent="0.35">
      <c r="A73" s="13">
        <v>72</v>
      </c>
      <c r="B73">
        <v>45.517580000000002</v>
      </c>
      <c r="C73">
        <v>91.971959999999996</v>
      </c>
      <c r="D73" s="4">
        <v>8</v>
      </c>
      <c r="E73" s="4" t="s">
        <v>485</v>
      </c>
      <c r="F73" s="102">
        <v>1</v>
      </c>
      <c r="G73" s="13">
        <v>1</v>
      </c>
      <c r="H73" s="31">
        <v>2</v>
      </c>
      <c r="I73" s="4">
        <v>2</v>
      </c>
      <c r="J73" s="8">
        <v>0</v>
      </c>
      <c r="K73" s="8">
        <v>0</v>
      </c>
      <c r="L73" s="14">
        <v>2</v>
      </c>
      <c r="M73" s="1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1</v>
      </c>
      <c r="Y73" s="4">
        <v>0</v>
      </c>
      <c r="Z73" s="4">
        <v>0</v>
      </c>
      <c r="AA73" s="4">
        <v>0</v>
      </c>
      <c r="AB73" s="99">
        <v>0</v>
      </c>
      <c r="AC73" s="99">
        <v>0</v>
      </c>
    </row>
    <row r="74" spans="1:29" x14ac:dyDescent="0.35">
      <c r="A74" s="13">
        <v>73</v>
      </c>
      <c r="B74">
        <v>45.517589999999998</v>
      </c>
      <c r="C74">
        <v>91.97175</v>
      </c>
      <c r="D74" s="4">
        <v>9.5</v>
      </c>
      <c r="E74" s="4" t="s">
        <v>485</v>
      </c>
      <c r="F74" s="102">
        <v>1</v>
      </c>
      <c r="G74" s="13">
        <v>1</v>
      </c>
      <c r="H74" s="31">
        <v>1</v>
      </c>
      <c r="I74" s="4">
        <v>2</v>
      </c>
      <c r="J74" s="8">
        <v>0</v>
      </c>
      <c r="K74" s="8">
        <v>0</v>
      </c>
      <c r="L74" s="14">
        <v>2</v>
      </c>
      <c r="M74" s="1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99">
        <v>0</v>
      </c>
      <c r="AC74" s="99">
        <v>0</v>
      </c>
    </row>
    <row r="75" spans="1:29" x14ac:dyDescent="0.35">
      <c r="A75" s="13">
        <v>74</v>
      </c>
      <c r="B75">
        <v>45.517589999999998</v>
      </c>
      <c r="C75">
        <v>91.971530000000001</v>
      </c>
      <c r="D75" s="4">
        <v>8</v>
      </c>
      <c r="E75" s="4" t="s">
        <v>485</v>
      </c>
      <c r="F75" s="102">
        <v>1</v>
      </c>
      <c r="G75" s="13">
        <v>1</v>
      </c>
      <c r="H75" s="31">
        <v>1</v>
      </c>
      <c r="I75" s="4">
        <v>2</v>
      </c>
      <c r="J75" s="8">
        <v>4</v>
      </c>
      <c r="K75" s="8">
        <v>4</v>
      </c>
      <c r="L75" s="14">
        <v>2</v>
      </c>
      <c r="M75" s="1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99">
        <v>0</v>
      </c>
      <c r="AC75" s="99">
        <v>0</v>
      </c>
    </row>
    <row r="76" spans="1:29" x14ac:dyDescent="0.35">
      <c r="A76" s="13">
        <v>75</v>
      </c>
      <c r="B76">
        <v>45.517589999999998</v>
      </c>
      <c r="C76">
        <v>91.971310000000003</v>
      </c>
      <c r="D76" s="4">
        <v>7</v>
      </c>
      <c r="E76" s="4" t="s">
        <v>485</v>
      </c>
      <c r="F76" s="102">
        <v>1</v>
      </c>
      <c r="G76" s="13">
        <v>1</v>
      </c>
      <c r="H76" s="31">
        <v>2</v>
      </c>
      <c r="I76" s="4">
        <v>2</v>
      </c>
      <c r="J76" s="8">
        <v>4</v>
      </c>
      <c r="K76" s="8">
        <v>2</v>
      </c>
      <c r="L76" s="14">
        <v>1</v>
      </c>
      <c r="M76" s="1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1</v>
      </c>
      <c r="Y76" s="4">
        <v>0</v>
      </c>
      <c r="Z76" s="4">
        <v>0</v>
      </c>
      <c r="AA76" s="4">
        <v>0</v>
      </c>
      <c r="AB76" s="99">
        <v>0</v>
      </c>
      <c r="AC76" s="99">
        <v>1</v>
      </c>
    </row>
    <row r="77" spans="1:29" x14ac:dyDescent="0.35">
      <c r="A77" s="13">
        <v>76</v>
      </c>
      <c r="B77">
        <v>45.517600000000002</v>
      </c>
      <c r="C77">
        <v>91.971090000000004</v>
      </c>
      <c r="D77" s="4">
        <v>3</v>
      </c>
      <c r="E77" s="4" t="s">
        <v>484</v>
      </c>
      <c r="F77" s="102">
        <v>1</v>
      </c>
      <c r="G77" s="13">
        <v>1</v>
      </c>
      <c r="H77" s="31">
        <v>3</v>
      </c>
      <c r="I77" s="4">
        <v>1</v>
      </c>
      <c r="J77" s="8">
        <v>0</v>
      </c>
      <c r="K77" s="8">
        <v>4</v>
      </c>
      <c r="L77" s="14">
        <v>1</v>
      </c>
      <c r="M77" s="14">
        <v>0</v>
      </c>
      <c r="N77" s="4">
        <v>0</v>
      </c>
      <c r="O77" s="4">
        <v>1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1</v>
      </c>
      <c r="Y77" s="4">
        <v>0</v>
      </c>
      <c r="Z77" s="4">
        <v>0</v>
      </c>
      <c r="AA77" s="4">
        <v>0</v>
      </c>
      <c r="AB77" s="99">
        <v>0</v>
      </c>
      <c r="AC77" s="99">
        <v>1</v>
      </c>
    </row>
    <row r="78" spans="1:29" x14ac:dyDescent="0.35">
      <c r="A78" s="13">
        <v>77</v>
      </c>
      <c r="B78">
        <v>45.517690000000002</v>
      </c>
      <c r="C78">
        <v>91.971649999999997</v>
      </c>
      <c r="D78" s="4">
        <v>3</v>
      </c>
      <c r="E78" s="4" t="s">
        <v>484</v>
      </c>
      <c r="F78" s="102">
        <v>1</v>
      </c>
      <c r="G78" s="13">
        <v>1</v>
      </c>
      <c r="H78" s="31">
        <v>2</v>
      </c>
      <c r="I78" s="4">
        <v>2</v>
      </c>
      <c r="J78" s="8">
        <v>4</v>
      </c>
      <c r="K78" s="8">
        <v>2</v>
      </c>
      <c r="L78" s="14">
        <v>1</v>
      </c>
      <c r="M78" s="1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1</v>
      </c>
      <c r="Y78" s="4">
        <v>0</v>
      </c>
      <c r="Z78" s="4">
        <v>0</v>
      </c>
      <c r="AA78" s="4">
        <v>0</v>
      </c>
      <c r="AB78" s="99">
        <v>0</v>
      </c>
      <c r="AC78" s="99">
        <v>1</v>
      </c>
    </row>
    <row r="79" spans="1:29" x14ac:dyDescent="0.35">
      <c r="A79" s="13">
        <v>78</v>
      </c>
      <c r="B79">
        <v>45.517690000000002</v>
      </c>
      <c r="C79">
        <v>91.972300000000004</v>
      </c>
      <c r="D79" s="4">
        <v>4</v>
      </c>
      <c r="E79" s="4" t="s">
        <v>485</v>
      </c>
      <c r="F79" s="102">
        <v>1</v>
      </c>
      <c r="G79" s="13">
        <v>1</v>
      </c>
      <c r="H79" s="31">
        <v>1</v>
      </c>
      <c r="I79" s="4">
        <v>2</v>
      </c>
      <c r="J79" s="8">
        <v>0</v>
      </c>
      <c r="K79" s="8">
        <v>2</v>
      </c>
      <c r="L79" s="14">
        <v>2</v>
      </c>
      <c r="M79" s="1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99">
        <v>0</v>
      </c>
      <c r="AC79" s="99">
        <v>1</v>
      </c>
    </row>
    <row r="80" spans="1:29" x14ac:dyDescent="0.35">
      <c r="A80" s="13">
        <v>79</v>
      </c>
      <c r="B80">
        <v>45.517710000000001</v>
      </c>
      <c r="C80">
        <v>91.971869999999996</v>
      </c>
      <c r="D80" s="4">
        <v>2</v>
      </c>
      <c r="E80" s="4" t="s">
        <v>486</v>
      </c>
      <c r="F80" s="102">
        <v>1</v>
      </c>
      <c r="G80" s="13">
        <v>1</v>
      </c>
      <c r="H80" s="31">
        <v>1</v>
      </c>
      <c r="I80" s="4">
        <v>1</v>
      </c>
      <c r="J80" s="8">
        <v>0</v>
      </c>
      <c r="K80" s="8">
        <v>4</v>
      </c>
      <c r="L80" s="14">
        <v>0</v>
      </c>
      <c r="M80" s="1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1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99">
        <v>0</v>
      </c>
      <c r="AC80" s="99">
        <v>1</v>
      </c>
    </row>
    <row r="81" spans="1:29" x14ac:dyDescent="0.35">
      <c r="A81" s="13">
        <v>80</v>
      </c>
      <c r="B81">
        <v>45.517719999999997</v>
      </c>
      <c r="C81">
        <v>91.97251</v>
      </c>
      <c r="D81" s="4">
        <v>1.5</v>
      </c>
      <c r="E81" s="4" t="s">
        <v>485</v>
      </c>
      <c r="F81" s="102">
        <v>1</v>
      </c>
      <c r="G81" s="13">
        <v>1</v>
      </c>
      <c r="H81" s="31">
        <v>2</v>
      </c>
      <c r="I81" s="4">
        <v>1</v>
      </c>
      <c r="J81" s="8">
        <v>0</v>
      </c>
      <c r="K81" s="8">
        <v>0</v>
      </c>
      <c r="L81" s="14">
        <v>1</v>
      </c>
      <c r="M81" s="1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1</v>
      </c>
      <c r="Y81" s="4">
        <v>0</v>
      </c>
      <c r="Z81" s="4">
        <v>0</v>
      </c>
      <c r="AA81" s="4">
        <v>0</v>
      </c>
      <c r="AB81" s="99">
        <v>0</v>
      </c>
      <c r="AC81" s="99">
        <v>2</v>
      </c>
    </row>
  </sheetData>
  <sheetProtection formatCells="0" sort="0"/>
  <protectedRanges>
    <protectedRange sqref="I2:I8 E2:E81" name="Range1_3"/>
    <protectedRange sqref="B2:C8" name="Range1_1_1"/>
  </protectedRanges>
  <dataValidations count="6">
    <dataValidation type="decimal" allowBlank="1" showInputMessage="1" showErrorMessage="1" error="Is your depth really more than 99 feet?" sqref="D2:D64408" xr:uid="{00000000-0002-0000-0000-000000000000}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E2:E81" xr:uid="{00000000-0002-0000-0000-000001000000}">
      <formula1>"M,m,s,S,R,r"</formula1>
    </dataValidation>
    <dataValidation type="list" allowBlank="1" showInputMessage="1" showErrorMessage="1" error="Please enter an overall rake fullness of 1, 2, 3 or leave cell blank if no plants found" sqref="I2:I81" xr:uid="{00000000-0002-0000-0000-000002000000}">
      <formula1>"1,2,3"</formula1>
    </dataValidation>
    <dataValidation type="whole" allowBlank="1" showInputMessage="1" showErrorMessage="1" errorTitle="Presence/Absence Data" error="Enter 1 if present" sqref="M82:AA64408 AC82:AC64408" xr:uid="{00000000-0002-0000-0000-000003000000}">
      <formula1>1</formula1>
      <formula2>1</formula2>
    </dataValidation>
    <dataValidation type="list" allowBlank="1" showInputMessage="1" showErrorMessage="1" sqref="AB82:AB64408 I1 L1 I82:L64408" xr:uid="{00000000-0002-0000-0000-000004000000}">
      <formula1>"V,v,1,2,3"</formula1>
    </dataValidation>
    <dataValidation type="list" allowBlank="1" showInputMessage="1" showErrorMessage="1" error="Please enter a rake fullness rating of 1, 2, 3 or V (visual).  If species not found, leave cell blank." sqref="J2:AC81" xr:uid="{00000000-0002-0000-0000-000005000000}">
      <formula1>"V,v,1,2,3"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81"/>
  <sheetViews>
    <sheetView tabSelected="1" workbookViewId="0">
      <pane xSplit="10" ySplit="1" topLeftCell="K2" activePane="bottomRight" state="frozen"/>
      <selection pane="topRight" activeCell="K1" sqref="K1"/>
      <selection pane="bottomLeft" activeCell="A2" sqref="A2"/>
      <selection pane="bottomRight"/>
    </sheetView>
  </sheetViews>
  <sheetFormatPr defaultColWidth="5.6640625" defaultRowHeight="12.75" x14ac:dyDescent="0.35"/>
  <cols>
    <col min="1" max="1" width="11.53125" style="4" bestFit="1" customWidth="1"/>
    <col min="2" max="2" width="4.46484375" style="100" customWidth="1"/>
    <col min="3" max="4" width="7.86328125" style="100" customWidth="1"/>
    <col min="5" max="6" width="7" style="100" customWidth="1"/>
    <col min="7" max="8" width="4.46484375" style="100" customWidth="1"/>
    <col min="9" max="9" width="15.6640625" style="104" customWidth="1"/>
    <col min="10" max="10" width="5" style="14" bestFit="1" customWidth="1"/>
    <col min="11" max="11" width="11" style="4" customWidth="1"/>
    <col min="12" max="12" width="13.33203125" style="4" customWidth="1"/>
    <col min="13" max="15" width="5.6640625" style="4" customWidth="1"/>
    <col min="16" max="16" width="24.86328125" style="4" bestFit="1" customWidth="1"/>
    <col min="17" max="17" width="5.6640625" style="4" customWidth="1"/>
    <col min="18" max="19" width="6.6640625" style="4" customWidth="1"/>
    <col min="20" max="23" width="5.6640625" style="11" customWidth="1"/>
    <col min="24" max="155" width="5.6640625" style="4" customWidth="1"/>
    <col min="156" max="156" width="5.6640625" style="11" customWidth="1"/>
    <col min="157" max="16384" width="5.6640625" style="4"/>
  </cols>
  <sheetData>
    <row r="1" spans="1:169" s="3" customFormat="1" ht="190.25" customHeight="1" x14ac:dyDescent="0.7">
      <c r="A1" s="16" t="s">
        <v>15</v>
      </c>
      <c r="B1" s="28" t="s">
        <v>21</v>
      </c>
      <c r="C1" s="28" t="s">
        <v>30</v>
      </c>
      <c r="D1" s="28" t="s">
        <v>31</v>
      </c>
      <c r="E1" s="29" t="s">
        <v>29</v>
      </c>
      <c r="F1" s="29" t="s">
        <v>330</v>
      </c>
      <c r="G1" s="30" t="s">
        <v>18</v>
      </c>
      <c r="H1" s="101" t="s">
        <v>19</v>
      </c>
      <c r="I1" s="17"/>
      <c r="J1" s="103" t="s">
        <v>0</v>
      </c>
      <c r="K1" s="5" t="s">
        <v>43</v>
      </c>
      <c r="L1" s="3" t="s">
        <v>22</v>
      </c>
      <c r="M1" s="12" t="s">
        <v>42</v>
      </c>
      <c r="N1" s="3" t="s">
        <v>331</v>
      </c>
      <c r="O1" s="3" t="s">
        <v>17</v>
      </c>
      <c r="P1" s="7" t="s">
        <v>4</v>
      </c>
      <c r="Q1" s="7" t="s">
        <v>475</v>
      </c>
      <c r="R1" s="10" t="s">
        <v>332</v>
      </c>
      <c r="S1" s="10" t="s">
        <v>40</v>
      </c>
      <c r="T1" s="53" t="s">
        <v>333</v>
      </c>
      <c r="U1" s="53" t="s">
        <v>328</v>
      </c>
      <c r="V1" s="53" t="s">
        <v>472</v>
      </c>
      <c r="W1" s="53" t="s">
        <v>329</v>
      </c>
      <c r="X1" s="6" t="s">
        <v>334</v>
      </c>
      <c r="Y1" s="6" t="s">
        <v>335</v>
      </c>
      <c r="Z1" s="6" t="s">
        <v>336</v>
      </c>
      <c r="AA1" s="6" t="s">
        <v>337</v>
      </c>
      <c r="AB1" s="6" t="s">
        <v>338</v>
      </c>
      <c r="AC1" s="6" t="s">
        <v>339</v>
      </c>
      <c r="AD1" s="6" t="s">
        <v>340</v>
      </c>
      <c r="AE1" s="6" t="s">
        <v>341</v>
      </c>
      <c r="AF1" s="6" t="s">
        <v>342</v>
      </c>
      <c r="AG1" s="6" t="s">
        <v>474</v>
      </c>
      <c r="AH1" s="6" t="s">
        <v>343</v>
      </c>
      <c r="AI1" s="6" t="s">
        <v>344</v>
      </c>
      <c r="AJ1" s="6" t="s">
        <v>345</v>
      </c>
      <c r="AK1" s="6" t="s">
        <v>346</v>
      </c>
      <c r="AL1" s="6" t="s">
        <v>347</v>
      </c>
      <c r="AM1" s="6" t="s">
        <v>348</v>
      </c>
      <c r="AN1" s="6" t="s">
        <v>349</v>
      </c>
      <c r="AO1" s="6" t="s">
        <v>350</v>
      </c>
      <c r="AP1" s="6" t="s">
        <v>351</v>
      </c>
      <c r="AQ1" s="6" t="s">
        <v>352</v>
      </c>
      <c r="AR1" s="6" t="s">
        <v>353</v>
      </c>
      <c r="AS1" s="6" t="s">
        <v>354</v>
      </c>
      <c r="AT1" s="6" t="s">
        <v>355</v>
      </c>
      <c r="AU1" s="6" t="s">
        <v>356</v>
      </c>
      <c r="AV1" s="6" t="s">
        <v>357</v>
      </c>
      <c r="AW1" s="6" t="s">
        <v>358</v>
      </c>
      <c r="AX1" s="6" t="s">
        <v>359</v>
      </c>
      <c r="AY1" s="6" t="s">
        <v>360</v>
      </c>
      <c r="AZ1" s="6" t="s">
        <v>361</v>
      </c>
      <c r="BA1" s="6" t="s">
        <v>362</v>
      </c>
      <c r="BB1" s="6" t="s">
        <v>363</v>
      </c>
      <c r="BC1" s="6" t="s">
        <v>364</v>
      </c>
      <c r="BD1" s="6" t="s">
        <v>365</v>
      </c>
      <c r="BE1" s="6" t="s">
        <v>366</v>
      </c>
      <c r="BF1" s="6" t="s">
        <v>367</v>
      </c>
      <c r="BG1" s="6" t="s">
        <v>368</v>
      </c>
      <c r="BH1" s="6" t="s">
        <v>369</v>
      </c>
      <c r="BI1" s="6" t="s">
        <v>370</v>
      </c>
      <c r="BJ1" s="6" t="s">
        <v>371</v>
      </c>
      <c r="BK1" s="6" t="s">
        <v>372</v>
      </c>
      <c r="BL1" s="6" t="s">
        <v>373</v>
      </c>
      <c r="BM1" s="6" t="s">
        <v>374</v>
      </c>
      <c r="BN1" s="6" t="s">
        <v>375</v>
      </c>
      <c r="BO1" s="6" t="s">
        <v>376</v>
      </c>
      <c r="BP1" s="6" t="s">
        <v>377</v>
      </c>
      <c r="BQ1" s="6" t="s">
        <v>378</v>
      </c>
      <c r="BR1" s="6" t="s">
        <v>379</v>
      </c>
      <c r="BS1" s="6" t="s">
        <v>380</v>
      </c>
      <c r="BT1" s="6" t="s">
        <v>381</v>
      </c>
      <c r="BU1" s="6" t="s">
        <v>382</v>
      </c>
      <c r="BV1" s="6" t="s">
        <v>383</v>
      </c>
      <c r="BW1" s="6" t="s">
        <v>384</v>
      </c>
      <c r="BX1" s="6" t="s">
        <v>385</v>
      </c>
      <c r="BY1" s="6" t="s">
        <v>386</v>
      </c>
      <c r="BZ1" s="6" t="s">
        <v>387</v>
      </c>
      <c r="CA1" s="6" t="s">
        <v>388</v>
      </c>
      <c r="CB1" s="6" t="s">
        <v>389</v>
      </c>
      <c r="CC1" s="6" t="s">
        <v>390</v>
      </c>
      <c r="CD1" s="6" t="s">
        <v>391</v>
      </c>
      <c r="CE1" s="6" t="s">
        <v>392</v>
      </c>
      <c r="CF1" s="6" t="s">
        <v>393</v>
      </c>
      <c r="CG1" s="6" t="s">
        <v>394</v>
      </c>
      <c r="CH1" s="6" t="s">
        <v>395</v>
      </c>
      <c r="CI1" s="6" t="s">
        <v>396</v>
      </c>
      <c r="CJ1" s="6" t="s">
        <v>397</v>
      </c>
      <c r="CK1" s="6" t="s">
        <v>398</v>
      </c>
      <c r="CL1" s="6" t="s">
        <v>399</v>
      </c>
      <c r="CM1" s="6" t="s">
        <v>400</v>
      </c>
      <c r="CN1" s="6" t="s">
        <v>401</v>
      </c>
      <c r="CO1" s="6" t="s">
        <v>402</v>
      </c>
      <c r="CP1" s="6" t="s">
        <v>403</v>
      </c>
      <c r="CQ1" s="6" t="s">
        <v>404</v>
      </c>
      <c r="CR1" s="6" t="s">
        <v>405</v>
      </c>
      <c r="CS1" s="6" t="s">
        <v>406</v>
      </c>
      <c r="CT1" s="6" t="s">
        <v>407</v>
      </c>
      <c r="CU1" s="6" t="s">
        <v>408</v>
      </c>
      <c r="CV1" s="6" t="s">
        <v>409</v>
      </c>
      <c r="CW1" s="6" t="s">
        <v>410</v>
      </c>
      <c r="CX1" s="6" t="s">
        <v>411</v>
      </c>
      <c r="CY1" s="6" t="s">
        <v>412</v>
      </c>
      <c r="CZ1" s="6" t="s">
        <v>413</v>
      </c>
      <c r="DA1" s="6" t="s">
        <v>414</v>
      </c>
      <c r="DB1" s="6" t="s">
        <v>415</v>
      </c>
      <c r="DC1" s="6" t="s">
        <v>416</v>
      </c>
      <c r="DD1" s="6" t="s">
        <v>417</v>
      </c>
      <c r="DE1" s="6" t="s">
        <v>418</v>
      </c>
      <c r="DF1" s="6" t="s">
        <v>419</v>
      </c>
      <c r="DG1" s="6" t="s">
        <v>420</v>
      </c>
      <c r="DH1" s="6" t="s">
        <v>421</v>
      </c>
      <c r="DI1" s="6" t="s">
        <v>422</v>
      </c>
      <c r="DJ1" s="6" t="s">
        <v>423</v>
      </c>
      <c r="DK1" s="6" t="s">
        <v>424</v>
      </c>
      <c r="DL1" s="6" t="s">
        <v>425</v>
      </c>
      <c r="DM1" s="6" t="s">
        <v>426</v>
      </c>
      <c r="DN1" s="6" t="s">
        <v>427</v>
      </c>
      <c r="DO1" s="6" t="s">
        <v>428</v>
      </c>
      <c r="DP1" s="6" t="s">
        <v>429</v>
      </c>
      <c r="DQ1" s="6" t="s">
        <v>430</v>
      </c>
      <c r="DR1" s="6" t="s">
        <v>431</v>
      </c>
      <c r="DS1" s="6" t="s">
        <v>432</v>
      </c>
      <c r="DT1" s="6" t="s">
        <v>433</v>
      </c>
      <c r="DU1" s="6" t="s">
        <v>434</v>
      </c>
      <c r="DV1" s="6" t="s">
        <v>435</v>
      </c>
      <c r="DW1" s="6" t="s">
        <v>436</v>
      </c>
      <c r="DX1" s="6" t="s">
        <v>437</v>
      </c>
      <c r="DY1" s="6" t="s">
        <v>438</v>
      </c>
      <c r="DZ1" s="6" t="s">
        <v>439</v>
      </c>
      <c r="EA1" s="6" t="s">
        <v>440</v>
      </c>
      <c r="EB1" s="6" t="s">
        <v>441</v>
      </c>
      <c r="EC1" s="6" t="s">
        <v>442</v>
      </c>
      <c r="ED1" s="6" t="s">
        <v>443</v>
      </c>
      <c r="EE1" s="6" t="s">
        <v>444</v>
      </c>
      <c r="EF1" s="6" t="s">
        <v>445</v>
      </c>
      <c r="EG1" s="6" t="s">
        <v>446</v>
      </c>
      <c r="EH1" s="6" t="s">
        <v>447</v>
      </c>
      <c r="EI1" s="6" t="s">
        <v>448</v>
      </c>
      <c r="EJ1" s="6" t="s">
        <v>449</v>
      </c>
      <c r="EK1" s="6" t="s">
        <v>450</v>
      </c>
      <c r="EL1" s="6" t="s">
        <v>451</v>
      </c>
      <c r="EM1" s="6" t="s">
        <v>452</v>
      </c>
      <c r="EN1" s="6" t="s">
        <v>453</v>
      </c>
      <c r="EO1" s="6" t="s">
        <v>454</v>
      </c>
      <c r="EP1" s="6" t="s">
        <v>455</v>
      </c>
      <c r="EQ1" s="6" t="s">
        <v>456</v>
      </c>
      <c r="ER1" s="6" t="s">
        <v>457</v>
      </c>
      <c r="ES1" s="6" t="s">
        <v>458</v>
      </c>
      <c r="ET1" s="6" t="s">
        <v>459</v>
      </c>
      <c r="EU1" s="6" t="s">
        <v>460</v>
      </c>
      <c r="EV1" s="6" t="s">
        <v>461</v>
      </c>
      <c r="EW1" s="6" t="s">
        <v>462</v>
      </c>
      <c r="EX1" s="6" t="s">
        <v>463</v>
      </c>
      <c r="EY1" s="6" t="s">
        <v>464</v>
      </c>
      <c r="EZ1" s="96" t="s">
        <v>477</v>
      </c>
      <c r="FA1" s="97" t="s">
        <v>478</v>
      </c>
      <c r="FB1" s="97" t="s">
        <v>479</v>
      </c>
      <c r="FC1" s="98" t="s">
        <v>465</v>
      </c>
      <c r="FD1" s="98" t="s">
        <v>466</v>
      </c>
      <c r="FE1" s="3" t="s">
        <v>52</v>
      </c>
      <c r="FF1" s="3" t="s">
        <v>51</v>
      </c>
      <c r="FG1" s="3" t="s">
        <v>5</v>
      </c>
      <c r="FH1" s="3" t="s">
        <v>6</v>
      </c>
      <c r="FI1" s="3" t="s">
        <v>7</v>
      </c>
      <c r="FJ1" s="3" t="s">
        <v>8</v>
      </c>
      <c r="FK1" s="3" t="s">
        <v>9</v>
      </c>
      <c r="FL1" s="3" t="s">
        <v>10</v>
      </c>
      <c r="FM1" s="3" t="s">
        <v>11</v>
      </c>
    </row>
    <row r="2" spans="1:169" ht="13.15" x14ac:dyDescent="0.4">
      <c r="A2" s="18" t="s">
        <v>45</v>
      </c>
      <c r="B2" s="31">
        <f t="shared" ref="B2:B65" si="0">COUNT(R2:EY2,FE2:FM2)</f>
        <v>5</v>
      </c>
      <c r="C2" s="31">
        <f t="shared" ref="C2:C65" si="1">IF(COUNT(R2:EY2,FE2:FM2)&gt;0,COUNT(R2:EY2,FE2:FM2),"")</f>
        <v>5</v>
      </c>
      <c r="D2" s="31">
        <f t="shared" ref="D2:D65" si="2">IF(COUNT(T2:BJ2,BL2:BT2,BV2:CB2,CD2:EY2,FE2:FM2)&gt;0,COUNT(T2:BJ2,BL2:BT2,BV2:CB2,CD2:EY2,FE2:FM2),"")</f>
        <v>4</v>
      </c>
      <c r="E2" s="31">
        <f t="shared" ref="E2:E65" si="3">IF(H2=1,COUNT(R2:EY2,FE2:FM2),"")</f>
        <v>5</v>
      </c>
      <c r="F2" s="31">
        <f t="shared" ref="F2:F65" si="4">IF(H2=1,COUNT(T2:BJ2,BL2:BT2,BV2:CB2,CD2:EY2,FE2:FM2),"")</f>
        <v>4</v>
      </c>
      <c r="G2" s="31">
        <f t="shared" ref="G2:G65" si="5">IF($B2&gt;=1,$M2,"")</f>
        <v>5.5</v>
      </c>
      <c r="H2" s="102">
        <f>IF(AND(M2&gt;0,M2&lt;=STATS!$C$22),1,"")</f>
        <v>1</v>
      </c>
      <c r="I2" s="165" t="s">
        <v>512</v>
      </c>
      <c r="J2" s="13">
        <v>1</v>
      </c>
      <c r="K2">
        <v>45.511580000000002</v>
      </c>
      <c r="L2">
        <v>91.95599</v>
      </c>
      <c r="M2" s="4">
        <v>5.5</v>
      </c>
      <c r="N2" s="4" t="s">
        <v>485</v>
      </c>
      <c r="O2" s="177" t="s">
        <v>487</v>
      </c>
      <c r="Q2" s="4">
        <v>2</v>
      </c>
      <c r="R2" s="8"/>
      <c r="S2" s="8">
        <v>2</v>
      </c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>
        <v>2</v>
      </c>
      <c r="AF2" s="14"/>
      <c r="AG2" s="14"/>
      <c r="AH2" s="14"/>
      <c r="BO2" s="4">
        <v>1</v>
      </c>
      <c r="CO2" s="4">
        <v>1</v>
      </c>
      <c r="DE2" s="4">
        <v>1</v>
      </c>
      <c r="EZ2" s="99"/>
      <c r="FA2" s="99"/>
      <c r="FB2" s="99"/>
      <c r="FC2" s="99"/>
      <c r="FD2" s="99"/>
    </row>
    <row r="3" spans="1:169" ht="13.15" x14ac:dyDescent="0.4">
      <c r="A3" s="18" t="s">
        <v>25</v>
      </c>
      <c r="B3" s="31">
        <f t="shared" si="0"/>
        <v>5</v>
      </c>
      <c r="C3" s="31">
        <f t="shared" si="1"/>
        <v>5</v>
      </c>
      <c r="D3" s="31">
        <f t="shared" si="2"/>
        <v>4</v>
      </c>
      <c r="E3" s="31">
        <f t="shared" si="3"/>
        <v>5</v>
      </c>
      <c r="F3" s="31">
        <f t="shared" si="4"/>
        <v>4</v>
      </c>
      <c r="G3" s="31">
        <f t="shared" si="5"/>
        <v>7</v>
      </c>
      <c r="H3" s="102">
        <f>IF(AND(M3&gt;0,M3&lt;=STATS!$C$22),1,"")</f>
        <v>1</v>
      </c>
      <c r="I3" s="165" t="s">
        <v>511</v>
      </c>
      <c r="J3" s="13">
        <v>2</v>
      </c>
      <c r="K3">
        <v>45.511580000000002</v>
      </c>
      <c r="L3">
        <v>91.956180000000003</v>
      </c>
      <c r="M3" s="4">
        <v>7</v>
      </c>
      <c r="N3" s="4" t="s">
        <v>485</v>
      </c>
      <c r="O3" s="177" t="s">
        <v>487</v>
      </c>
      <c r="Q3" s="4">
        <v>2</v>
      </c>
      <c r="R3" s="8"/>
      <c r="S3" s="8">
        <v>1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>
        <v>2</v>
      </c>
      <c r="AF3" s="14"/>
      <c r="AG3" s="14"/>
      <c r="AH3" s="14"/>
      <c r="BO3" s="4">
        <v>2</v>
      </c>
      <c r="CO3" s="4">
        <v>1</v>
      </c>
      <c r="DE3" s="4">
        <v>1</v>
      </c>
      <c r="EZ3" s="99"/>
      <c r="FA3" s="99"/>
      <c r="FB3" s="99"/>
      <c r="FC3" s="99"/>
      <c r="FD3" s="99"/>
    </row>
    <row r="4" spans="1:169" ht="13.15" x14ac:dyDescent="0.4">
      <c r="A4" s="18" t="s">
        <v>26</v>
      </c>
      <c r="B4" s="31">
        <f t="shared" si="0"/>
        <v>4</v>
      </c>
      <c r="C4" s="31">
        <f t="shared" si="1"/>
        <v>4</v>
      </c>
      <c r="D4" s="31">
        <f t="shared" si="2"/>
        <v>4</v>
      </c>
      <c r="E4" s="31">
        <f t="shared" si="3"/>
        <v>4</v>
      </c>
      <c r="F4" s="31">
        <f t="shared" si="4"/>
        <v>4</v>
      </c>
      <c r="G4" s="31">
        <f t="shared" si="5"/>
        <v>8.5</v>
      </c>
      <c r="H4" s="102">
        <f>IF(AND(M4&gt;0,M4&lt;=STATS!$C$22),1,"")</f>
        <v>1</v>
      </c>
      <c r="I4" s="166">
        <v>2098200</v>
      </c>
      <c r="J4" s="13">
        <v>3</v>
      </c>
      <c r="K4">
        <v>45.51173</v>
      </c>
      <c r="L4">
        <v>91.956310000000002</v>
      </c>
      <c r="M4" s="4">
        <v>8.5</v>
      </c>
      <c r="N4" s="4" t="s">
        <v>486</v>
      </c>
      <c r="O4" s="177" t="s">
        <v>487</v>
      </c>
      <c r="Q4" s="4">
        <v>1</v>
      </c>
      <c r="R4" s="8" t="s">
        <v>514</v>
      </c>
      <c r="S4" s="8" t="s">
        <v>514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Q4" s="4">
        <v>1</v>
      </c>
      <c r="BO4" s="4">
        <v>1</v>
      </c>
      <c r="CY4" s="4">
        <v>1</v>
      </c>
      <c r="DE4" s="4">
        <v>1</v>
      </c>
      <c r="EZ4" s="99"/>
      <c r="FA4" s="99"/>
      <c r="FB4" s="99"/>
      <c r="FC4" s="99"/>
      <c r="FD4" s="99"/>
    </row>
    <row r="5" spans="1:169" ht="13.15" x14ac:dyDescent="0.4">
      <c r="A5" s="22" t="s">
        <v>46</v>
      </c>
      <c r="B5" s="31">
        <f t="shared" si="0"/>
        <v>4</v>
      </c>
      <c r="C5" s="31">
        <f t="shared" si="1"/>
        <v>4</v>
      </c>
      <c r="D5" s="31">
        <f t="shared" si="2"/>
        <v>3</v>
      </c>
      <c r="E5" s="31">
        <f t="shared" si="3"/>
        <v>4</v>
      </c>
      <c r="F5" s="31">
        <f t="shared" si="4"/>
        <v>3</v>
      </c>
      <c r="G5" s="31">
        <f t="shared" si="5"/>
        <v>5.5</v>
      </c>
      <c r="H5" s="102">
        <f>IF(AND(M5&gt;0,M5&lt;=STATS!$C$22),1,"")</f>
        <v>1</v>
      </c>
      <c r="I5" s="167">
        <v>43255</v>
      </c>
      <c r="J5" s="13">
        <v>4</v>
      </c>
      <c r="K5">
        <v>45.51173</v>
      </c>
      <c r="L5">
        <v>91.956090000000003</v>
      </c>
      <c r="M5" s="4">
        <v>5.5</v>
      </c>
      <c r="N5" s="4" t="s">
        <v>486</v>
      </c>
      <c r="O5" s="177" t="s">
        <v>487</v>
      </c>
      <c r="Q5" s="4">
        <v>2</v>
      </c>
      <c r="R5" s="8"/>
      <c r="S5" s="8">
        <v>2</v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>
        <v>1</v>
      </c>
      <c r="AF5" s="14"/>
      <c r="AG5" s="14"/>
      <c r="AH5" s="14"/>
      <c r="BO5" s="4">
        <v>1</v>
      </c>
      <c r="CO5" s="4">
        <v>1</v>
      </c>
      <c r="EZ5" s="99"/>
      <c r="FA5" s="99"/>
      <c r="FB5" s="99"/>
      <c r="FC5" s="99"/>
      <c r="FD5" s="99"/>
    </row>
    <row r="6" spans="1:169" ht="13.15" x14ac:dyDescent="0.4">
      <c r="A6" s="18" t="s">
        <v>47</v>
      </c>
      <c r="B6" s="31">
        <f t="shared" si="0"/>
        <v>4</v>
      </c>
      <c r="C6" s="31">
        <f t="shared" si="1"/>
        <v>4</v>
      </c>
      <c r="D6" s="31">
        <f t="shared" si="2"/>
        <v>4</v>
      </c>
      <c r="E6" s="31">
        <f t="shared" si="3"/>
        <v>4</v>
      </c>
      <c r="F6" s="31">
        <f t="shared" si="4"/>
        <v>4</v>
      </c>
      <c r="G6" s="31">
        <f t="shared" si="5"/>
        <v>6</v>
      </c>
      <c r="H6" s="102">
        <f>IF(AND(M6&gt;0,M6&lt;=STATS!$C$22),1,"")</f>
        <v>1</v>
      </c>
      <c r="I6" s="164" t="s">
        <v>327</v>
      </c>
      <c r="J6" s="13">
        <v>5</v>
      </c>
      <c r="K6">
        <v>45.511740000000003</v>
      </c>
      <c r="L6">
        <v>91.955870000000004</v>
      </c>
      <c r="M6" s="4">
        <v>6</v>
      </c>
      <c r="N6" s="4" t="s">
        <v>485</v>
      </c>
      <c r="O6" s="177" t="s">
        <v>487</v>
      </c>
      <c r="Q6" s="4">
        <v>2</v>
      </c>
      <c r="R6" s="8"/>
      <c r="S6" s="8" t="s">
        <v>514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>
        <v>2</v>
      </c>
      <c r="AF6" s="14"/>
      <c r="AG6" s="14"/>
      <c r="AH6" s="14"/>
      <c r="BO6" s="4">
        <v>1</v>
      </c>
      <c r="CO6" s="4">
        <v>2</v>
      </c>
      <c r="CZ6" s="4">
        <v>1</v>
      </c>
      <c r="EZ6" s="99"/>
      <c r="FA6" s="99"/>
      <c r="FB6" s="99"/>
      <c r="FC6" s="99"/>
      <c r="FD6" s="99"/>
    </row>
    <row r="7" spans="1:169" ht="13.15" x14ac:dyDescent="0.4">
      <c r="A7" s="18"/>
      <c r="B7" s="31">
        <f t="shared" si="0"/>
        <v>0</v>
      </c>
      <c r="C7" s="31" t="str">
        <f t="shared" si="1"/>
        <v/>
      </c>
      <c r="D7" s="31" t="str">
        <f t="shared" si="2"/>
        <v/>
      </c>
      <c r="E7" s="31">
        <f t="shared" si="3"/>
        <v>0</v>
      </c>
      <c r="F7" s="31">
        <f t="shared" si="4"/>
        <v>0</v>
      </c>
      <c r="G7" s="31" t="str">
        <f t="shared" si="5"/>
        <v/>
      </c>
      <c r="H7" s="102">
        <f>IF(AND(M7&gt;0,M7&lt;=STATS!$C$22),1,"")</f>
        <v>1</v>
      </c>
      <c r="I7" s="165" t="s">
        <v>513</v>
      </c>
      <c r="J7" s="13">
        <v>6</v>
      </c>
      <c r="K7">
        <v>45.511879999999998</v>
      </c>
      <c r="L7">
        <v>91.956410000000005</v>
      </c>
      <c r="M7" s="4">
        <v>11</v>
      </c>
      <c r="N7" s="4" t="s">
        <v>486</v>
      </c>
      <c r="O7" s="177" t="s">
        <v>487</v>
      </c>
      <c r="R7" s="8"/>
      <c r="S7" s="8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EZ7" s="99"/>
      <c r="FA7" s="99"/>
      <c r="FB7" s="99"/>
      <c r="FC7" s="99"/>
      <c r="FD7" s="99"/>
    </row>
    <row r="8" spans="1:169" ht="13.15" x14ac:dyDescent="0.4">
      <c r="A8" s="18"/>
      <c r="B8" s="31">
        <f t="shared" si="0"/>
        <v>5</v>
      </c>
      <c r="C8" s="31">
        <f t="shared" si="1"/>
        <v>5</v>
      </c>
      <c r="D8" s="31">
        <f t="shared" si="2"/>
        <v>4</v>
      </c>
      <c r="E8" s="31">
        <f t="shared" si="3"/>
        <v>5</v>
      </c>
      <c r="F8" s="31">
        <f t="shared" si="4"/>
        <v>4</v>
      </c>
      <c r="G8" s="31">
        <f t="shared" si="5"/>
        <v>9.5</v>
      </c>
      <c r="H8" s="102">
        <f>IF(AND(M8&gt;0,M8&lt;=STATS!$C$22),1,"")</f>
        <v>1</v>
      </c>
      <c r="I8" s="164"/>
      <c r="J8" s="13">
        <v>7</v>
      </c>
      <c r="K8">
        <v>45.511890000000001</v>
      </c>
      <c r="L8">
        <v>91.956199999999995</v>
      </c>
      <c r="M8" s="4">
        <v>9.5</v>
      </c>
      <c r="N8" s="4" t="s">
        <v>484</v>
      </c>
      <c r="O8" s="177" t="s">
        <v>487</v>
      </c>
      <c r="Q8" s="4">
        <v>1</v>
      </c>
      <c r="R8" s="8" t="s">
        <v>514</v>
      </c>
      <c r="S8" s="8">
        <v>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>
        <v>1</v>
      </c>
      <c r="AF8" s="14"/>
      <c r="AG8" s="14"/>
      <c r="AH8" s="14"/>
      <c r="CO8" s="4">
        <v>1</v>
      </c>
      <c r="CY8" s="4">
        <v>1</v>
      </c>
      <c r="DE8" s="4">
        <v>1</v>
      </c>
      <c r="EZ8" s="99"/>
      <c r="FA8" s="99"/>
      <c r="FB8" s="99">
        <v>1</v>
      </c>
      <c r="FC8" s="99"/>
      <c r="FD8" s="99"/>
    </row>
    <row r="9" spans="1:169" ht="13.15" x14ac:dyDescent="0.4">
      <c r="A9" s="23"/>
      <c r="B9" s="31">
        <f t="shared" si="0"/>
        <v>3</v>
      </c>
      <c r="C9" s="31">
        <f t="shared" si="1"/>
        <v>3</v>
      </c>
      <c r="D9" s="31">
        <f t="shared" si="2"/>
        <v>3</v>
      </c>
      <c r="E9" s="31">
        <f t="shared" si="3"/>
        <v>3</v>
      </c>
      <c r="F9" s="31">
        <f t="shared" si="4"/>
        <v>3</v>
      </c>
      <c r="G9" s="31">
        <f t="shared" si="5"/>
        <v>8.5</v>
      </c>
      <c r="H9" s="102">
        <f>IF(AND(M9&gt;0,M9&lt;=STATS!$C$22),1,"")</f>
        <v>1</v>
      </c>
      <c r="J9" s="13">
        <v>8</v>
      </c>
      <c r="K9">
        <v>45.511890000000001</v>
      </c>
      <c r="L9">
        <v>91.95599</v>
      </c>
      <c r="M9" s="4">
        <v>8.5</v>
      </c>
      <c r="N9" s="4" t="s">
        <v>484</v>
      </c>
      <c r="O9" s="177" t="s">
        <v>487</v>
      </c>
      <c r="Q9" s="4">
        <v>1</v>
      </c>
      <c r="R9" s="8" t="s">
        <v>514</v>
      </c>
      <c r="S9" s="8" t="s">
        <v>514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>
        <v>1</v>
      </c>
      <c r="AF9" s="14"/>
      <c r="AG9" s="14"/>
      <c r="AH9" s="14"/>
      <c r="CO9" s="4">
        <v>1</v>
      </c>
      <c r="CY9" s="4">
        <v>1</v>
      </c>
      <c r="EZ9" s="99"/>
      <c r="FA9" s="99"/>
      <c r="FB9" s="99"/>
      <c r="FC9" s="99"/>
      <c r="FD9" s="99"/>
    </row>
    <row r="10" spans="1:169" ht="13.15" x14ac:dyDescent="0.4">
      <c r="A10" s="18"/>
      <c r="B10" s="31">
        <f t="shared" si="0"/>
        <v>3</v>
      </c>
      <c r="C10" s="31">
        <f t="shared" si="1"/>
        <v>3</v>
      </c>
      <c r="D10" s="31">
        <f t="shared" si="2"/>
        <v>3</v>
      </c>
      <c r="E10" s="31">
        <f t="shared" si="3"/>
        <v>3</v>
      </c>
      <c r="F10" s="31">
        <f t="shared" si="4"/>
        <v>3</v>
      </c>
      <c r="G10" s="31">
        <f t="shared" si="5"/>
        <v>7</v>
      </c>
      <c r="H10" s="102">
        <f>IF(AND(M10&gt;0,M10&lt;=STATS!$C$22),1,"")</f>
        <v>1</v>
      </c>
      <c r="J10" s="13">
        <v>9</v>
      </c>
      <c r="K10">
        <v>45.511899999999997</v>
      </c>
      <c r="L10">
        <v>91.955789999999993</v>
      </c>
      <c r="M10" s="4">
        <v>7</v>
      </c>
      <c r="N10" s="4" t="s">
        <v>485</v>
      </c>
      <c r="O10" s="177" t="s">
        <v>487</v>
      </c>
      <c r="Q10" s="4">
        <v>1</v>
      </c>
      <c r="R10" s="8"/>
      <c r="S10" s="8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>
        <v>1</v>
      </c>
      <c r="AF10" s="14"/>
      <c r="AG10" s="14"/>
      <c r="AH10" s="14"/>
      <c r="CY10" s="4">
        <v>1</v>
      </c>
      <c r="DE10" s="4">
        <v>1</v>
      </c>
      <c r="EZ10" s="99"/>
      <c r="FA10" s="99"/>
      <c r="FB10" s="99"/>
      <c r="FC10" s="99"/>
      <c r="FD10" s="99"/>
    </row>
    <row r="11" spans="1:169" ht="13.15" x14ac:dyDescent="0.4">
      <c r="A11" s="18"/>
      <c r="B11" s="31">
        <f t="shared" si="0"/>
        <v>0</v>
      </c>
      <c r="C11" s="31" t="str">
        <f t="shared" si="1"/>
        <v/>
      </c>
      <c r="D11" s="31" t="str">
        <f t="shared" si="2"/>
        <v/>
      </c>
      <c r="E11" s="31">
        <f t="shared" si="3"/>
        <v>0</v>
      </c>
      <c r="F11" s="31">
        <f t="shared" si="4"/>
        <v>0</v>
      </c>
      <c r="G11" s="31" t="str">
        <f t="shared" si="5"/>
        <v/>
      </c>
      <c r="H11" s="102">
        <f>IF(AND(M11&gt;0,M11&lt;=STATS!$C$22),1,"")</f>
        <v>1</v>
      </c>
      <c r="J11" s="13">
        <v>10</v>
      </c>
      <c r="K11">
        <v>45.512039999999999</v>
      </c>
      <c r="L11">
        <v>91.956320000000005</v>
      </c>
      <c r="M11" s="4">
        <v>10.5</v>
      </c>
      <c r="N11" s="4" t="s">
        <v>486</v>
      </c>
      <c r="O11" s="177" t="s">
        <v>487</v>
      </c>
      <c r="R11" s="8"/>
      <c r="S11" s="8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EZ11" s="99"/>
      <c r="FA11" s="99"/>
      <c r="FB11" s="99">
        <v>1</v>
      </c>
      <c r="FC11" s="99"/>
      <c r="FD11" s="99"/>
    </row>
    <row r="12" spans="1:169" ht="13.15" x14ac:dyDescent="0.4">
      <c r="A12" s="18"/>
      <c r="B12" s="31">
        <f t="shared" si="0"/>
        <v>1</v>
      </c>
      <c r="C12" s="31">
        <f t="shared" si="1"/>
        <v>1</v>
      </c>
      <c r="D12" s="31">
        <f t="shared" si="2"/>
        <v>1</v>
      </c>
      <c r="E12" s="31">
        <f t="shared" si="3"/>
        <v>1</v>
      </c>
      <c r="F12" s="31">
        <f t="shared" si="4"/>
        <v>1</v>
      </c>
      <c r="G12" s="31">
        <f t="shared" si="5"/>
        <v>10.5</v>
      </c>
      <c r="H12" s="102">
        <f>IF(AND(M12&gt;0,M12&lt;=STATS!$C$22),1,"")</f>
        <v>1</v>
      </c>
      <c r="J12" s="13">
        <v>11</v>
      </c>
      <c r="K12">
        <v>45.512039999999999</v>
      </c>
      <c r="L12">
        <v>91.956100000000006</v>
      </c>
      <c r="M12" s="4">
        <v>10.5</v>
      </c>
      <c r="N12" s="4" t="s">
        <v>486</v>
      </c>
      <c r="O12" s="177" t="s">
        <v>487</v>
      </c>
      <c r="Q12" s="4">
        <v>1</v>
      </c>
      <c r="R12" s="8"/>
      <c r="S12" s="8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>
        <v>1</v>
      </c>
      <c r="AF12" s="14"/>
      <c r="AG12" s="14"/>
      <c r="AH12" s="14"/>
      <c r="EZ12" s="99"/>
      <c r="FA12" s="99"/>
      <c r="FB12" s="99">
        <v>1</v>
      </c>
      <c r="FC12" s="99"/>
      <c r="FD12" s="99"/>
    </row>
    <row r="13" spans="1:169" ht="13.15" x14ac:dyDescent="0.4">
      <c r="A13" s="23"/>
      <c r="B13" s="31">
        <f t="shared" si="0"/>
        <v>5</v>
      </c>
      <c r="C13" s="31">
        <f t="shared" si="1"/>
        <v>5</v>
      </c>
      <c r="D13" s="31">
        <f t="shared" si="2"/>
        <v>5</v>
      </c>
      <c r="E13" s="31">
        <f t="shared" si="3"/>
        <v>5</v>
      </c>
      <c r="F13" s="31">
        <f t="shared" si="4"/>
        <v>5</v>
      </c>
      <c r="G13" s="31">
        <f t="shared" si="5"/>
        <v>8.5</v>
      </c>
      <c r="H13" s="102">
        <f>IF(AND(M13&gt;0,M13&lt;=STATS!$C$22),1,"")</f>
        <v>1</v>
      </c>
      <c r="J13" s="13">
        <v>12</v>
      </c>
      <c r="K13">
        <v>45.512039999999999</v>
      </c>
      <c r="L13">
        <v>91.955879999999993</v>
      </c>
      <c r="M13" s="4">
        <v>8.5</v>
      </c>
      <c r="N13" s="4" t="s">
        <v>486</v>
      </c>
      <c r="O13" s="177" t="s">
        <v>487</v>
      </c>
      <c r="Q13" s="4">
        <v>1</v>
      </c>
      <c r="R13" s="8"/>
      <c r="S13" s="8" t="s">
        <v>514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>
        <v>1</v>
      </c>
      <c r="AF13" s="14"/>
      <c r="AG13" s="14"/>
      <c r="AH13" s="14"/>
      <c r="BO13" s="4">
        <v>1</v>
      </c>
      <c r="CO13" s="4">
        <v>1</v>
      </c>
      <c r="CY13" s="4">
        <v>1</v>
      </c>
      <c r="DE13" s="4">
        <v>1</v>
      </c>
      <c r="EZ13" s="99"/>
      <c r="FA13" s="99"/>
      <c r="FB13" s="99"/>
      <c r="FC13" s="99"/>
      <c r="FD13" s="99"/>
    </row>
    <row r="14" spans="1:169" ht="13.15" x14ac:dyDescent="0.4">
      <c r="A14" s="18"/>
      <c r="B14" s="31">
        <f t="shared" si="0"/>
        <v>4</v>
      </c>
      <c r="C14" s="31">
        <f t="shared" si="1"/>
        <v>4</v>
      </c>
      <c r="D14" s="31">
        <f t="shared" si="2"/>
        <v>4</v>
      </c>
      <c r="E14" s="31">
        <f t="shared" si="3"/>
        <v>4</v>
      </c>
      <c r="F14" s="31">
        <f t="shared" si="4"/>
        <v>4</v>
      </c>
      <c r="G14" s="31">
        <f t="shared" si="5"/>
        <v>2.5</v>
      </c>
      <c r="H14" s="102">
        <f>IF(AND(M14&gt;0,M14&lt;=STATS!$C$22),1,"")</f>
        <v>1</v>
      </c>
      <c r="J14" s="13">
        <v>13</v>
      </c>
      <c r="K14">
        <v>45.514319999999998</v>
      </c>
      <c r="L14">
        <v>91.967500000000001</v>
      </c>
      <c r="M14" s="4">
        <v>2.5</v>
      </c>
      <c r="N14" s="4" t="s">
        <v>486</v>
      </c>
      <c r="O14" s="177" t="s">
        <v>487</v>
      </c>
      <c r="Q14" s="4">
        <v>1</v>
      </c>
      <c r="R14" s="8"/>
      <c r="S14" s="8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W14" s="4">
        <v>1</v>
      </c>
      <c r="BR14" s="4">
        <v>1</v>
      </c>
      <c r="CO14" s="4">
        <v>1</v>
      </c>
      <c r="CY14" s="4">
        <v>1</v>
      </c>
      <c r="EZ14" s="99"/>
      <c r="FA14" s="99"/>
      <c r="FB14" s="99">
        <v>1</v>
      </c>
      <c r="FC14" s="99"/>
      <c r="FD14" s="99"/>
    </row>
    <row r="15" spans="1:169" ht="13.15" x14ac:dyDescent="0.4">
      <c r="A15" s="18"/>
      <c r="B15" s="31">
        <f t="shared" si="0"/>
        <v>0</v>
      </c>
      <c r="C15" s="31" t="str">
        <f t="shared" si="1"/>
        <v/>
      </c>
      <c r="D15" s="31" t="str">
        <f t="shared" si="2"/>
        <v/>
      </c>
      <c r="E15" s="31">
        <f t="shared" si="3"/>
        <v>0</v>
      </c>
      <c r="F15" s="31">
        <f t="shared" si="4"/>
        <v>0</v>
      </c>
      <c r="G15" s="31" t="str">
        <f t="shared" si="5"/>
        <v/>
      </c>
      <c r="H15" s="102">
        <f>IF(AND(M15&gt;0,M15&lt;=STATS!$C$22),1,"")</f>
        <v>1</v>
      </c>
      <c r="J15" s="13">
        <v>14</v>
      </c>
      <c r="K15">
        <v>45.514420000000001</v>
      </c>
      <c r="L15">
        <v>91.967609999999993</v>
      </c>
      <c r="M15" s="4">
        <v>11</v>
      </c>
      <c r="N15" s="4" t="s">
        <v>486</v>
      </c>
      <c r="O15" s="177" t="s">
        <v>487</v>
      </c>
      <c r="R15" s="8"/>
      <c r="S15" s="8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EZ15" s="99"/>
      <c r="FA15" s="99"/>
      <c r="FB15" s="99"/>
      <c r="FC15" s="99"/>
      <c r="FD15" s="99"/>
    </row>
    <row r="16" spans="1:169" ht="13.15" x14ac:dyDescent="0.4">
      <c r="A16" s="18"/>
      <c r="B16" s="31">
        <f t="shared" si="0"/>
        <v>2</v>
      </c>
      <c r="C16" s="31">
        <f t="shared" si="1"/>
        <v>2</v>
      </c>
      <c r="D16" s="31">
        <f t="shared" si="2"/>
        <v>2</v>
      </c>
      <c r="E16" s="31">
        <f t="shared" si="3"/>
        <v>2</v>
      </c>
      <c r="F16" s="31">
        <f t="shared" si="4"/>
        <v>2</v>
      </c>
      <c r="G16" s="31">
        <f t="shared" si="5"/>
        <v>6</v>
      </c>
      <c r="H16" s="102">
        <f>IF(AND(M16&gt;0,M16&lt;=STATS!$C$22),1,"")</f>
        <v>1</v>
      </c>
      <c r="J16" s="13">
        <v>15</v>
      </c>
      <c r="K16">
        <v>45.51444</v>
      </c>
      <c r="L16">
        <v>91.968040000000002</v>
      </c>
      <c r="M16" s="4">
        <v>6</v>
      </c>
      <c r="N16" s="4" t="s">
        <v>484</v>
      </c>
      <c r="O16" s="177" t="s">
        <v>487</v>
      </c>
      <c r="Q16" s="4">
        <v>1</v>
      </c>
      <c r="R16" s="8"/>
      <c r="S16" s="8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W16" s="4">
        <v>1</v>
      </c>
      <c r="BR16" s="4">
        <v>1</v>
      </c>
      <c r="EZ16" s="99">
        <v>1</v>
      </c>
      <c r="FA16" s="99"/>
      <c r="FB16" s="99">
        <v>1</v>
      </c>
      <c r="FC16" s="99"/>
      <c r="FD16" s="99"/>
    </row>
    <row r="17" spans="1:160" ht="13.15" x14ac:dyDescent="0.4">
      <c r="A17" s="18"/>
      <c r="B17" s="31">
        <f t="shared" si="0"/>
        <v>1</v>
      </c>
      <c r="C17" s="31">
        <f t="shared" si="1"/>
        <v>1</v>
      </c>
      <c r="D17" s="31">
        <f t="shared" si="2"/>
        <v>1</v>
      </c>
      <c r="E17" s="31">
        <f t="shared" si="3"/>
        <v>1</v>
      </c>
      <c r="F17" s="31">
        <f t="shared" si="4"/>
        <v>1</v>
      </c>
      <c r="G17" s="31">
        <f t="shared" si="5"/>
        <v>11</v>
      </c>
      <c r="H17" s="102">
        <f>IF(AND(M17&gt;0,M17&lt;=STATS!$C$22),1,"")</f>
        <v>1</v>
      </c>
      <c r="J17" s="13">
        <v>16</v>
      </c>
      <c r="K17">
        <v>45.51444</v>
      </c>
      <c r="L17">
        <v>91.967830000000006</v>
      </c>
      <c r="M17" s="4">
        <v>11</v>
      </c>
      <c r="N17" s="4" t="s">
        <v>486</v>
      </c>
      <c r="O17" s="177" t="s">
        <v>487</v>
      </c>
      <c r="Q17" s="4">
        <v>1</v>
      </c>
      <c r="R17" s="8"/>
      <c r="S17" s="8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CO17" s="4">
        <v>1</v>
      </c>
      <c r="EZ17" s="99"/>
      <c r="FA17" s="99"/>
      <c r="FB17" s="99"/>
      <c r="FC17" s="99"/>
      <c r="FD17" s="99"/>
    </row>
    <row r="18" spans="1:160" ht="13.15" x14ac:dyDescent="0.4">
      <c r="A18" s="23"/>
      <c r="B18" s="31">
        <f t="shared" si="0"/>
        <v>2</v>
      </c>
      <c r="C18" s="31">
        <f t="shared" si="1"/>
        <v>2</v>
      </c>
      <c r="D18" s="31">
        <f t="shared" si="2"/>
        <v>2</v>
      </c>
      <c r="E18" s="31">
        <f t="shared" si="3"/>
        <v>2</v>
      </c>
      <c r="F18" s="31">
        <f t="shared" si="4"/>
        <v>2</v>
      </c>
      <c r="G18" s="31">
        <f t="shared" si="5"/>
        <v>6.5</v>
      </c>
      <c r="H18" s="102">
        <f>IF(AND(M18&gt;0,M18&lt;=STATS!$C$22),1,"")</f>
        <v>1</v>
      </c>
      <c r="J18" s="13">
        <v>17</v>
      </c>
      <c r="K18">
        <v>45.514580000000002</v>
      </c>
      <c r="L18">
        <v>91.968379999999996</v>
      </c>
      <c r="M18" s="4">
        <v>6.5</v>
      </c>
      <c r="N18" s="4" t="s">
        <v>484</v>
      </c>
      <c r="O18" s="177" t="s">
        <v>487</v>
      </c>
      <c r="Q18" s="4">
        <v>1</v>
      </c>
      <c r="R18" s="8"/>
      <c r="S18" s="8" t="s">
        <v>514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W18" s="4">
        <v>1</v>
      </c>
      <c r="BR18" s="4">
        <v>1</v>
      </c>
      <c r="EZ18" s="99"/>
      <c r="FA18" s="99"/>
      <c r="FB18" s="99"/>
      <c r="FC18" s="99"/>
      <c r="FD18" s="99"/>
    </row>
    <row r="19" spans="1:160" ht="13.15" x14ac:dyDescent="0.4">
      <c r="A19" s="18"/>
      <c r="B19" s="31">
        <f t="shared" si="0"/>
        <v>0</v>
      </c>
      <c r="C19" s="31" t="str">
        <f t="shared" si="1"/>
        <v/>
      </c>
      <c r="D19" s="31" t="str">
        <f t="shared" si="2"/>
        <v/>
      </c>
      <c r="E19" s="31" t="str">
        <f t="shared" si="3"/>
        <v/>
      </c>
      <c r="F19" s="31" t="str">
        <f t="shared" si="4"/>
        <v/>
      </c>
      <c r="G19" s="31" t="str">
        <f t="shared" si="5"/>
        <v/>
      </c>
      <c r="H19" s="102" t="str">
        <f>IF(AND(M19&gt;0,M19&lt;=STATS!$C$22),1,"")</f>
        <v/>
      </c>
      <c r="J19" s="13">
        <v>18</v>
      </c>
      <c r="K19">
        <v>45.514589999999998</v>
      </c>
      <c r="L19">
        <v>91.968159999999997</v>
      </c>
      <c r="M19" s="4">
        <v>14</v>
      </c>
      <c r="N19" s="4" t="s">
        <v>484</v>
      </c>
      <c r="O19" s="177" t="s">
        <v>487</v>
      </c>
      <c r="R19" s="8"/>
      <c r="S19" s="8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EZ19" s="99"/>
      <c r="FA19" s="99"/>
      <c r="FB19" s="99"/>
      <c r="FC19" s="99"/>
      <c r="FD19" s="99"/>
    </row>
    <row r="20" spans="1:160" ht="13.15" x14ac:dyDescent="0.4">
      <c r="A20" s="18"/>
      <c r="B20" s="31">
        <f t="shared" si="0"/>
        <v>3</v>
      </c>
      <c r="C20" s="31">
        <f t="shared" si="1"/>
        <v>3</v>
      </c>
      <c r="D20" s="31">
        <f t="shared" si="2"/>
        <v>3</v>
      </c>
      <c r="E20" s="31">
        <f t="shared" si="3"/>
        <v>3</v>
      </c>
      <c r="F20" s="31">
        <f t="shared" si="4"/>
        <v>3</v>
      </c>
      <c r="G20" s="31">
        <f t="shared" si="5"/>
        <v>3.5</v>
      </c>
      <c r="H20" s="102">
        <f>IF(AND(M20&gt;0,M20&lt;=STATS!$C$22),1,"")</f>
        <v>1</v>
      </c>
      <c r="J20" s="13">
        <v>19</v>
      </c>
      <c r="K20">
        <v>45.51473</v>
      </c>
      <c r="L20">
        <v>91.96893</v>
      </c>
      <c r="M20" s="4">
        <v>3.5</v>
      </c>
      <c r="N20" s="4" t="s">
        <v>484</v>
      </c>
      <c r="O20" s="177" t="s">
        <v>487</v>
      </c>
      <c r="Q20" s="4">
        <v>1</v>
      </c>
      <c r="R20" s="8"/>
      <c r="S20" s="8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W20" s="4">
        <v>1</v>
      </c>
      <c r="CA20" s="4">
        <v>1</v>
      </c>
      <c r="CZ20" s="4">
        <v>1</v>
      </c>
      <c r="EZ20" s="99">
        <v>2</v>
      </c>
      <c r="FA20" s="99"/>
      <c r="FB20" s="99"/>
      <c r="FC20" s="99"/>
      <c r="FD20" s="99"/>
    </row>
    <row r="21" spans="1:160" ht="13.15" x14ac:dyDescent="0.4">
      <c r="A21" s="18"/>
      <c r="B21" s="31">
        <f t="shared" si="0"/>
        <v>0</v>
      </c>
      <c r="C21" s="31" t="str">
        <f t="shared" si="1"/>
        <v/>
      </c>
      <c r="D21" s="31" t="str">
        <f t="shared" si="2"/>
        <v/>
      </c>
      <c r="E21" s="31" t="str">
        <f t="shared" si="3"/>
        <v/>
      </c>
      <c r="F21" s="31" t="str">
        <f t="shared" si="4"/>
        <v/>
      </c>
      <c r="G21" s="31" t="str">
        <f t="shared" si="5"/>
        <v/>
      </c>
      <c r="H21" s="102" t="str">
        <f>IF(AND(M21&gt;0,M21&lt;=STATS!$C$22),1,"")</f>
        <v/>
      </c>
      <c r="J21" s="13">
        <v>20</v>
      </c>
      <c r="K21">
        <v>45.51473</v>
      </c>
      <c r="L21">
        <v>91.968710000000002</v>
      </c>
      <c r="M21" s="4">
        <v>12.5</v>
      </c>
      <c r="N21" s="4" t="s">
        <v>486</v>
      </c>
      <c r="O21" s="177" t="s">
        <v>487</v>
      </c>
      <c r="R21" s="8"/>
      <c r="S21" s="8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EZ21" s="99"/>
      <c r="FA21" s="99"/>
      <c r="FB21" s="99"/>
      <c r="FC21" s="99"/>
      <c r="FD21" s="99"/>
    </row>
    <row r="22" spans="1:160" ht="13.15" x14ac:dyDescent="0.4">
      <c r="A22" s="18"/>
      <c r="B22" s="31">
        <f t="shared" si="0"/>
        <v>0</v>
      </c>
      <c r="C22" s="31" t="str">
        <f t="shared" si="1"/>
        <v/>
      </c>
      <c r="D22" s="31" t="str">
        <f t="shared" si="2"/>
        <v/>
      </c>
      <c r="E22" s="31">
        <f t="shared" si="3"/>
        <v>0</v>
      </c>
      <c r="F22" s="31">
        <f t="shared" si="4"/>
        <v>0</v>
      </c>
      <c r="G22" s="31" t="str">
        <f t="shared" si="5"/>
        <v/>
      </c>
      <c r="H22" s="102">
        <f>IF(AND(M22&gt;0,M22&lt;=STATS!$C$22),1,"")</f>
        <v>1</v>
      </c>
      <c r="J22" s="13">
        <v>21</v>
      </c>
      <c r="K22">
        <v>45.514870000000002</v>
      </c>
      <c r="L22">
        <v>91.969260000000006</v>
      </c>
      <c r="M22" s="4">
        <v>6</v>
      </c>
      <c r="N22" s="4" t="s">
        <v>484</v>
      </c>
      <c r="O22" s="177" t="s">
        <v>487</v>
      </c>
      <c r="R22" s="8"/>
      <c r="S22" s="8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EZ22" s="99">
        <v>2</v>
      </c>
      <c r="FA22" s="99"/>
      <c r="FB22" s="99"/>
      <c r="FC22" s="99"/>
      <c r="FD22" s="99"/>
    </row>
    <row r="23" spans="1:160" ht="13.15" x14ac:dyDescent="0.4">
      <c r="A23" s="23"/>
      <c r="B23" s="31">
        <f t="shared" si="0"/>
        <v>0</v>
      </c>
      <c r="C23" s="31" t="str">
        <f t="shared" si="1"/>
        <v/>
      </c>
      <c r="D23" s="31" t="str">
        <f t="shared" si="2"/>
        <v/>
      </c>
      <c r="E23" s="31" t="str">
        <f t="shared" si="3"/>
        <v/>
      </c>
      <c r="F23" s="31" t="str">
        <f t="shared" si="4"/>
        <v/>
      </c>
      <c r="G23" s="31" t="str">
        <f t="shared" si="5"/>
        <v/>
      </c>
      <c r="H23" s="102" t="str">
        <f>IF(AND(M23&gt;0,M23&lt;=STATS!$C$22),1,"")</f>
        <v/>
      </c>
      <c r="J23" s="13">
        <v>22</v>
      </c>
      <c r="K23">
        <v>45.514879999999998</v>
      </c>
      <c r="L23">
        <v>91.969040000000007</v>
      </c>
      <c r="M23" s="4">
        <v>12.5</v>
      </c>
      <c r="N23" s="4" t="s">
        <v>486</v>
      </c>
      <c r="O23" s="177" t="s">
        <v>487</v>
      </c>
      <c r="R23" s="8"/>
      <c r="S23" s="8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EZ23" s="99"/>
      <c r="FA23" s="99"/>
      <c r="FB23" s="99"/>
      <c r="FC23" s="99"/>
      <c r="FD23" s="99"/>
    </row>
    <row r="24" spans="1:160" ht="13.15" x14ac:dyDescent="0.4">
      <c r="A24" s="24"/>
      <c r="B24" s="31">
        <f t="shared" si="0"/>
        <v>0</v>
      </c>
      <c r="C24" s="31" t="str">
        <f t="shared" si="1"/>
        <v/>
      </c>
      <c r="D24" s="31" t="str">
        <f t="shared" si="2"/>
        <v/>
      </c>
      <c r="E24" s="31">
        <f t="shared" si="3"/>
        <v>0</v>
      </c>
      <c r="F24" s="31">
        <f t="shared" si="4"/>
        <v>0</v>
      </c>
      <c r="G24" s="31" t="str">
        <f t="shared" si="5"/>
        <v/>
      </c>
      <c r="H24" s="102">
        <f>IF(AND(M24&gt;0,M24&lt;=STATS!$C$22),1,"")</f>
        <v>1</v>
      </c>
      <c r="J24" s="13">
        <v>23</v>
      </c>
      <c r="K24">
        <v>45.51502</v>
      </c>
      <c r="L24">
        <v>91.969589999999997</v>
      </c>
      <c r="M24" s="4">
        <v>6.5</v>
      </c>
      <c r="N24" s="4" t="s">
        <v>484</v>
      </c>
      <c r="O24" s="177" t="s">
        <v>487</v>
      </c>
      <c r="R24" s="8"/>
      <c r="S24" s="8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EZ24" s="99"/>
      <c r="FA24" s="99"/>
      <c r="FB24" s="99"/>
      <c r="FC24" s="99"/>
      <c r="FD24" s="99"/>
    </row>
    <row r="25" spans="1:160" ht="13.15" x14ac:dyDescent="0.4">
      <c r="A25" s="24"/>
      <c r="B25" s="31">
        <f t="shared" si="0"/>
        <v>0</v>
      </c>
      <c r="C25" s="31" t="str">
        <f t="shared" si="1"/>
        <v/>
      </c>
      <c r="D25" s="31" t="str">
        <f t="shared" si="2"/>
        <v/>
      </c>
      <c r="E25" s="31" t="str">
        <f t="shared" si="3"/>
        <v/>
      </c>
      <c r="F25" s="31" t="str">
        <f t="shared" si="4"/>
        <v/>
      </c>
      <c r="G25" s="31" t="str">
        <f t="shared" si="5"/>
        <v/>
      </c>
      <c r="H25" s="102" t="str">
        <f>IF(AND(M25&gt;0,M25&lt;=STATS!$C$22),1,"")</f>
        <v/>
      </c>
      <c r="J25" s="13">
        <v>24</v>
      </c>
      <c r="K25">
        <v>45.515030000000003</v>
      </c>
      <c r="L25">
        <v>91.969369999999998</v>
      </c>
      <c r="M25" s="4">
        <v>14</v>
      </c>
      <c r="N25" s="4" t="s">
        <v>486</v>
      </c>
      <c r="O25" s="177" t="s">
        <v>487</v>
      </c>
      <c r="R25" s="8"/>
      <c r="S25" s="8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EZ25" s="99"/>
      <c r="FA25" s="99"/>
      <c r="FB25" s="99"/>
      <c r="FC25" s="99"/>
      <c r="FD25" s="99"/>
    </row>
    <row r="26" spans="1:160" ht="13.15" x14ac:dyDescent="0.4">
      <c r="A26" s="24"/>
      <c r="B26" s="31">
        <f t="shared" si="0"/>
        <v>3</v>
      </c>
      <c r="C26" s="31">
        <f t="shared" si="1"/>
        <v>3</v>
      </c>
      <c r="D26" s="31">
        <f t="shared" si="2"/>
        <v>3</v>
      </c>
      <c r="E26" s="31">
        <f t="shared" si="3"/>
        <v>3</v>
      </c>
      <c r="F26" s="31">
        <f t="shared" si="4"/>
        <v>3</v>
      </c>
      <c r="G26" s="31">
        <f t="shared" si="5"/>
        <v>4</v>
      </c>
      <c r="H26" s="102">
        <f>IF(AND(M26&gt;0,M26&lt;=STATS!$C$22),1,"")</f>
        <v>1</v>
      </c>
      <c r="J26" s="13">
        <v>25</v>
      </c>
      <c r="K26">
        <v>45.515169999999998</v>
      </c>
      <c r="L26">
        <v>91.969920000000002</v>
      </c>
      <c r="M26" s="4">
        <v>4</v>
      </c>
      <c r="N26" s="4" t="s">
        <v>484</v>
      </c>
      <c r="O26" s="177" t="s">
        <v>487</v>
      </c>
      <c r="Q26" s="4">
        <v>2</v>
      </c>
      <c r="R26" s="8" t="s">
        <v>514</v>
      </c>
      <c r="S26" s="8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W26" s="4">
        <v>2</v>
      </c>
      <c r="CP26" s="4">
        <v>1</v>
      </c>
      <c r="DE26" s="4">
        <v>1</v>
      </c>
      <c r="EZ26" s="99"/>
      <c r="FA26" s="99"/>
      <c r="FB26" s="99">
        <v>2</v>
      </c>
      <c r="FC26" s="99"/>
      <c r="FD26" s="99"/>
    </row>
    <row r="27" spans="1:160" ht="13.15" x14ac:dyDescent="0.4">
      <c r="A27" s="23"/>
      <c r="B27" s="31">
        <f t="shared" si="0"/>
        <v>0</v>
      </c>
      <c r="C27" s="31" t="str">
        <f t="shared" si="1"/>
        <v/>
      </c>
      <c r="D27" s="31" t="str">
        <f t="shared" si="2"/>
        <v/>
      </c>
      <c r="E27" s="31" t="str">
        <f t="shared" si="3"/>
        <v/>
      </c>
      <c r="F27" s="31" t="str">
        <f t="shared" si="4"/>
        <v/>
      </c>
      <c r="G27" s="31" t="str">
        <f t="shared" si="5"/>
        <v/>
      </c>
      <c r="H27" s="102" t="str">
        <f>IF(AND(M27&gt;0,M27&lt;=STATS!$C$22),1,"")</f>
        <v/>
      </c>
      <c r="J27" s="13">
        <v>26</v>
      </c>
      <c r="K27">
        <v>45.515169999999998</v>
      </c>
      <c r="L27">
        <v>91.969700000000003</v>
      </c>
      <c r="M27" s="4">
        <v>14</v>
      </c>
      <c r="N27" s="4" t="s">
        <v>486</v>
      </c>
      <c r="O27" s="177" t="s">
        <v>487</v>
      </c>
      <c r="R27" s="8"/>
      <c r="S27" s="8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EZ27" s="99"/>
      <c r="FA27" s="99"/>
      <c r="FB27" s="99"/>
      <c r="FC27" s="99"/>
      <c r="FD27" s="99"/>
    </row>
    <row r="28" spans="1:160" ht="13.15" x14ac:dyDescent="0.4">
      <c r="A28" s="24"/>
      <c r="B28" s="31">
        <f t="shared" si="0"/>
        <v>4</v>
      </c>
      <c r="C28" s="31">
        <f t="shared" si="1"/>
        <v>4</v>
      </c>
      <c r="D28" s="31">
        <f t="shared" si="2"/>
        <v>4</v>
      </c>
      <c r="E28" s="31">
        <f t="shared" si="3"/>
        <v>4</v>
      </c>
      <c r="F28" s="31">
        <f t="shared" si="4"/>
        <v>4</v>
      </c>
      <c r="G28" s="31">
        <f t="shared" si="5"/>
        <v>6</v>
      </c>
      <c r="H28" s="102">
        <f>IF(AND(M28&gt;0,M28&lt;=STATS!$C$22),1,"")</f>
        <v>1</v>
      </c>
      <c r="J28" s="13">
        <v>27</v>
      </c>
      <c r="K28">
        <v>45.515320000000003</v>
      </c>
      <c r="L28">
        <v>91.970249999999993</v>
      </c>
      <c r="M28" s="4">
        <v>6</v>
      </c>
      <c r="N28" s="4" t="s">
        <v>484</v>
      </c>
      <c r="O28" s="177" t="s">
        <v>487</v>
      </c>
      <c r="Q28" s="4">
        <v>1</v>
      </c>
      <c r="R28" s="8"/>
      <c r="S28" s="8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>
        <v>1</v>
      </c>
      <c r="AF28" s="14"/>
      <c r="AG28" s="14"/>
      <c r="AH28" s="14"/>
      <c r="AW28" s="4">
        <v>1</v>
      </c>
      <c r="BR28" s="4">
        <v>1</v>
      </c>
      <c r="DE28" s="4">
        <v>1</v>
      </c>
      <c r="EZ28" s="99"/>
      <c r="FA28" s="99"/>
      <c r="FB28" s="99">
        <v>1</v>
      </c>
      <c r="FC28" s="99"/>
      <c r="FD28" s="99"/>
    </row>
    <row r="29" spans="1:160" ht="13.15" x14ac:dyDescent="0.4">
      <c r="A29" s="24"/>
      <c r="B29" s="31">
        <f t="shared" si="0"/>
        <v>2</v>
      </c>
      <c r="C29" s="31">
        <f t="shared" si="1"/>
        <v>2</v>
      </c>
      <c r="D29" s="31">
        <f t="shared" si="2"/>
        <v>2</v>
      </c>
      <c r="E29" s="31">
        <f t="shared" si="3"/>
        <v>2</v>
      </c>
      <c r="F29" s="31">
        <f t="shared" si="4"/>
        <v>2</v>
      </c>
      <c r="G29" s="31">
        <f t="shared" si="5"/>
        <v>9.5</v>
      </c>
      <c r="H29" s="102">
        <f>IF(AND(M29&gt;0,M29&lt;=STATS!$C$22),1,"")</f>
        <v>1</v>
      </c>
      <c r="J29" s="13">
        <v>28</v>
      </c>
      <c r="K29">
        <v>45.515320000000003</v>
      </c>
      <c r="L29">
        <v>91.970029999999994</v>
      </c>
      <c r="M29" s="4">
        <v>9.5</v>
      </c>
      <c r="N29" s="4" t="s">
        <v>484</v>
      </c>
      <c r="O29" s="177" t="s">
        <v>487</v>
      </c>
      <c r="Q29" s="4">
        <v>2</v>
      </c>
      <c r="R29" s="8"/>
      <c r="S29" s="8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>
        <v>2</v>
      </c>
      <c r="AF29" s="14"/>
      <c r="AG29" s="14"/>
      <c r="AH29" s="14"/>
      <c r="DE29" s="4">
        <v>1</v>
      </c>
      <c r="EZ29" s="99"/>
      <c r="FA29" s="99"/>
      <c r="FB29" s="99"/>
      <c r="FC29" s="99"/>
      <c r="FD29" s="99"/>
    </row>
    <row r="30" spans="1:160" ht="13.15" x14ac:dyDescent="0.4">
      <c r="A30" s="24"/>
      <c r="B30" s="31">
        <f t="shared" si="0"/>
        <v>3</v>
      </c>
      <c r="C30" s="31">
        <f t="shared" si="1"/>
        <v>3</v>
      </c>
      <c r="D30" s="31">
        <f t="shared" si="2"/>
        <v>3</v>
      </c>
      <c r="E30" s="31">
        <f t="shared" si="3"/>
        <v>3</v>
      </c>
      <c r="F30" s="31">
        <f t="shared" si="4"/>
        <v>3</v>
      </c>
      <c r="G30" s="31">
        <f t="shared" si="5"/>
        <v>4</v>
      </c>
      <c r="H30" s="102">
        <f>IF(AND(M30&gt;0,M30&lt;=STATS!$C$22),1,"")</f>
        <v>1</v>
      </c>
      <c r="J30" s="13">
        <v>29</v>
      </c>
      <c r="K30">
        <v>45.515459999999997</v>
      </c>
      <c r="L30">
        <v>91.971019999999996</v>
      </c>
      <c r="M30" s="4">
        <v>4</v>
      </c>
      <c r="N30" s="4" t="s">
        <v>486</v>
      </c>
      <c r="O30" s="177" t="s">
        <v>487</v>
      </c>
      <c r="Q30" s="4">
        <v>1</v>
      </c>
      <c r="R30" s="8" t="s">
        <v>514</v>
      </c>
      <c r="S30" s="8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>
        <v>1</v>
      </c>
      <c r="AF30" s="14"/>
      <c r="AG30" s="14"/>
      <c r="AH30" s="14"/>
      <c r="AW30" s="4">
        <v>1</v>
      </c>
      <c r="DF30" s="4">
        <v>1</v>
      </c>
      <c r="EZ30" s="99"/>
      <c r="FA30" s="99"/>
      <c r="FB30" s="99">
        <v>1</v>
      </c>
      <c r="FC30" s="99"/>
      <c r="FD30" s="99"/>
    </row>
    <row r="31" spans="1:160" ht="13.15" x14ac:dyDescent="0.4">
      <c r="A31" s="23"/>
      <c r="B31" s="31">
        <f t="shared" si="0"/>
        <v>1</v>
      </c>
      <c r="C31" s="31">
        <f t="shared" si="1"/>
        <v>1</v>
      </c>
      <c r="D31" s="31">
        <f t="shared" si="2"/>
        <v>1</v>
      </c>
      <c r="E31" s="31">
        <f t="shared" si="3"/>
        <v>1</v>
      </c>
      <c r="F31" s="31">
        <f t="shared" si="4"/>
        <v>1</v>
      </c>
      <c r="G31" s="31">
        <f t="shared" si="5"/>
        <v>9.5</v>
      </c>
      <c r="H31" s="102">
        <f>IF(AND(M31&gt;0,M31&lt;=STATS!$C$22),1,"")</f>
        <v>1</v>
      </c>
      <c r="J31" s="13">
        <v>30</v>
      </c>
      <c r="K31">
        <v>45.515459999999997</v>
      </c>
      <c r="L31">
        <v>91.970799999999997</v>
      </c>
      <c r="M31" s="4">
        <v>9.5</v>
      </c>
      <c r="N31" s="4" t="s">
        <v>484</v>
      </c>
      <c r="O31" s="177" t="s">
        <v>487</v>
      </c>
      <c r="Q31" s="4">
        <v>1</v>
      </c>
      <c r="R31" s="8" t="s">
        <v>514</v>
      </c>
      <c r="S31" s="8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>
        <v>1</v>
      </c>
      <c r="AF31" s="14"/>
      <c r="AG31" s="14"/>
      <c r="AH31" s="14"/>
      <c r="EZ31" s="99"/>
      <c r="FA31" s="99"/>
      <c r="FB31" s="99">
        <v>1</v>
      </c>
      <c r="FC31" s="99"/>
      <c r="FD31" s="99"/>
    </row>
    <row r="32" spans="1:160" ht="13.15" x14ac:dyDescent="0.4">
      <c r="A32" s="24"/>
      <c r="B32" s="31">
        <f t="shared" si="0"/>
        <v>1</v>
      </c>
      <c r="C32" s="31">
        <f t="shared" si="1"/>
        <v>1</v>
      </c>
      <c r="D32" s="31">
        <f t="shared" si="2"/>
        <v>1</v>
      </c>
      <c r="E32" s="31">
        <f t="shared" si="3"/>
        <v>1</v>
      </c>
      <c r="F32" s="31">
        <f t="shared" si="4"/>
        <v>1</v>
      </c>
      <c r="G32" s="31">
        <f t="shared" si="5"/>
        <v>11</v>
      </c>
      <c r="H32" s="102">
        <f>IF(AND(M32&gt;0,M32&lt;=STATS!$C$22),1,"")</f>
        <v>1</v>
      </c>
      <c r="J32" s="13">
        <v>31</v>
      </c>
      <c r="K32">
        <v>45.515459999999997</v>
      </c>
      <c r="L32">
        <v>91.970579999999998</v>
      </c>
      <c r="M32" s="4">
        <v>11</v>
      </c>
      <c r="N32" s="4" t="s">
        <v>486</v>
      </c>
      <c r="O32" s="177" t="s">
        <v>487</v>
      </c>
      <c r="Q32" s="4">
        <v>1</v>
      </c>
      <c r="R32" s="8"/>
      <c r="S32" s="8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>
        <v>1</v>
      </c>
      <c r="AF32" s="14"/>
      <c r="AG32" s="14"/>
      <c r="AH32" s="14"/>
      <c r="EZ32" s="99"/>
      <c r="FA32" s="99"/>
      <c r="FB32" s="99"/>
      <c r="FC32" s="99"/>
      <c r="FD32" s="99"/>
    </row>
    <row r="33" spans="1:160" ht="13.15" x14ac:dyDescent="0.4">
      <c r="A33" s="24"/>
      <c r="B33" s="31">
        <f t="shared" si="0"/>
        <v>3</v>
      </c>
      <c r="C33" s="31">
        <f t="shared" si="1"/>
        <v>3</v>
      </c>
      <c r="D33" s="31">
        <f t="shared" si="2"/>
        <v>2</v>
      </c>
      <c r="E33" s="31">
        <f t="shared" si="3"/>
        <v>3</v>
      </c>
      <c r="F33" s="31">
        <f t="shared" si="4"/>
        <v>2</v>
      </c>
      <c r="G33" s="31">
        <f t="shared" si="5"/>
        <v>2</v>
      </c>
      <c r="H33" s="102">
        <f>IF(AND(M33&gt;0,M33&lt;=STATS!$C$22),1,"")</f>
        <v>1</v>
      </c>
      <c r="J33" s="13">
        <v>32</v>
      </c>
      <c r="K33">
        <v>45.515590000000003</v>
      </c>
      <c r="L33">
        <v>91.971999999999994</v>
      </c>
      <c r="M33" s="4">
        <v>2</v>
      </c>
      <c r="N33" s="4" t="s">
        <v>485</v>
      </c>
      <c r="O33" s="177" t="s">
        <v>487</v>
      </c>
      <c r="Q33" s="4">
        <v>1</v>
      </c>
      <c r="R33" s="8"/>
      <c r="S33" s="8">
        <v>1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Q33" s="4">
        <v>1</v>
      </c>
      <c r="CA33" s="4">
        <v>1</v>
      </c>
      <c r="EZ33" s="99"/>
      <c r="FA33" s="99"/>
      <c r="FB33" s="99">
        <v>1</v>
      </c>
      <c r="FC33" s="99"/>
      <c r="FD33" s="99"/>
    </row>
    <row r="34" spans="1:160" ht="13.15" x14ac:dyDescent="0.4">
      <c r="A34" s="24"/>
      <c r="B34" s="31">
        <f t="shared" si="0"/>
        <v>2</v>
      </c>
      <c r="C34" s="31">
        <f t="shared" si="1"/>
        <v>2</v>
      </c>
      <c r="D34" s="31">
        <f t="shared" si="2"/>
        <v>1</v>
      </c>
      <c r="E34" s="31">
        <f t="shared" si="3"/>
        <v>2</v>
      </c>
      <c r="F34" s="31">
        <f t="shared" si="4"/>
        <v>1</v>
      </c>
      <c r="G34" s="31">
        <f t="shared" si="5"/>
        <v>2.5</v>
      </c>
      <c r="H34" s="102">
        <f>IF(AND(M34&gt;0,M34&lt;=STATS!$C$22),1,"")</f>
        <v>1</v>
      </c>
      <c r="J34" s="13">
        <v>33</v>
      </c>
      <c r="K34">
        <v>45.515599999999999</v>
      </c>
      <c r="L34">
        <v>91.971789999999999</v>
      </c>
      <c r="M34" s="4">
        <v>2.5</v>
      </c>
      <c r="N34" s="4" t="s">
        <v>484</v>
      </c>
      <c r="O34" s="177" t="s">
        <v>487</v>
      </c>
      <c r="Q34" s="4">
        <v>2</v>
      </c>
      <c r="R34" s="8"/>
      <c r="S34" s="8">
        <v>2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>
        <v>1</v>
      </c>
      <c r="AF34" s="14"/>
      <c r="AG34" s="14"/>
      <c r="AH34" s="14"/>
      <c r="EZ34" s="99"/>
      <c r="FA34" s="99"/>
      <c r="FB34" s="99">
        <v>2</v>
      </c>
      <c r="FC34" s="99"/>
      <c r="FD34" s="99"/>
    </row>
    <row r="35" spans="1:160" x14ac:dyDescent="0.35">
      <c r="B35" s="31">
        <f t="shared" si="0"/>
        <v>3</v>
      </c>
      <c r="C35" s="31">
        <f t="shared" si="1"/>
        <v>3</v>
      </c>
      <c r="D35" s="31">
        <f t="shared" si="2"/>
        <v>2</v>
      </c>
      <c r="E35" s="31">
        <f t="shared" si="3"/>
        <v>3</v>
      </c>
      <c r="F35" s="31">
        <f t="shared" si="4"/>
        <v>2</v>
      </c>
      <c r="G35" s="31">
        <f t="shared" si="5"/>
        <v>3</v>
      </c>
      <c r="H35" s="102">
        <f>IF(AND(M35&gt;0,M35&lt;=STATS!$C$22),1,"")</f>
        <v>1</v>
      </c>
      <c r="J35" s="13">
        <v>34</v>
      </c>
      <c r="K35">
        <v>45.515599999999999</v>
      </c>
      <c r="L35">
        <v>91.97157</v>
      </c>
      <c r="M35" s="4">
        <v>3</v>
      </c>
      <c r="N35" s="4" t="s">
        <v>485</v>
      </c>
      <c r="O35" s="177" t="s">
        <v>487</v>
      </c>
      <c r="Q35" s="4">
        <v>2</v>
      </c>
      <c r="R35" s="8"/>
      <c r="S35" s="8">
        <v>1</v>
      </c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>
        <v>2</v>
      </c>
      <c r="AF35" s="14"/>
      <c r="AG35" s="14"/>
      <c r="AH35" s="14"/>
      <c r="AQ35" s="4">
        <v>1</v>
      </c>
      <c r="EZ35" s="99"/>
      <c r="FA35" s="99"/>
      <c r="FB35" s="99">
        <v>1</v>
      </c>
      <c r="FC35" s="99"/>
      <c r="FD35" s="99"/>
    </row>
    <row r="36" spans="1:160" x14ac:dyDescent="0.35">
      <c r="B36" s="31">
        <f t="shared" si="0"/>
        <v>1</v>
      </c>
      <c r="C36" s="31">
        <f t="shared" si="1"/>
        <v>1</v>
      </c>
      <c r="D36" s="31">
        <f t="shared" si="2"/>
        <v>1</v>
      </c>
      <c r="E36" s="31">
        <f t="shared" si="3"/>
        <v>1</v>
      </c>
      <c r="F36" s="31">
        <f t="shared" si="4"/>
        <v>1</v>
      </c>
      <c r="G36" s="31">
        <f t="shared" si="5"/>
        <v>6</v>
      </c>
      <c r="H36" s="102">
        <f>IF(AND(M36&gt;0,M36&lt;=STATS!$C$22),1,"")</f>
        <v>1</v>
      </c>
      <c r="J36" s="13">
        <v>35</v>
      </c>
      <c r="K36">
        <v>45.515599999999999</v>
      </c>
      <c r="L36">
        <v>91.971350000000001</v>
      </c>
      <c r="M36" s="4">
        <v>6</v>
      </c>
      <c r="N36" s="4" t="s">
        <v>485</v>
      </c>
      <c r="O36" s="177" t="s">
        <v>487</v>
      </c>
      <c r="Q36" s="4">
        <v>1</v>
      </c>
      <c r="R36" s="8" t="s">
        <v>514</v>
      </c>
      <c r="S36" s="8" t="s">
        <v>514</v>
      </c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Q36" s="4">
        <v>1</v>
      </c>
      <c r="EZ36" s="99"/>
      <c r="FA36" s="99"/>
      <c r="FB36" s="99">
        <v>1</v>
      </c>
      <c r="FC36" s="99"/>
      <c r="FD36" s="99"/>
    </row>
    <row r="37" spans="1:160" x14ac:dyDescent="0.35">
      <c r="B37" s="31">
        <f t="shared" si="0"/>
        <v>1</v>
      </c>
      <c r="C37" s="31">
        <f t="shared" si="1"/>
        <v>1</v>
      </c>
      <c r="D37" s="31">
        <f t="shared" si="2"/>
        <v>1</v>
      </c>
      <c r="E37" s="31">
        <f t="shared" si="3"/>
        <v>1</v>
      </c>
      <c r="F37" s="31">
        <f t="shared" si="4"/>
        <v>1</v>
      </c>
      <c r="G37" s="31">
        <f t="shared" si="5"/>
        <v>8</v>
      </c>
      <c r="H37" s="102">
        <f>IF(AND(M37&gt;0,M37&lt;=STATS!$C$22),1,"")</f>
        <v>1</v>
      </c>
      <c r="J37" s="13">
        <v>36</v>
      </c>
      <c r="K37">
        <v>45.515610000000002</v>
      </c>
      <c r="L37">
        <v>91.971130000000002</v>
      </c>
      <c r="M37" s="4">
        <v>8</v>
      </c>
      <c r="N37" s="4" t="s">
        <v>485</v>
      </c>
      <c r="O37" s="177" t="s">
        <v>487</v>
      </c>
      <c r="Q37" s="4">
        <v>3</v>
      </c>
      <c r="R37" s="8"/>
      <c r="S37" s="8" t="s">
        <v>514</v>
      </c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>
        <v>3</v>
      </c>
      <c r="AF37" s="14"/>
      <c r="AG37" s="14"/>
      <c r="AH37" s="14"/>
      <c r="EZ37" s="99"/>
      <c r="FA37" s="99"/>
      <c r="FB37" s="99">
        <v>1</v>
      </c>
      <c r="FC37" s="99"/>
      <c r="FD37" s="99"/>
    </row>
    <row r="38" spans="1:160" x14ac:dyDescent="0.35">
      <c r="B38" s="31">
        <f t="shared" si="0"/>
        <v>2</v>
      </c>
      <c r="C38" s="31">
        <f t="shared" si="1"/>
        <v>2</v>
      </c>
      <c r="D38" s="31">
        <f t="shared" si="2"/>
        <v>1</v>
      </c>
      <c r="E38" s="31">
        <f t="shared" si="3"/>
        <v>2</v>
      </c>
      <c r="F38" s="31">
        <f t="shared" si="4"/>
        <v>1</v>
      </c>
      <c r="G38" s="31">
        <f t="shared" si="5"/>
        <v>1.5</v>
      </c>
      <c r="H38" s="102">
        <f>IF(AND(M38&gt;0,M38&lt;=STATS!$C$22),1,"")</f>
        <v>1</v>
      </c>
      <c r="J38" s="13">
        <v>37</v>
      </c>
      <c r="K38">
        <v>45.515740000000001</v>
      </c>
      <c r="L38">
        <v>91.972329999999999</v>
      </c>
      <c r="M38" s="4">
        <v>1.5</v>
      </c>
      <c r="N38" s="4" t="s">
        <v>485</v>
      </c>
      <c r="O38" s="177" t="s">
        <v>487</v>
      </c>
      <c r="Q38" s="4">
        <v>1</v>
      </c>
      <c r="R38" s="8"/>
      <c r="S38" s="8">
        <v>1</v>
      </c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CO38" s="4">
        <v>1</v>
      </c>
      <c r="EZ38" s="99"/>
      <c r="FA38" s="99"/>
      <c r="FB38" s="99">
        <v>1</v>
      </c>
      <c r="FC38" s="99"/>
      <c r="FD38" s="99"/>
    </row>
    <row r="39" spans="1:160" x14ac:dyDescent="0.35">
      <c r="B39" s="31">
        <f t="shared" si="0"/>
        <v>2</v>
      </c>
      <c r="C39" s="31">
        <f t="shared" si="1"/>
        <v>2</v>
      </c>
      <c r="D39" s="31">
        <f t="shared" si="2"/>
        <v>1</v>
      </c>
      <c r="E39" s="31">
        <f t="shared" si="3"/>
        <v>2</v>
      </c>
      <c r="F39" s="31">
        <f t="shared" si="4"/>
        <v>1</v>
      </c>
      <c r="G39" s="31">
        <f t="shared" si="5"/>
        <v>4.5</v>
      </c>
      <c r="H39" s="102">
        <f>IF(AND(M39&gt;0,M39&lt;=STATS!$C$22),1,"")</f>
        <v>1</v>
      </c>
      <c r="J39" s="13">
        <v>38</v>
      </c>
      <c r="K39">
        <v>45.515740000000001</v>
      </c>
      <c r="L39">
        <v>91.972120000000004</v>
      </c>
      <c r="M39" s="4">
        <v>4.5</v>
      </c>
      <c r="N39" s="4" t="s">
        <v>485</v>
      </c>
      <c r="O39" s="177" t="s">
        <v>487</v>
      </c>
      <c r="Q39" s="4">
        <v>3</v>
      </c>
      <c r="R39" s="8"/>
      <c r="S39" s="8">
        <v>3</v>
      </c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>
        <v>1</v>
      </c>
      <c r="AF39" s="14"/>
      <c r="AG39" s="14"/>
      <c r="AH39" s="14"/>
      <c r="EZ39" s="99"/>
      <c r="FA39" s="99"/>
      <c r="FB39" s="99">
        <v>1</v>
      </c>
      <c r="FC39" s="99"/>
      <c r="FD39" s="99"/>
    </row>
    <row r="40" spans="1:160" x14ac:dyDescent="0.35">
      <c r="B40" s="31">
        <f t="shared" si="0"/>
        <v>3</v>
      </c>
      <c r="C40" s="31">
        <f t="shared" si="1"/>
        <v>3</v>
      </c>
      <c r="D40" s="31">
        <f t="shared" si="2"/>
        <v>2</v>
      </c>
      <c r="E40" s="31">
        <f t="shared" si="3"/>
        <v>3</v>
      </c>
      <c r="F40" s="31">
        <f t="shared" si="4"/>
        <v>2</v>
      </c>
      <c r="G40" s="31">
        <f t="shared" si="5"/>
        <v>6</v>
      </c>
      <c r="H40" s="102">
        <f>IF(AND(M40&gt;0,M40&lt;=STATS!$C$22),1,"")</f>
        <v>1</v>
      </c>
      <c r="J40" s="13">
        <v>39</v>
      </c>
      <c r="K40">
        <v>45.515749999999997</v>
      </c>
      <c r="L40">
        <v>91.971900000000005</v>
      </c>
      <c r="M40" s="4">
        <v>6</v>
      </c>
      <c r="N40" s="4" t="s">
        <v>485</v>
      </c>
      <c r="O40" s="177" t="s">
        <v>487</v>
      </c>
      <c r="Q40" s="4">
        <v>1</v>
      </c>
      <c r="R40" s="8"/>
      <c r="S40" s="8">
        <v>1</v>
      </c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>
        <v>1</v>
      </c>
      <c r="AF40" s="14"/>
      <c r="AG40" s="14"/>
      <c r="AH40" s="14"/>
      <c r="DE40" s="4">
        <v>1</v>
      </c>
      <c r="EZ40" s="99"/>
      <c r="FA40" s="99"/>
      <c r="FB40" s="99">
        <v>1</v>
      </c>
      <c r="FC40" s="99"/>
      <c r="FD40" s="99"/>
    </row>
    <row r="41" spans="1:160" x14ac:dyDescent="0.35">
      <c r="B41" s="31">
        <f t="shared" si="0"/>
        <v>2</v>
      </c>
      <c r="C41" s="31">
        <f t="shared" si="1"/>
        <v>2</v>
      </c>
      <c r="D41" s="31">
        <f t="shared" si="2"/>
        <v>1</v>
      </c>
      <c r="E41" s="31">
        <f t="shared" si="3"/>
        <v>2</v>
      </c>
      <c r="F41" s="31">
        <f t="shared" si="4"/>
        <v>1</v>
      </c>
      <c r="G41" s="31">
        <f t="shared" si="5"/>
        <v>4</v>
      </c>
      <c r="H41" s="102">
        <f>IF(AND(M41&gt;0,M41&lt;=STATS!$C$22),1,"")</f>
        <v>1</v>
      </c>
      <c r="J41" s="13">
        <v>40</v>
      </c>
      <c r="K41">
        <v>45.515889999999999</v>
      </c>
      <c r="L41">
        <v>91.972449999999995</v>
      </c>
      <c r="M41" s="4">
        <v>4</v>
      </c>
      <c r="N41" s="4" t="s">
        <v>485</v>
      </c>
      <c r="O41" s="177" t="s">
        <v>487</v>
      </c>
      <c r="Q41" s="4">
        <v>3</v>
      </c>
      <c r="R41" s="8" t="s">
        <v>514</v>
      </c>
      <c r="S41" s="8">
        <v>3</v>
      </c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Q41" s="4">
        <v>1</v>
      </c>
      <c r="EZ41" s="99"/>
      <c r="FA41" s="99"/>
      <c r="FB41" s="99">
        <v>1</v>
      </c>
      <c r="FC41" s="99"/>
      <c r="FD41" s="99"/>
    </row>
    <row r="42" spans="1:160" x14ac:dyDescent="0.35">
      <c r="B42" s="31">
        <f t="shared" si="0"/>
        <v>2</v>
      </c>
      <c r="C42" s="31">
        <f t="shared" si="1"/>
        <v>2</v>
      </c>
      <c r="D42" s="31">
        <f t="shared" si="2"/>
        <v>1</v>
      </c>
      <c r="E42" s="31">
        <f t="shared" si="3"/>
        <v>2</v>
      </c>
      <c r="F42" s="31">
        <f t="shared" si="4"/>
        <v>1</v>
      </c>
      <c r="G42" s="31">
        <f t="shared" si="5"/>
        <v>6</v>
      </c>
      <c r="H42" s="102">
        <f>IF(AND(M42&gt;0,M42&lt;=STATS!$C$22),1,"")</f>
        <v>1</v>
      </c>
      <c r="J42" s="13">
        <v>41</v>
      </c>
      <c r="K42">
        <v>45.515889999999999</v>
      </c>
      <c r="L42">
        <v>91.972229999999996</v>
      </c>
      <c r="M42" s="4">
        <v>6</v>
      </c>
      <c r="N42" s="4" t="s">
        <v>485</v>
      </c>
      <c r="O42" s="177" t="s">
        <v>487</v>
      </c>
      <c r="Q42" s="4">
        <v>3</v>
      </c>
      <c r="R42" s="8" t="s">
        <v>514</v>
      </c>
      <c r="S42" s="8">
        <v>3</v>
      </c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DE42" s="4">
        <v>1</v>
      </c>
      <c r="EZ42" s="99"/>
      <c r="FA42" s="99"/>
      <c r="FB42" s="99"/>
      <c r="FC42" s="99"/>
      <c r="FD42" s="99"/>
    </row>
    <row r="43" spans="1:160" x14ac:dyDescent="0.35">
      <c r="B43" s="31">
        <f t="shared" si="0"/>
        <v>2</v>
      </c>
      <c r="C43" s="31">
        <f t="shared" si="1"/>
        <v>2</v>
      </c>
      <c r="D43" s="31">
        <f t="shared" si="2"/>
        <v>1</v>
      </c>
      <c r="E43" s="31">
        <f t="shared" si="3"/>
        <v>2</v>
      </c>
      <c r="F43" s="31">
        <f t="shared" si="4"/>
        <v>1</v>
      </c>
      <c r="G43" s="31">
        <f t="shared" si="5"/>
        <v>3</v>
      </c>
      <c r="H43" s="102">
        <f>IF(AND(M43&gt;0,M43&lt;=STATS!$C$22),1,"")</f>
        <v>1</v>
      </c>
      <c r="J43" s="13">
        <v>42</v>
      </c>
      <c r="K43">
        <v>45.516039999999997</v>
      </c>
      <c r="L43">
        <v>91.972560000000001</v>
      </c>
      <c r="M43" s="4">
        <v>3</v>
      </c>
      <c r="N43" s="4" t="s">
        <v>485</v>
      </c>
      <c r="O43" s="177" t="s">
        <v>487</v>
      </c>
      <c r="Q43" s="4">
        <v>2</v>
      </c>
      <c r="R43" s="8"/>
      <c r="S43" s="8">
        <v>2</v>
      </c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BO43" s="4">
        <v>1</v>
      </c>
      <c r="EZ43" s="99"/>
      <c r="FA43" s="99"/>
      <c r="FB43" s="99">
        <v>1</v>
      </c>
      <c r="FC43" s="99"/>
      <c r="FD43" s="99"/>
    </row>
    <row r="44" spans="1:160" x14ac:dyDescent="0.35">
      <c r="B44" s="31">
        <f t="shared" si="0"/>
        <v>3</v>
      </c>
      <c r="C44" s="31">
        <f t="shared" si="1"/>
        <v>3</v>
      </c>
      <c r="D44" s="31">
        <f t="shared" si="2"/>
        <v>2</v>
      </c>
      <c r="E44" s="31">
        <f t="shared" si="3"/>
        <v>3</v>
      </c>
      <c r="F44" s="31">
        <f t="shared" si="4"/>
        <v>2</v>
      </c>
      <c r="G44" s="31">
        <f t="shared" si="5"/>
        <v>6.5</v>
      </c>
      <c r="H44" s="102">
        <f>IF(AND(M44&gt;0,M44&lt;=STATS!$C$22),1,"")</f>
        <v>1</v>
      </c>
      <c r="J44" s="13">
        <v>43</v>
      </c>
      <c r="K44">
        <v>45.51605</v>
      </c>
      <c r="L44">
        <v>91.972350000000006</v>
      </c>
      <c r="M44" s="4">
        <v>6.5</v>
      </c>
      <c r="N44" s="4" t="s">
        <v>485</v>
      </c>
      <c r="O44" s="177" t="s">
        <v>487</v>
      </c>
      <c r="Q44" s="4">
        <v>1</v>
      </c>
      <c r="R44" s="8"/>
      <c r="S44" s="8">
        <v>1</v>
      </c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>
        <v>1</v>
      </c>
      <c r="AF44" s="14"/>
      <c r="AG44" s="14"/>
      <c r="AH44" s="14"/>
      <c r="DE44" s="4">
        <v>1</v>
      </c>
      <c r="EZ44" s="99"/>
      <c r="FA44" s="99"/>
      <c r="FB44" s="99"/>
      <c r="FC44" s="99"/>
      <c r="FD44" s="99"/>
    </row>
    <row r="45" spans="1:160" x14ac:dyDescent="0.35">
      <c r="B45" s="31">
        <f t="shared" si="0"/>
        <v>4</v>
      </c>
      <c r="C45" s="31">
        <f t="shared" si="1"/>
        <v>4</v>
      </c>
      <c r="D45" s="31">
        <f t="shared" si="2"/>
        <v>2</v>
      </c>
      <c r="E45" s="31">
        <f t="shared" si="3"/>
        <v>4</v>
      </c>
      <c r="F45" s="31">
        <f t="shared" si="4"/>
        <v>2</v>
      </c>
      <c r="G45" s="31">
        <f t="shared" si="5"/>
        <v>2</v>
      </c>
      <c r="H45" s="102">
        <f>IF(AND(M45&gt;0,M45&lt;=STATS!$C$22),1,"")</f>
        <v>1</v>
      </c>
      <c r="J45" s="13">
        <v>44</v>
      </c>
      <c r="K45">
        <v>45.516190000000002</v>
      </c>
      <c r="L45">
        <v>91.972679999999997</v>
      </c>
      <c r="M45" s="4">
        <v>2</v>
      </c>
      <c r="N45" s="4" t="s">
        <v>486</v>
      </c>
      <c r="O45" s="177" t="s">
        <v>487</v>
      </c>
      <c r="Q45" s="4">
        <v>2</v>
      </c>
      <c r="R45" s="8">
        <v>1</v>
      </c>
      <c r="S45" s="8">
        <v>2</v>
      </c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Q45" s="4">
        <v>1</v>
      </c>
      <c r="DE45" s="4">
        <v>1</v>
      </c>
      <c r="EZ45" s="99"/>
      <c r="FA45" s="99"/>
      <c r="FB45" s="99"/>
      <c r="FC45" s="99"/>
      <c r="FD45" s="99"/>
    </row>
    <row r="46" spans="1:160" x14ac:dyDescent="0.35">
      <c r="B46" s="31">
        <f t="shared" si="0"/>
        <v>3</v>
      </c>
      <c r="C46" s="31">
        <f t="shared" si="1"/>
        <v>3</v>
      </c>
      <c r="D46" s="31">
        <f t="shared" si="2"/>
        <v>3</v>
      </c>
      <c r="E46" s="31">
        <f t="shared" si="3"/>
        <v>3</v>
      </c>
      <c r="F46" s="31">
        <f t="shared" si="4"/>
        <v>3</v>
      </c>
      <c r="G46" s="31">
        <f t="shared" si="5"/>
        <v>5</v>
      </c>
      <c r="H46" s="102">
        <f>IF(AND(M46&gt;0,M46&lt;=STATS!$C$22),1,"")</f>
        <v>1</v>
      </c>
      <c r="J46" s="13">
        <v>45</v>
      </c>
      <c r="K46">
        <v>45.516199999999998</v>
      </c>
      <c r="L46">
        <v>91.972459999999998</v>
      </c>
      <c r="M46" s="4">
        <v>5</v>
      </c>
      <c r="N46" s="4" t="s">
        <v>484</v>
      </c>
      <c r="O46" s="177" t="s">
        <v>487</v>
      </c>
      <c r="Q46" s="4">
        <v>2</v>
      </c>
      <c r="R46" s="8"/>
      <c r="S46" s="8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>
        <v>2</v>
      </c>
      <c r="AF46" s="14"/>
      <c r="AG46" s="14"/>
      <c r="AH46" s="14"/>
      <c r="CZ46" s="4">
        <v>1</v>
      </c>
      <c r="DE46" s="4">
        <v>1</v>
      </c>
      <c r="EZ46" s="99"/>
      <c r="FA46" s="99"/>
      <c r="FB46" s="99"/>
      <c r="FC46" s="99"/>
      <c r="FD46" s="99"/>
    </row>
    <row r="47" spans="1:160" x14ac:dyDescent="0.35">
      <c r="B47" s="31">
        <f t="shared" si="0"/>
        <v>2</v>
      </c>
      <c r="C47" s="31">
        <f t="shared" si="1"/>
        <v>2</v>
      </c>
      <c r="D47" s="31">
        <f t="shared" si="2"/>
        <v>2</v>
      </c>
      <c r="E47" s="31">
        <f t="shared" si="3"/>
        <v>2</v>
      </c>
      <c r="F47" s="31">
        <f t="shared" si="4"/>
        <v>2</v>
      </c>
      <c r="G47" s="31">
        <f t="shared" si="5"/>
        <v>3.5</v>
      </c>
      <c r="H47" s="102">
        <f>IF(AND(M47&gt;0,M47&lt;=STATS!$C$22),1,"")</f>
        <v>1</v>
      </c>
      <c r="J47" s="13">
        <v>46</v>
      </c>
      <c r="K47">
        <v>45.516350000000003</v>
      </c>
      <c r="L47">
        <v>91.972570000000005</v>
      </c>
      <c r="M47" s="4">
        <v>3.5</v>
      </c>
      <c r="N47" s="4" t="s">
        <v>485</v>
      </c>
      <c r="O47" s="177" t="s">
        <v>487</v>
      </c>
      <c r="Q47" s="4">
        <v>2</v>
      </c>
      <c r="R47" s="8"/>
      <c r="S47" s="8" t="s">
        <v>514</v>
      </c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Q47" s="4">
        <v>1</v>
      </c>
      <c r="DE47" s="4">
        <v>2</v>
      </c>
      <c r="EZ47" s="99"/>
      <c r="FA47" s="99"/>
      <c r="FB47" s="99"/>
      <c r="FC47" s="99"/>
      <c r="FD47" s="99"/>
    </row>
    <row r="48" spans="1:160" x14ac:dyDescent="0.35">
      <c r="B48" s="31">
        <f t="shared" si="0"/>
        <v>1</v>
      </c>
      <c r="C48" s="31">
        <f t="shared" si="1"/>
        <v>1</v>
      </c>
      <c r="D48" s="31">
        <f t="shared" si="2"/>
        <v>1</v>
      </c>
      <c r="E48" s="31">
        <f t="shared" si="3"/>
        <v>1</v>
      </c>
      <c r="F48" s="31">
        <f t="shared" si="4"/>
        <v>1</v>
      </c>
      <c r="G48" s="31">
        <f t="shared" si="5"/>
        <v>2</v>
      </c>
      <c r="H48" s="102">
        <f>IF(AND(M48&gt;0,M48&lt;=STATS!$C$22),1,"")</f>
        <v>1</v>
      </c>
      <c r="J48" s="13">
        <v>47</v>
      </c>
      <c r="K48">
        <v>45.516500000000001</v>
      </c>
      <c r="L48">
        <v>91.97269</v>
      </c>
      <c r="M48" s="4">
        <v>2</v>
      </c>
      <c r="N48" s="4" t="s">
        <v>485</v>
      </c>
      <c r="O48" s="177" t="s">
        <v>487</v>
      </c>
      <c r="Q48" s="4">
        <v>1</v>
      </c>
      <c r="R48" s="8" t="s">
        <v>514</v>
      </c>
      <c r="S48" s="8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DE48" s="4">
        <v>1</v>
      </c>
      <c r="EZ48" s="99"/>
      <c r="FA48" s="99"/>
      <c r="FB48" s="99"/>
      <c r="FC48" s="99"/>
      <c r="FD48" s="99"/>
    </row>
    <row r="49" spans="2:160" x14ac:dyDescent="0.35">
      <c r="B49" s="31">
        <f t="shared" si="0"/>
        <v>5</v>
      </c>
      <c r="C49" s="31">
        <f t="shared" si="1"/>
        <v>5</v>
      </c>
      <c r="D49" s="31">
        <f t="shared" si="2"/>
        <v>5</v>
      </c>
      <c r="E49" s="31">
        <f t="shared" si="3"/>
        <v>5</v>
      </c>
      <c r="F49" s="31">
        <f t="shared" si="4"/>
        <v>5</v>
      </c>
      <c r="G49" s="31">
        <f t="shared" si="5"/>
        <v>4</v>
      </c>
      <c r="H49" s="102">
        <f>IF(AND(M49&gt;0,M49&lt;=STATS!$C$22),1,"")</f>
        <v>1</v>
      </c>
      <c r="J49" s="13">
        <v>48</v>
      </c>
      <c r="K49">
        <v>45.516500000000001</v>
      </c>
      <c r="L49">
        <v>91.972470000000001</v>
      </c>
      <c r="M49" s="4">
        <v>4</v>
      </c>
      <c r="N49" s="4" t="s">
        <v>484</v>
      </c>
      <c r="O49" s="177" t="s">
        <v>487</v>
      </c>
      <c r="Q49" s="4">
        <v>2</v>
      </c>
      <c r="R49" s="8"/>
      <c r="S49" s="8" t="s">
        <v>514</v>
      </c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>
        <v>1</v>
      </c>
      <c r="AF49" s="14"/>
      <c r="AG49" s="14">
        <v>1</v>
      </c>
      <c r="AH49" s="14"/>
      <c r="AQ49" s="4">
        <v>2</v>
      </c>
      <c r="CO49" s="4">
        <v>1</v>
      </c>
      <c r="DE49" s="4">
        <v>2</v>
      </c>
      <c r="EZ49" s="99"/>
      <c r="FA49" s="99"/>
      <c r="FB49" s="99"/>
      <c r="FC49" s="99"/>
      <c r="FD49" s="99"/>
    </row>
    <row r="50" spans="2:160" x14ac:dyDescent="0.35">
      <c r="B50" s="31">
        <f t="shared" si="0"/>
        <v>3</v>
      </c>
      <c r="C50" s="31">
        <f t="shared" si="1"/>
        <v>3</v>
      </c>
      <c r="D50" s="31">
        <f t="shared" si="2"/>
        <v>3</v>
      </c>
      <c r="E50" s="31">
        <f t="shared" si="3"/>
        <v>3</v>
      </c>
      <c r="F50" s="31">
        <f t="shared" si="4"/>
        <v>3</v>
      </c>
      <c r="G50" s="31">
        <f t="shared" si="5"/>
        <v>4</v>
      </c>
      <c r="H50" s="102">
        <f>IF(AND(M50&gt;0,M50&lt;=STATS!$C$22),1,"")</f>
        <v>1</v>
      </c>
      <c r="J50" s="13">
        <v>49</v>
      </c>
      <c r="K50">
        <v>45.516649999999998</v>
      </c>
      <c r="L50">
        <v>91.972579999999994</v>
      </c>
      <c r="M50" s="4">
        <v>4</v>
      </c>
      <c r="N50" s="4" t="s">
        <v>484</v>
      </c>
      <c r="O50" s="177" t="s">
        <v>487</v>
      </c>
      <c r="Q50" s="4">
        <v>2</v>
      </c>
      <c r="R50" s="8"/>
      <c r="S50" s="8" t="s">
        <v>514</v>
      </c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>
        <v>1</v>
      </c>
      <c r="AF50" s="14"/>
      <c r="AG50" s="14"/>
      <c r="AH50" s="14"/>
      <c r="AQ50" s="4">
        <v>2</v>
      </c>
      <c r="DE50" s="4">
        <v>2</v>
      </c>
      <c r="EZ50" s="99"/>
      <c r="FA50" s="99"/>
      <c r="FB50" s="99"/>
      <c r="FC50" s="99"/>
      <c r="FD50" s="99"/>
    </row>
    <row r="51" spans="2:160" x14ac:dyDescent="0.35">
      <c r="B51" s="31">
        <f t="shared" si="0"/>
        <v>3</v>
      </c>
      <c r="C51" s="31">
        <f t="shared" si="1"/>
        <v>3</v>
      </c>
      <c r="D51" s="31">
        <f t="shared" si="2"/>
        <v>3</v>
      </c>
      <c r="E51" s="31">
        <f t="shared" si="3"/>
        <v>3</v>
      </c>
      <c r="F51" s="31">
        <f t="shared" si="4"/>
        <v>3</v>
      </c>
      <c r="G51" s="31">
        <f t="shared" si="5"/>
        <v>3</v>
      </c>
      <c r="H51" s="102">
        <f>IF(AND(M51&gt;0,M51&lt;=STATS!$C$22),1,"")</f>
        <v>1</v>
      </c>
      <c r="J51" s="13">
        <v>50</v>
      </c>
      <c r="K51">
        <v>45.516800000000003</v>
      </c>
      <c r="L51">
        <v>91.972700000000003</v>
      </c>
      <c r="M51" s="4">
        <v>3</v>
      </c>
      <c r="N51" s="4" t="s">
        <v>484</v>
      </c>
      <c r="O51" s="177" t="s">
        <v>487</v>
      </c>
      <c r="Q51" s="4">
        <v>2</v>
      </c>
      <c r="R51" s="8"/>
      <c r="S51" s="8" t="s">
        <v>514</v>
      </c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>
        <v>2</v>
      </c>
      <c r="AF51" s="14"/>
      <c r="AG51" s="14"/>
      <c r="AH51" s="14"/>
      <c r="CA51" s="4">
        <v>1</v>
      </c>
      <c r="DE51" s="4">
        <v>1</v>
      </c>
      <c r="EZ51" s="99"/>
      <c r="FA51" s="99"/>
      <c r="FB51" s="99">
        <v>1</v>
      </c>
      <c r="FC51" s="99"/>
      <c r="FD51" s="99"/>
    </row>
    <row r="52" spans="2:160" x14ac:dyDescent="0.35">
      <c r="B52" s="31">
        <f t="shared" si="0"/>
        <v>3</v>
      </c>
      <c r="C52" s="31">
        <f t="shared" si="1"/>
        <v>3</v>
      </c>
      <c r="D52" s="31">
        <f t="shared" si="2"/>
        <v>3</v>
      </c>
      <c r="E52" s="31">
        <f t="shared" si="3"/>
        <v>3</v>
      </c>
      <c r="F52" s="31">
        <f t="shared" si="4"/>
        <v>3</v>
      </c>
      <c r="G52" s="31">
        <f t="shared" si="5"/>
        <v>5</v>
      </c>
      <c r="H52" s="102">
        <f>IF(AND(M52&gt;0,M52&lt;=STATS!$C$22),1,"")</f>
        <v>1</v>
      </c>
      <c r="J52" s="13">
        <v>51</v>
      </c>
      <c r="K52">
        <v>45.51681</v>
      </c>
      <c r="L52">
        <v>91.972480000000004</v>
      </c>
      <c r="M52" s="4">
        <v>5</v>
      </c>
      <c r="N52" s="4" t="s">
        <v>485</v>
      </c>
      <c r="O52" s="177" t="s">
        <v>487</v>
      </c>
      <c r="Q52" s="4">
        <v>2</v>
      </c>
      <c r="R52" s="8"/>
      <c r="S52" s="8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>
        <v>2</v>
      </c>
      <c r="AF52" s="14"/>
      <c r="AG52" s="14"/>
      <c r="AH52" s="14"/>
      <c r="BG52" s="4">
        <v>1</v>
      </c>
      <c r="DE52" s="4">
        <v>1</v>
      </c>
      <c r="EZ52" s="99"/>
      <c r="FA52" s="99"/>
      <c r="FB52" s="99"/>
      <c r="FC52" s="99"/>
      <c r="FD52" s="99"/>
    </row>
    <row r="53" spans="2:160" x14ac:dyDescent="0.35">
      <c r="B53" s="31">
        <f t="shared" si="0"/>
        <v>2</v>
      </c>
      <c r="C53" s="31">
        <f t="shared" si="1"/>
        <v>2</v>
      </c>
      <c r="D53" s="31">
        <f t="shared" si="2"/>
        <v>2</v>
      </c>
      <c r="E53" s="31">
        <f t="shared" si="3"/>
        <v>2</v>
      </c>
      <c r="F53" s="31">
        <f t="shared" si="4"/>
        <v>2</v>
      </c>
      <c r="G53" s="31">
        <f t="shared" si="5"/>
        <v>2.5</v>
      </c>
      <c r="H53" s="102">
        <f>IF(AND(M53&gt;0,M53&lt;=STATS!$C$22),1,"")</f>
        <v>1</v>
      </c>
      <c r="J53" s="13">
        <v>52</v>
      </c>
      <c r="K53">
        <v>45.516959999999997</v>
      </c>
      <c r="L53">
        <v>91.972809999999996</v>
      </c>
      <c r="M53" s="4">
        <v>2.5</v>
      </c>
      <c r="N53" s="4" t="s">
        <v>485</v>
      </c>
      <c r="O53" s="177" t="s">
        <v>487</v>
      </c>
      <c r="Q53" s="4">
        <v>1</v>
      </c>
      <c r="R53" s="8"/>
      <c r="S53" s="8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>
        <v>1</v>
      </c>
      <c r="AF53" s="14"/>
      <c r="AG53" s="14"/>
      <c r="AH53" s="14"/>
      <c r="AQ53" s="4">
        <v>1</v>
      </c>
      <c r="EZ53" s="99"/>
      <c r="FA53" s="99"/>
      <c r="FB53" s="99">
        <v>1</v>
      </c>
      <c r="FC53" s="99"/>
      <c r="FD53" s="99"/>
    </row>
    <row r="54" spans="2:160" x14ac:dyDescent="0.35">
      <c r="B54" s="31">
        <f t="shared" si="0"/>
        <v>1</v>
      </c>
      <c r="C54" s="31">
        <f t="shared" si="1"/>
        <v>1</v>
      </c>
      <c r="D54" s="31">
        <f t="shared" si="2"/>
        <v>1</v>
      </c>
      <c r="E54" s="31">
        <f t="shared" si="3"/>
        <v>1</v>
      </c>
      <c r="F54" s="31">
        <f t="shared" si="4"/>
        <v>1</v>
      </c>
      <c r="G54" s="31">
        <f t="shared" si="5"/>
        <v>5.5</v>
      </c>
      <c r="H54" s="102">
        <f>IF(AND(M54&gt;0,M54&lt;=STATS!$C$22),1,"")</f>
        <v>1</v>
      </c>
      <c r="J54" s="13">
        <v>53</v>
      </c>
      <c r="K54">
        <v>45.516959999999997</v>
      </c>
      <c r="L54">
        <v>91.972589999999997</v>
      </c>
      <c r="M54" s="4">
        <v>5.5</v>
      </c>
      <c r="N54" s="4" t="s">
        <v>485</v>
      </c>
      <c r="O54" s="177" t="s">
        <v>487</v>
      </c>
      <c r="Q54" s="4">
        <v>1</v>
      </c>
      <c r="R54" s="8"/>
      <c r="S54" s="8" t="s">
        <v>514</v>
      </c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>
        <v>1</v>
      </c>
      <c r="AF54" s="14"/>
      <c r="AG54" s="14"/>
      <c r="AH54" s="14"/>
      <c r="EZ54" s="99"/>
      <c r="FA54" s="99"/>
      <c r="FB54" s="99">
        <v>1</v>
      </c>
      <c r="FC54" s="99"/>
      <c r="FD54" s="99"/>
    </row>
    <row r="55" spans="2:160" x14ac:dyDescent="0.35">
      <c r="B55" s="31">
        <f t="shared" si="0"/>
        <v>0</v>
      </c>
      <c r="C55" s="31" t="str">
        <f t="shared" si="1"/>
        <v/>
      </c>
      <c r="D55" s="31" t="str">
        <f t="shared" si="2"/>
        <v/>
      </c>
      <c r="E55" s="31">
        <f t="shared" si="3"/>
        <v>0</v>
      </c>
      <c r="F55" s="31">
        <f t="shared" si="4"/>
        <v>0</v>
      </c>
      <c r="G55" s="31" t="str">
        <f t="shared" si="5"/>
        <v/>
      </c>
      <c r="H55" s="102">
        <f>IF(AND(M55&gt;0,M55&lt;=STATS!$C$22),1,"")</f>
        <v>1</v>
      </c>
      <c r="J55" s="13">
        <v>54</v>
      </c>
      <c r="K55">
        <v>45.517110000000002</v>
      </c>
      <c r="L55">
        <v>91.972710000000006</v>
      </c>
      <c r="M55" s="4">
        <v>2</v>
      </c>
      <c r="N55" s="4" t="s">
        <v>485</v>
      </c>
      <c r="O55" s="177" t="s">
        <v>487</v>
      </c>
      <c r="R55" s="8"/>
      <c r="S55" s="8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EZ55" s="99"/>
      <c r="FA55" s="99"/>
      <c r="FB55" s="99">
        <v>1</v>
      </c>
      <c r="FC55" s="99"/>
      <c r="FD55" s="99"/>
    </row>
    <row r="56" spans="2:160" x14ac:dyDescent="0.35">
      <c r="B56" s="31">
        <f t="shared" si="0"/>
        <v>1</v>
      </c>
      <c r="C56" s="31">
        <f t="shared" si="1"/>
        <v>1</v>
      </c>
      <c r="D56" s="31" t="str">
        <f t="shared" si="2"/>
        <v/>
      </c>
      <c r="E56" s="31">
        <f t="shared" si="3"/>
        <v>1</v>
      </c>
      <c r="F56" s="31">
        <f t="shared" si="4"/>
        <v>0</v>
      </c>
      <c r="G56" s="31">
        <f t="shared" si="5"/>
        <v>3</v>
      </c>
      <c r="H56" s="102">
        <f>IF(AND(M56&gt;0,M56&lt;=STATS!$C$22),1,"")</f>
        <v>1</v>
      </c>
      <c r="J56" s="13">
        <v>55</v>
      </c>
      <c r="K56">
        <v>45.517110000000002</v>
      </c>
      <c r="L56">
        <v>91.972489999999993</v>
      </c>
      <c r="M56" s="4">
        <v>3</v>
      </c>
      <c r="N56" s="4" t="s">
        <v>485</v>
      </c>
      <c r="O56" s="177" t="s">
        <v>487</v>
      </c>
      <c r="Q56" s="4">
        <v>1</v>
      </c>
      <c r="R56" s="8"/>
      <c r="S56" s="8">
        <v>1</v>
      </c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EZ56" s="99"/>
      <c r="FA56" s="99"/>
      <c r="FB56" s="99">
        <v>1</v>
      </c>
      <c r="FC56" s="99"/>
      <c r="FD56" s="99"/>
    </row>
    <row r="57" spans="2:160" x14ac:dyDescent="0.35">
      <c r="B57" s="31">
        <f t="shared" si="0"/>
        <v>1</v>
      </c>
      <c r="C57" s="31">
        <f t="shared" si="1"/>
        <v>1</v>
      </c>
      <c r="D57" s="31">
        <f t="shared" si="2"/>
        <v>1</v>
      </c>
      <c r="E57" s="31">
        <f t="shared" si="3"/>
        <v>1</v>
      </c>
      <c r="F57" s="31">
        <f t="shared" si="4"/>
        <v>1</v>
      </c>
      <c r="G57" s="31">
        <f t="shared" si="5"/>
        <v>2</v>
      </c>
      <c r="H57" s="102">
        <f>IF(AND(M57&gt;0,M57&lt;=STATS!$C$22),1,"")</f>
        <v>1</v>
      </c>
      <c r="J57" s="13">
        <v>56</v>
      </c>
      <c r="K57">
        <v>45.51726</v>
      </c>
      <c r="L57">
        <v>91.972610000000003</v>
      </c>
      <c r="M57" s="4">
        <v>2</v>
      </c>
      <c r="N57" s="4" t="s">
        <v>485</v>
      </c>
      <c r="O57" s="177" t="s">
        <v>487</v>
      </c>
      <c r="Q57" s="4">
        <v>1</v>
      </c>
      <c r="R57" s="8"/>
      <c r="S57" s="8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CZ57" s="4">
        <v>1</v>
      </c>
      <c r="EZ57" s="99"/>
      <c r="FA57" s="99"/>
      <c r="FB57" s="99"/>
      <c r="FC57" s="99"/>
      <c r="FD57" s="99"/>
    </row>
    <row r="58" spans="2:160" x14ac:dyDescent="0.35">
      <c r="B58" s="31">
        <f t="shared" si="0"/>
        <v>2</v>
      </c>
      <c r="C58" s="31">
        <f t="shared" si="1"/>
        <v>2</v>
      </c>
      <c r="D58" s="31">
        <f t="shared" si="2"/>
        <v>2</v>
      </c>
      <c r="E58" s="31">
        <f t="shared" si="3"/>
        <v>2</v>
      </c>
      <c r="F58" s="31">
        <f t="shared" si="4"/>
        <v>2</v>
      </c>
      <c r="G58" s="31">
        <f t="shared" si="5"/>
        <v>3</v>
      </c>
      <c r="H58" s="102">
        <f>IF(AND(M58&gt;0,M58&lt;=STATS!$C$22),1,"")</f>
        <v>1</v>
      </c>
      <c r="J58" s="13">
        <v>57</v>
      </c>
      <c r="K58">
        <v>45.517270000000003</v>
      </c>
      <c r="L58">
        <v>91.972390000000004</v>
      </c>
      <c r="M58" s="4">
        <v>3</v>
      </c>
      <c r="N58" s="4" t="s">
        <v>485</v>
      </c>
      <c r="O58" s="177" t="s">
        <v>487</v>
      </c>
      <c r="Q58" s="4">
        <v>1</v>
      </c>
      <c r="R58" s="8"/>
      <c r="S58" s="8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>
        <v>1</v>
      </c>
      <c r="AF58" s="14"/>
      <c r="AG58" s="14"/>
      <c r="AH58" s="14"/>
      <c r="AQ58" s="4">
        <v>1</v>
      </c>
      <c r="EZ58" s="99"/>
      <c r="FA58" s="99"/>
      <c r="FB58" s="99">
        <v>1</v>
      </c>
      <c r="FC58" s="99"/>
      <c r="FD58" s="99"/>
    </row>
    <row r="59" spans="2:160" x14ac:dyDescent="0.35">
      <c r="B59" s="31">
        <f t="shared" si="0"/>
        <v>1</v>
      </c>
      <c r="C59" s="31">
        <f t="shared" si="1"/>
        <v>1</v>
      </c>
      <c r="D59" s="31">
        <f t="shared" si="2"/>
        <v>1</v>
      </c>
      <c r="E59" s="31">
        <f t="shared" si="3"/>
        <v>1</v>
      </c>
      <c r="F59" s="31">
        <f t="shared" si="4"/>
        <v>1</v>
      </c>
      <c r="G59" s="31">
        <f t="shared" si="5"/>
        <v>1.5</v>
      </c>
      <c r="H59" s="102">
        <f>IF(AND(M59&gt;0,M59&lt;=STATS!$C$22),1,"")</f>
        <v>1</v>
      </c>
      <c r="J59" s="13">
        <v>58</v>
      </c>
      <c r="K59">
        <v>45.517440000000001</v>
      </c>
      <c r="L59">
        <v>91.969459999999998</v>
      </c>
      <c r="M59" s="4">
        <v>1.5</v>
      </c>
      <c r="N59" s="4" t="s">
        <v>486</v>
      </c>
      <c r="O59" s="177" t="s">
        <v>487</v>
      </c>
      <c r="Q59" s="4">
        <v>1</v>
      </c>
      <c r="R59" s="8"/>
      <c r="S59" s="8" t="s">
        <v>514</v>
      </c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BR59" s="4">
        <v>1</v>
      </c>
      <c r="EZ59" s="99"/>
      <c r="FA59" s="99"/>
      <c r="FB59" s="99">
        <v>1</v>
      </c>
      <c r="FC59" s="99"/>
      <c r="FD59" s="99"/>
    </row>
    <row r="60" spans="2:160" x14ac:dyDescent="0.35">
      <c r="B60" s="31">
        <f t="shared" si="0"/>
        <v>4</v>
      </c>
      <c r="C60" s="31">
        <f t="shared" si="1"/>
        <v>4</v>
      </c>
      <c r="D60" s="31">
        <f t="shared" si="2"/>
        <v>3</v>
      </c>
      <c r="E60" s="31">
        <f t="shared" si="3"/>
        <v>4</v>
      </c>
      <c r="F60" s="31">
        <f t="shared" si="4"/>
        <v>3</v>
      </c>
      <c r="G60" s="31">
        <f t="shared" si="5"/>
        <v>4</v>
      </c>
      <c r="H60" s="102">
        <f>IF(AND(M60&gt;0,M60&lt;=STATS!$C$22),1,"")</f>
        <v>1</v>
      </c>
      <c r="J60" s="13">
        <v>59</v>
      </c>
      <c r="K60">
        <v>45.517449999999997</v>
      </c>
      <c r="L60">
        <v>91.96902</v>
      </c>
      <c r="M60" s="4">
        <v>4</v>
      </c>
      <c r="N60" s="4" t="s">
        <v>486</v>
      </c>
      <c r="O60" s="177" t="s">
        <v>487</v>
      </c>
      <c r="Q60" s="4">
        <v>3</v>
      </c>
      <c r="R60" s="8"/>
      <c r="S60" s="8">
        <v>3</v>
      </c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BO60" s="4">
        <v>1</v>
      </c>
      <c r="CY60" s="4">
        <v>1</v>
      </c>
      <c r="DE60" s="4">
        <v>1</v>
      </c>
      <c r="EZ60" s="99"/>
      <c r="FA60" s="99"/>
      <c r="FB60" s="99">
        <v>1</v>
      </c>
      <c r="FC60" s="99"/>
      <c r="FD60" s="99"/>
    </row>
    <row r="61" spans="2:160" x14ac:dyDescent="0.35">
      <c r="B61" s="31">
        <f t="shared" si="0"/>
        <v>2</v>
      </c>
      <c r="C61" s="31">
        <f t="shared" si="1"/>
        <v>2</v>
      </c>
      <c r="D61" s="31">
        <f t="shared" si="2"/>
        <v>2</v>
      </c>
      <c r="E61" s="31">
        <f t="shared" si="3"/>
        <v>2</v>
      </c>
      <c r="F61" s="31">
        <f t="shared" si="4"/>
        <v>2</v>
      </c>
      <c r="G61" s="31">
        <f t="shared" si="5"/>
        <v>2.5</v>
      </c>
      <c r="H61" s="102">
        <f>IF(AND(M61&gt;0,M61&lt;=STATS!$C$22),1,"")</f>
        <v>1</v>
      </c>
      <c r="J61" s="13">
        <v>60</v>
      </c>
      <c r="K61">
        <v>45.517440000000001</v>
      </c>
      <c r="L61">
        <v>91.969890000000007</v>
      </c>
      <c r="M61" s="4">
        <v>2.5</v>
      </c>
      <c r="N61" s="4" t="s">
        <v>484</v>
      </c>
      <c r="O61" s="177" t="s">
        <v>487</v>
      </c>
      <c r="Q61" s="4">
        <v>1</v>
      </c>
      <c r="R61" s="8"/>
      <c r="S61" s="8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BR61" s="4">
        <v>1</v>
      </c>
      <c r="EF61" s="4">
        <v>1</v>
      </c>
      <c r="EZ61" s="99"/>
      <c r="FA61" s="99"/>
      <c r="FB61" s="99">
        <v>1</v>
      </c>
      <c r="FC61" s="99"/>
      <c r="FD61" s="99"/>
    </row>
    <row r="62" spans="2:160" x14ac:dyDescent="0.35">
      <c r="B62" s="31">
        <f t="shared" si="0"/>
        <v>1</v>
      </c>
      <c r="C62" s="31">
        <f t="shared" si="1"/>
        <v>1</v>
      </c>
      <c r="D62" s="31">
        <f t="shared" si="2"/>
        <v>1</v>
      </c>
      <c r="E62" s="31">
        <f t="shared" si="3"/>
        <v>1</v>
      </c>
      <c r="F62" s="31">
        <f t="shared" si="4"/>
        <v>1</v>
      </c>
      <c r="G62" s="31">
        <f t="shared" si="5"/>
        <v>3</v>
      </c>
      <c r="H62" s="102">
        <f>IF(AND(M62&gt;0,M62&lt;=STATS!$C$22),1,"")</f>
        <v>1</v>
      </c>
      <c r="J62" s="13">
        <v>61</v>
      </c>
      <c r="K62">
        <v>45.517420000000001</v>
      </c>
      <c r="L62">
        <v>91.972499999999997</v>
      </c>
      <c r="M62" s="4">
        <v>3</v>
      </c>
      <c r="N62" s="4" t="s">
        <v>485</v>
      </c>
      <c r="O62" s="177" t="s">
        <v>487</v>
      </c>
      <c r="Q62" s="4">
        <v>1</v>
      </c>
      <c r="R62" s="8"/>
      <c r="S62" s="8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>
        <v>1</v>
      </c>
      <c r="AF62" s="14"/>
      <c r="AG62" s="14"/>
      <c r="AH62" s="14"/>
      <c r="EZ62" s="99"/>
      <c r="FA62" s="99"/>
      <c r="FB62" s="99"/>
      <c r="FC62" s="99"/>
      <c r="FD62" s="99"/>
    </row>
    <row r="63" spans="2:160" x14ac:dyDescent="0.35">
      <c r="B63" s="31">
        <f t="shared" si="0"/>
        <v>2</v>
      </c>
      <c r="C63" s="31">
        <f t="shared" si="1"/>
        <v>2</v>
      </c>
      <c r="D63" s="31">
        <f t="shared" si="2"/>
        <v>2</v>
      </c>
      <c r="E63" s="31">
        <f t="shared" si="3"/>
        <v>2</v>
      </c>
      <c r="F63" s="31">
        <f t="shared" si="4"/>
        <v>2</v>
      </c>
      <c r="G63" s="31">
        <f t="shared" si="5"/>
        <v>4.5</v>
      </c>
      <c r="H63" s="102">
        <f>IF(AND(M63&gt;0,M63&lt;=STATS!$C$22),1,"")</f>
        <v>1</v>
      </c>
      <c r="J63" s="13">
        <v>62</v>
      </c>
      <c r="K63">
        <v>45.517420000000001</v>
      </c>
      <c r="L63">
        <v>91.972279999999998</v>
      </c>
      <c r="M63" s="4">
        <v>4.5</v>
      </c>
      <c r="N63" s="4" t="s">
        <v>485</v>
      </c>
      <c r="O63" s="177" t="s">
        <v>487</v>
      </c>
      <c r="Q63" s="4">
        <v>1</v>
      </c>
      <c r="R63" s="8"/>
      <c r="S63" s="8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>
        <v>1</v>
      </c>
      <c r="AF63" s="14"/>
      <c r="AG63" s="14"/>
      <c r="AH63" s="14"/>
      <c r="CZ63" s="4">
        <v>1</v>
      </c>
      <c r="EZ63" s="99"/>
      <c r="FA63" s="99"/>
      <c r="FB63" s="99"/>
      <c r="FC63" s="99"/>
      <c r="FD63" s="99"/>
    </row>
    <row r="64" spans="2:160" x14ac:dyDescent="0.35">
      <c r="B64" s="31">
        <f t="shared" si="0"/>
        <v>3</v>
      </c>
      <c r="C64" s="31">
        <f t="shared" si="1"/>
        <v>3</v>
      </c>
      <c r="D64" s="31">
        <f t="shared" si="2"/>
        <v>3</v>
      </c>
      <c r="E64" s="31">
        <f t="shared" si="3"/>
        <v>3</v>
      </c>
      <c r="F64" s="31">
        <f t="shared" si="4"/>
        <v>3</v>
      </c>
      <c r="G64" s="31">
        <f t="shared" si="5"/>
        <v>2</v>
      </c>
      <c r="H64" s="102">
        <f>IF(AND(M64&gt;0,M64&lt;=STATS!$C$22),1,"")</f>
        <v>1</v>
      </c>
      <c r="J64" s="13">
        <v>63</v>
      </c>
      <c r="K64">
        <v>45.51746</v>
      </c>
      <c r="L64">
        <v>91.970110000000005</v>
      </c>
      <c r="M64" s="4">
        <v>2</v>
      </c>
      <c r="N64" s="4" t="s">
        <v>484</v>
      </c>
      <c r="O64" s="177" t="s">
        <v>487</v>
      </c>
      <c r="Q64" s="4">
        <v>1</v>
      </c>
      <c r="R64" s="8"/>
      <c r="S64" s="8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BR64" s="4">
        <v>1</v>
      </c>
      <c r="CZ64" s="4">
        <v>1</v>
      </c>
      <c r="DE64" s="4">
        <v>1</v>
      </c>
      <c r="EZ64" s="99"/>
      <c r="FA64" s="99"/>
      <c r="FB64" s="99">
        <v>1</v>
      </c>
      <c r="FC64" s="99"/>
      <c r="FD64" s="99"/>
    </row>
    <row r="65" spans="2:160" x14ac:dyDescent="0.35">
      <c r="B65" s="31">
        <f t="shared" si="0"/>
        <v>1</v>
      </c>
      <c r="C65" s="31">
        <f t="shared" si="1"/>
        <v>1</v>
      </c>
      <c r="D65" s="31">
        <f t="shared" si="2"/>
        <v>1</v>
      </c>
      <c r="E65" s="31">
        <f t="shared" si="3"/>
        <v>1</v>
      </c>
      <c r="F65" s="31">
        <f t="shared" si="4"/>
        <v>1</v>
      </c>
      <c r="G65" s="31">
        <f t="shared" si="5"/>
        <v>1.5</v>
      </c>
      <c r="H65" s="102">
        <f>IF(AND(M65&gt;0,M65&lt;=STATS!$C$22),1,"")</f>
        <v>1</v>
      </c>
      <c r="J65" s="13">
        <v>64</v>
      </c>
      <c r="K65">
        <v>45.517470000000003</v>
      </c>
      <c r="L65">
        <v>91.969669999999994</v>
      </c>
      <c r="M65" s="4">
        <v>1.5</v>
      </c>
      <c r="N65" s="4" t="s">
        <v>486</v>
      </c>
      <c r="O65" s="177" t="s">
        <v>487</v>
      </c>
      <c r="Q65" s="4">
        <v>1</v>
      </c>
      <c r="R65" s="8"/>
      <c r="S65" s="8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BR65" s="4">
        <v>1</v>
      </c>
      <c r="EZ65" s="99"/>
      <c r="FA65" s="99"/>
      <c r="FB65" s="99"/>
      <c r="FC65" s="99"/>
      <c r="FD65" s="99"/>
    </row>
    <row r="66" spans="2:160" x14ac:dyDescent="0.35">
      <c r="B66" s="31">
        <f t="shared" ref="B66:B81" si="6">COUNT(R66:EY66,FE66:FM66)</f>
        <v>1</v>
      </c>
      <c r="C66" s="31">
        <f t="shared" ref="C66:C81" si="7">IF(COUNT(R66:EY66,FE66:FM66)&gt;0,COUNT(R66:EY66,FE66:FM66),"")</f>
        <v>1</v>
      </c>
      <c r="D66" s="31">
        <f t="shared" ref="D66:D81" si="8">IF(COUNT(T66:BJ66,BL66:BT66,BV66:CB66,CD66:EY66,FE66:FM66)&gt;0,COUNT(T66:BJ66,BL66:BT66,BV66:CB66,CD66:EY66,FE66:FM66),"")</f>
        <v>1</v>
      </c>
      <c r="E66" s="31">
        <f t="shared" ref="E66:E81" si="9">IF(H66=1,COUNT(R66:EY66,FE66:FM66),"")</f>
        <v>1</v>
      </c>
      <c r="F66" s="31">
        <f t="shared" ref="F66:F81" si="10">IF(H66=1,COUNT(T66:BJ66,BL66:BT66,BV66:CB66,CD66:EY66,FE66:FM66),"")</f>
        <v>1</v>
      </c>
      <c r="G66" s="31">
        <f t="shared" ref="G66:G81" si="11">IF($B66&gt;=1,$M66,"")</f>
        <v>1.5</v>
      </c>
      <c r="H66" s="102">
        <f>IF(AND(M66&gt;0,M66&lt;=STATS!$C$22),1,"")</f>
        <v>1</v>
      </c>
      <c r="J66" s="13">
        <v>65</v>
      </c>
      <c r="K66">
        <v>45.517479999999999</v>
      </c>
      <c r="L66">
        <v>91.969239999999999</v>
      </c>
      <c r="M66" s="4">
        <v>1.5</v>
      </c>
      <c r="N66" s="4" t="s">
        <v>486</v>
      </c>
      <c r="O66" s="177" t="s">
        <v>487</v>
      </c>
      <c r="Q66" s="4">
        <v>1</v>
      </c>
      <c r="R66" s="8"/>
      <c r="S66" s="8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CZ66" s="4">
        <v>1</v>
      </c>
      <c r="EZ66" s="99"/>
      <c r="FA66" s="99"/>
      <c r="FB66" s="99">
        <v>1</v>
      </c>
      <c r="FC66" s="99"/>
      <c r="FD66" s="99"/>
    </row>
    <row r="67" spans="2:160" x14ac:dyDescent="0.35">
      <c r="B67" s="31">
        <f t="shared" si="6"/>
        <v>1</v>
      </c>
      <c r="C67" s="31">
        <f t="shared" si="7"/>
        <v>1</v>
      </c>
      <c r="D67" s="31">
        <f t="shared" si="8"/>
        <v>1</v>
      </c>
      <c r="E67" s="31">
        <f t="shared" si="9"/>
        <v>1</v>
      </c>
      <c r="F67" s="31">
        <f t="shared" si="10"/>
        <v>1</v>
      </c>
      <c r="G67" s="31">
        <f t="shared" si="11"/>
        <v>5</v>
      </c>
      <c r="H67" s="102">
        <f>IF(AND(M67&gt;0,M67&lt;=STATS!$C$22),1,"")</f>
        <v>1</v>
      </c>
      <c r="J67" s="13">
        <v>66</v>
      </c>
      <c r="K67">
        <v>45.517470000000003</v>
      </c>
      <c r="L67">
        <v>91.970550000000003</v>
      </c>
      <c r="M67" s="4">
        <v>5</v>
      </c>
      <c r="N67" s="4" t="s">
        <v>484</v>
      </c>
      <c r="O67" s="177" t="s">
        <v>487</v>
      </c>
      <c r="Q67" s="4">
        <v>2</v>
      </c>
      <c r="R67" s="8"/>
      <c r="S67" s="8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W67" s="4">
        <v>2</v>
      </c>
      <c r="EZ67" s="99"/>
      <c r="FA67" s="99"/>
      <c r="FB67" s="99">
        <v>1</v>
      </c>
      <c r="FC67" s="99"/>
      <c r="FD67" s="99"/>
    </row>
    <row r="68" spans="2:160" x14ac:dyDescent="0.35">
      <c r="B68" s="31">
        <f t="shared" si="6"/>
        <v>4</v>
      </c>
      <c r="C68" s="31">
        <f t="shared" si="7"/>
        <v>4</v>
      </c>
      <c r="D68" s="31">
        <f t="shared" si="8"/>
        <v>4</v>
      </c>
      <c r="E68" s="31">
        <f t="shared" si="9"/>
        <v>4</v>
      </c>
      <c r="F68" s="31">
        <f t="shared" si="10"/>
        <v>4</v>
      </c>
      <c r="G68" s="31">
        <f t="shared" si="11"/>
        <v>6</v>
      </c>
      <c r="H68" s="102">
        <f>IF(AND(M68&gt;0,M68&lt;=STATS!$C$22),1,"")</f>
        <v>1</v>
      </c>
      <c r="J68" s="13">
        <v>67</v>
      </c>
      <c r="K68">
        <v>45.517470000000003</v>
      </c>
      <c r="L68">
        <v>91.970759999999999</v>
      </c>
      <c r="M68" s="4">
        <v>6</v>
      </c>
      <c r="N68" s="4" t="s">
        <v>484</v>
      </c>
      <c r="O68" s="177" t="s">
        <v>487</v>
      </c>
      <c r="Q68" s="4">
        <v>1</v>
      </c>
      <c r="R68" s="8"/>
      <c r="S68" s="8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W68" s="4">
        <v>1</v>
      </c>
      <c r="BR68" s="4">
        <v>1</v>
      </c>
      <c r="DE68" s="4">
        <v>1</v>
      </c>
      <c r="ES68" s="4">
        <v>1</v>
      </c>
      <c r="EZ68" s="99"/>
      <c r="FA68" s="99"/>
      <c r="FB68" s="99">
        <v>1</v>
      </c>
      <c r="FC68" s="99"/>
      <c r="FD68" s="99"/>
    </row>
    <row r="69" spans="2:160" x14ac:dyDescent="0.35">
      <c r="B69" s="31">
        <f t="shared" si="6"/>
        <v>3</v>
      </c>
      <c r="C69" s="31">
        <f t="shared" si="7"/>
        <v>3</v>
      </c>
      <c r="D69" s="31">
        <f t="shared" si="8"/>
        <v>3</v>
      </c>
      <c r="E69" s="31">
        <f t="shared" si="9"/>
        <v>3</v>
      </c>
      <c r="F69" s="31">
        <f t="shared" si="10"/>
        <v>3</v>
      </c>
      <c r="G69" s="31">
        <f t="shared" si="11"/>
        <v>2.5</v>
      </c>
      <c r="H69" s="102">
        <f>IF(AND(M69&gt;0,M69&lt;=STATS!$C$22),1,"")</f>
        <v>1</v>
      </c>
      <c r="J69" s="13">
        <v>68</v>
      </c>
      <c r="K69">
        <v>45.517490000000002</v>
      </c>
      <c r="L69">
        <v>91.970320000000001</v>
      </c>
      <c r="M69" s="4">
        <v>2.5</v>
      </c>
      <c r="N69" s="4" t="s">
        <v>484</v>
      </c>
      <c r="O69" s="177" t="s">
        <v>487</v>
      </c>
      <c r="Q69" s="4">
        <v>1</v>
      </c>
      <c r="R69" s="8"/>
      <c r="S69" s="8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W69" s="4">
        <v>1</v>
      </c>
      <c r="BR69" s="4">
        <v>1</v>
      </c>
      <c r="CZ69" s="4">
        <v>1</v>
      </c>
      <c r="EZ69" s="99"/>
      <c r="FA69" s="99"/>
      <c r="FB69" s="99">
        <v>1</v>
      </c>
      <c r="FC69" s="99"/>
      <c r="FD69" s="99"/>
    </row>
    <row r="70" spans="2:160" x14ac:dyDescent="0.35">
      <c r="B70" s="31">
        <f t="shared" si="6"/>
        <v>2</v>
      </c>
      <c r="C70" s="31">
        <f t="shared" si="7"/>
        <v>2</v>
      </c>
      <c r="D70" s="31">
        <f t="shared" si="8"/>
        <v>2</v>
      </c>
      <c r="E70" s="31">
        <f t="shared" si="9"/>
        <v>2</v>
      </c>
      <c r="F70" s="31">
        <f t="shared" si="10"/>
        <v>2</v>
      </c>
      <c r="G70" s="31">
        <f t="shared" si="11"/>
        <v>1</v>
      </c>
      <c r="H70" s="102">
        <f>IF(AND(M70&gt;0,M70&lt;=STATS!$C$22),1,"")</f>
        <v>1</v>
      </c>
      <c r="J70" s="13">
        <v>69</v>
      </c>
      <c r="K70">
        <v>45.517589999999998</v>
      </c>
      <c r="L70">
        <v>91.970879999999994</v>
      </c>
      <c r="M70" s="4">
        <v>1</v>
      </c>
      <c r="N70" s="4" t="s">
        <v>484</v>
      </c>
      <c r="O70" s="177" t="s">
        <v>487</v>
      </c>
      <c r="Q70" s="4">
        <v>1</v>
      </c>
      <c r="R70" s="8"/>
      <c r="S70" s="8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CY70" s="4">
        <v>1</v>
      </c>
      <c r="CZ70" s="4">
        <v>1</v>
      </c>
      <c r="EZ70" s="99"/>
      <c r="FA70" s="99"/>
      <c r="FB70" s="99">
        <v>2</v>
      </c>
      <c r="FC70" s="99"/>
      <c r="FD70" s="99"/>
    </row>
    <row r="71" spans="2:160" x14ac:dyDescent="0.35">
      <c r="B71" s="31">
        <f t="shared" si="6"/>
        <v>2</v>
      </c>
      <c r="C71" s="31">
        <f t="shared" si="7"/>
        <v>2</v>
      </c>
      <c r="D71" s="31">
        <f t="shared" si="8"/>
        <v>1</v>
      </c>
      <c r="E71" s="31">
        <f t="shared" si="9"/>
        <v>2</v>
      </c>
      <c r="F71" s="31">
        <f t="shared" si="10"/>
        <v>1</v>
      </c>
      <c r="G71" s="31">
        <f t="shared" si="11"/>
        <v>3</v>
      </c>
      <c r="H71" s="102">
        <f>IF(AND(M71&gt;0,M71&lt;=STATS!$C$22),1,"")</f>
        <v>1</v>
      </c>
      <c r="J71" s="13">
        <v>70</v>
      </c>
      <c r="K71">
        <v>45.517569999999999</v>
      </c>
      <c r="L71">
        <v>91.972399999999993</v>
      </c>
      <c r="M71" s="4">
        <v>3</v>
      </c>
      <c r="N71" s="4" t="s">
        <v>485</v>
      </c>
      <c r="O71" s="177" t="s">
        <v>487</v>
      </c>
      <c r="Q71" s="4">
        <v>2</v>
      </c>
      <c r="R71" s="8"/>
      <c r="S71" s="8">
        <v>2</v>
      </c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>
        <v>2</v>
      </c>
      <c r="AF71" s="14"/>
      <c r="AG71" s="14"/>
      <c r="AH71" s="14"/>
      <c r="EZ71" s="99"/>
      <c r="FA71" s="99"/>
      <c r="FB71" s="99">
        <v>1</v>
      </c>
      <c r="FC71" s="99"/>
      <c r="FD71" s="99"/>
    </row>
    <row r="72" spans="2:160" x14ac:dyDescent="0.35">
      <c r="B72" s="31">
        <f t="shared" si="6"/>
        <v>1</v>
      </c>
      <c r="C72" s="31">
        <f t="shared" si="7"/>
        <v>1</v>
      </c>
      <c r="D72" s="31">
        <f t="shared" si="8"/>
        <v>1</v>
      </c>
      <c r="E72" s="31">
        <f t="shared" si="9"/>
        <v>1</v>
      </c>
      <c r="F72" s="31">
        <f t="shared" si="10"/>
        <v>1</v>
      </c>
      <c r="G72" s="31">
        <f t="shared" si="11"/>
        <v>5</v>
      </c>
      <c r="H72" s="102">
        <f>IF(AND(M72&gt;0,M72&lt;=STATS!$C$22),1,"")</f>
        <v>1</v>
      </c>
      <c r="J72" s="13">
        <v>71</v>
      </c>
      <c r="K72">
        <v>45.517580000000002</v>
      </c>
      <c r="L72">
        <v>91.972179999999994</v>
      </c>
      <c r="M72" s="4">
        <v>5</v>
      </c>
      <c r="N72" s="4" t="s">
        <v>485</v>
      </c>
      <c r="O72" s="177" t="s">
        <v>487</v>
      </c>
      <c r="Q72" s="4">
        <v>1</v>
      </c>
      <c r="R72" s="8"/>
      <c r="S72" s="8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>
        <v>1</v>
      </c>
      <c r="AF72" s="14"/>
      <c r="AG72" s="14"/>
      <c r="AH72" s="14"/>
      <c r="EZ72" s="99"/>
      <c r="FA72" s="99"/>
      <c r="FB72" s="99">
        <v>1</v>
      </c>
      <c r="FC72" s="99"/>
      <c r="FD72" s="99"/>
    </row>
    <row r="73" spans="2:160" x14ac:dyDescent="0.35">
      <c r="B73" s="31">
        <f t="shared" si="6"/>
        <v>2</v>
      </c>
      <c r="C73" s="31">
        <f t="shared" si="7"/>
        <v>2</v>
      </c>
      <c r="D73" s="31">
        <f t="shared" si="8"/>
        <v>2</v>
      </c>
      <c r="E73" s="31">
        <f t="shared" si="9"/>
        <v>2</v>
      </c>
      <c r="F73" s="31">
        <f t="shared" si="10"/>
        <v>2</v>
      </c>
      <c r="G73" s="31">
        <f t="shared" si="11"/>
        <v>8</v>
      </c>
      <c r="H73" s="102">
        <f>IF(AND(M73&gt;0,M73&lt;=STATS!$C$22),1,"")</f>
        <v>1</v>
      </c>
      <c r="J73" s="13">
        <v>72</v>
      </c>
      <c r="K73">
        <v>45.517580000000002</v>
      </c>
      <c r="L73">
        <v>91.971959999999996</v>
      </c>
      <c r="M73" s="4">
        <v>8</v>
      </c>
      <c r="N73" s="4" t="s">
        <v>485</v>
      </c>
      <c r="O73" s="177" t="s">
        <v>487</v>
      </c>
      <c r="Q73" s="4">
        <v>2</v>
      </c>
      <c r="R73" s="8"/>
      <c r="S73" s="8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>
        <v>2</v>
      </c>
      <c r="AF73" s="14"/>
      <c r="AG73" s="14"/>
      <c r="AH73" s="14"/>
      <c r="DE73" s="4">
        <v>1</v>
      </c>
      <c r="EZ73" s="99"/>
      <c r="FA73" s="99"/>
      <c r="FB73" s="99"/>
      <c r="FC73" s="99"/>
      <c r="FD73" s="99"/>
    </row>
    <row r="74" spans="2:160" x14ac:dyDescent="0.35">
      <c r="B74" s="31">
        <f t="shared" si="6"/>
        <v>1</v>
      </c>
      <c r="C74" s="31">
        <f t="shared" si="7"/>
        <v>1</v>
      </c>
      <c r="D74" s="31">
        <f t="shared" si="8"/>
        <v>1</v>
      </c>
      <c r="E74" s="31">
        <f t="shared" si="9"/>
        <v>1</v>
      </c>
      <c r="F74" s="31">
        <f t="shared" si="10"/>
        <v>1</v>
      </c>
      <c r="G74" s="31">
        <f t="shared" si="11"/>
        <v>9.5</v>
      </c>
      <c r="H74" s="102">
        <f>IF(AND(M74&gt;0,M74&lt;=STATS!$C$22),1,"")</f>
        <v>1</v>
      </c>
      <c r="J74" s="13">
        <v>73</v>
      </c>
      <c r="K74">
        <v>45.517589999999998</v>
      </c>
      <c r="L74">
        <v>91.97175</v>
      </c>
      <c r="M74" s="4">
        <v>9.5</v>
      </c>
      <c r="N74" s="4" t="s">
        <v>485</v>
      </c>
      <c r="O74" s="177" t="s">
        <v>487</v>
      </c>
      <c r="Q74" s="4">
        <v>2</v>
      </c>
      <c r="R74" s="8"/>
      <c r="S74" s="8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>
        <v>2</v>
      </c>
      <c r="AF74" s="14"/>
      <c r="AG74" s="14"/>
      <c r="AH74" s="14"/>
      <c r="EZ74" s="99"/>
      <c r="FA74" s="99"/>
      <c r="FB74" s="99"/>
      <c r="FC74" s="99"/>
      <c r="FD74" s="99"/>
    </row>
    <row r="75" spans="2:160" x14ac:dyDescent="0.35">
      <c r="B75" s="31">
        <f t="shared" si="6"/>
        <v>1</v>
      </c>
      <c r="C75" s="31">
        <f t="shared" si="7"/>
        <v>1</v>
      </c>
      <c r="D75" s="31">
        <f t="shared" si="8"/>
        <v>1</v>
      </c>
      <c r="E75" s="31">
        <f t="shared" si="9"/>
        <v>1</v>
      </c>
      <c r="F75" s="31">
        <f t="shared" si="10"/>
        <v>1</v>
      </c>
      <c r="G75" s="31">
        <f t="shared" si="11"/>
        <v>8</v>
      </c>
      <c r="H75" s="102">
        <f>IF(AND(M75&gt;0,M75&lt;=STATS!$C$22),1,"")</f>
        <v>1</v>
      </c>
      <c r="J75" s="13">
        <v>74</v>
      </c>
      <c r="K75">
        <v>45.517589999999998</v>
      </c>
      <c r="L75">
        <v>91.971530000000001</v>
      </c>
      <c r="M75" s="4">
        <v>8</v>
      </c>
      <c r="N75" s="4" t="s">
        <v>485</v>
      </c>
      <c r="O75" s="177" t="s">
        <v>487</v>
      </c>
      <c r="Q75" s="4">
        <v>2</v>
      </c>
      <c r="R75" s="8" t="s">
        <v>514</v>
      </c>
      <c r="S75" s="8" t="s">
        <v>514</v>
      </c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>
        <v>2</v>
      </c>
      <c r="AF75" s="14"/>
      <c r="AG75" s="14"/>
      <c r="AH75" s="14"/>
      <c r="EZ75" s="99"/>
      <c r="FA75" s="99"/>
      <c r="FB75" s="99"/>
      <c r="FC75" s="99"/>
      <c r="FD75" s="99"/>
    </row>
    <row r="76" spans="2:160" x14ac:dyDescent="0.35">
      <c r="B76" s="31">
        <f t="shared" si="6"/>
        <v>3</v>
      </c>
      <c r="C76" s="31">
        <f t="shared" si="7"/>
        <v>3</v>
      </c>
      <c r="D76" s="31">
        <f t="shared" si="8"/>
        <v>2</v>
      </c>
      <c r="E76" s="31">
        <f t="shared" si="9"/>
        <v>3</v>
      </c>
      <c r="F76" s="31">
        <f t="shared" si="10"/>
        <v>2</v>
      </c>
      <c r="G76" s="31">
        <f t="shared" si="11"/>
        <v>7</v>
      </c>
      <c r="H76" s="102">
        <f>IF(AND(M76&gt;0,M76&lt;=STATS!$C$22),1,"")</f>
        <v>1</v>
      </c>
      <c r="J76" s="13">
        <v>75</v>
      </c>
      <c r="K76">
        <v>45.517589999999998</v>
      </c>
      <c r="L76">
        <v>91.971310000000003</v>
      </c>
      <c r="M76" s="4">
        <v>7</v>
      </c>
      <c r="N76" s="4" t="s">
        <v>485</v>
      </c>
      <c r="O76" s="177" t="s">
        <v>487</v>
      </c>
      <c r="Q76" s="4">
        <v>2</v>
      </c>
      <c r="R76" s="8" t="s">
        <v>514</v>
      </c>
      <c r="S76" s="8">
        <v>2</v>
      </c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>
        <v>1</v>
      </c>
      <c r="AF76" s="14"/>
      <c r="AG76" s="14"/>
      <c r="AH76" s="14"/>
      <c r="DE76" s="4">
        <v>1</v>
      </c>
      <c r="EZ76" s="99"/>
      <c r="FA76" s="99"/>
      <c r="FB76" s="99">
        <v>1</v>
      </c>
      <c r="FC76" s="99"/>
      <c r="FD76" s="99"/>
    </row>
    <row r="77" spans="2:160" x14ac:dyDescent="0.35">
      <c r="B77" s="31">
        <f t="shared" si="6"/>
        <v>3</v>
      </c>
      <c r="C77" s="31">
        <f t="shared" si="7"/>
        <v>3</v>
      </c>
      <c r="D77" s="31">
        <f t="shared" si="8"/>
        <v>3</v>
      </c>
      <c r="E77" s="31">
        <f t="shared" si="9"/>
        <v>3</v>
      </c>
      <c r="F77" s="31">
        <f t="shared" si="10"/>
        <v>3</v>
      </c>
      <c r="G77" s="31">
        <f t="shared" si="11"/>
        <v>3</v>
      </c>
      <c r="H77" s="102">
        <f>IF(AND(M77&gt;0,M77&lt;=STATS!$C$22),1,"")</f>
        <v>1</v>
      </c>
      <c r="J77" s="13">
        <v>76</v>
      </c>
      <c r="K77">
        <v>45.517600000000002</v>
      </c>
      <c r="L77">
        <v>91.971090000000004</v>
      </c>
      <c r="M77" s="4">
        <v>3</v>
      </c>
      <c r="N77" s="4" t="s">
        <v>484</v>
      </c>
      <c r="O77" s="177" t="s">
        <v>487</v>
      </c>
      <c r="Q77" s="4">
        <v>1</v>
      </c>
      <c r="R77" s="8"/>
      <c r="S77" s="8" t="s">
        <v>514</v>
      </c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>
        <v>1</v>
      </c>
      <c r="AF77" s="14"/>
      <c r="AG77" s="14"/>
      <c r="AH77" s="14"/>
      <c r="AW77" s="4">
        <v>1</v>
      </c>
      <c r="DE77" s="4">
        <v>1</v>
      </c>
      <c r="EZ77" s="99"/>
      <c r="FA77" s="99"/>
      <c r="FB77" s="99">
        <v>1</v>
      </c>
      <c r="FC77" s="99"/>
      <c r="FD77" s="99"/>
    </row>
    <row r="78" spans="2:160" x14ac:dyDescent="0.35">
      <c r="B78" s="31">
        <f t="shared" si="6"/>
        <v>3</v>
      </c>
      <c r="C78" s="31">
        <f t="shared" si="7"/>
        <v>3</v>
      </c>
      <c r="D78" s="31">
        <f t="shared" si="8"/>
        <v>2</v>
      </c>
      <c r="E78" s="31">
        <f t="shared" si="9"/>
        <v>3</v>
      </c>
      <c r="F78" s="31">
        <f t="shared" si="10"/>
        <v>2</v>
      </c>
      <c r="G78" s="31">
        <f t="shared" si="11"/>
        <v>3</v>
      </c>
      <c r="H78" s="102">
        <f>IF(AND(M78&gt;0,M78&lt;=STATS!$C$22),1,"")</f>
        <v>1</v>
      </c>
      <c r="J78" s="13">
        <v>77</v>
      </c>
      <c r="K78">
        <v>45.517690000000002</v>
      </c>
      <c r="L78">
        <v>91.971649999999997</v>
      </c>
      <c r="M78" s="4">
        <v>3</v>
      </c>
      <c r="N78" s="4" t="s">
        <v>484</v>
      </c>
      <c r="O78" s="177" t="s">
        <v>487</v>
      </c>
      <c r="Q78" s="4">
        <v>2</v>
      </c>
      <c r="R78" s="8" t="s">
        <v>514</v>
      </c>
      <c r="S78" s="8">
        <v>2</v>
      </c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>
        <v>1</v>
      </c>
      <c r="AF78" s="14"/>
      <c r="AG78" s="14"/>
      <c r="AH78" s="14"/>
      <c r="DE78" s="4">
        <v>1</v>
      </c>
      <c r="EZ78" s="99"/>
      <c r="FA78" s="99"/>
      <c r="FB78" s="99">
        <v>1</v>
      </c>
      <c r="FC78" s="99"/>
      <c r="FD78" s="99"/>
    </row>
    <row r="79" spans="2:160" x14ac:dyDescent="0.35">
      <c r="B79" s="31">
        <f t="shared" si="6"/>
        <v>2</v>
      </c>
      <c r="C79" s="31">
        <f t="shared" si="7"/>
        <v>2</v>
      </c>
      <c r="D79" s="31">
        <f t="shared" si="8"/>
        <v>1</v>
      </c>
      <c r="E79" s="31">
        <f t="shared" si="9"/>
        <v>2</v>
      </c>
      <c r="F79" s="31">
        <f t="shared" si="10"/>
        <v>1</v>
      </c>
      <c r="G79" s="31">
        <f t="shared" si="11"/>
        <v>4</v>
      </c>
      <c r="H79" s="102">
        <f>IF(AND(M79&gt;0,M79&lt;=STATS!$C$22),1,"")</f>
        <v>1</v>
      </c>
      <c r="J79" s="13">
        <v>78</v>
      </c>
      <c r="K79">
        <v>45.517690000000002</v>
      </c>
      <c r="L79">
        <v>91.972300000000004</v>
      </c>
      <c r="M79" s="4">
        <v>4</v>
      </c>
      <c r="N79" s="4" t="s">
        <v>485</v>
      </c>
      <c r="O79" s="177" t="s">
        <v>487</v>
      </c>
      <c r="Q79" s="4">
        <v>2</v>
      </c>
      <c r="R79" s="8"/>
      <c r="S79" s="8">
        <v>2</v>
      </c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>
        <v>2</v>
      </c>
      <c r="AF79" s="14"/>
      <c r="AG79" s="14"/>
      <c r="AH79" s="14"/>
      <c r="EZ79" s="99"/>
      <c r="FA79" s="99"/>
      <c r="FB79" s="99">
        <v>1</v>
      </c>
      <c r="FC79" s="99"/>
      <c r="FD79" s="99"/>
    </row>
    <row r="80" spans="2:160" x14ac:dyDescent="0.35">
      <c r="B80" s="31">
        <f t="shared" si="6"/>
        <v>1</v>
      </c>
      <c r="C80" s="31">
        <f t="shared" si="7"/>
        <v>1</v>
      </c>
      <c r="D80" s="31">
        <f t="shared" si="8"/>
        <v>1</v>
      </c>
      <c r="E80" s="31">
        <f t="shared" si="9"/>
        <v>1</v>
      </c>
      <c r="F80" s="31">
        <f t="shared" si="10"/>
        <v>1</v>
      </c>
      <c r="G80" s="31">
        <f t="shared" si="11"/>
        <v>2</v>
      </c>
      <c r="H80" s="102">
        <f>IF(AND(M80&gt;0,M80&lt;=STATS!$C$22),1,"")</f>
        <v>1</v>
      </c>
      <c r="J80" s="13">
        <v>79</v>
      </c>
      <c r="K80">
        <v>45.517710000000001</v>
      </c>
      <c r="L80">
        <v>91.971869999999996</v>
      </c>
      <c r="M80" s="4">
        <v>2</v>
      </c>
      <c r="N80" s="4" t="s">
        <v>486</v>
      </c>
      <c r="O80" s="177" t="s">
        <v>487</v>
      </c>
      <c r="Q80" s="4">
        <v>1</v>
      </c>
      <c r="R80" s="8"/>
      <c r="S80" s="8" t="s">
        <v>514</v>
      </c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CP80" s="4">
        <v>1</v>
      </c>
      <c r="EZ80" s="99"/>
      <c r="FA80" s="99"/>
      <c r="FB80" s="99">
        <v>1</v>
      </c>
      <c r="FC80" s="99"/>
      <c r="FD80" s="99"/>
    </row>
    <row r="81" spans="2:160" x14ac:dyDescent="0.35">
      <c r="B81" s="31">
        <f t="shared" si="6"/>
        <v>2</v>
      </c>
      <c r="C81" s="31">
        <f t="shared" si="7"/>
        <v>2</v>
      </c>
      <c r="D81" s="31">
        <f t="shared" si="8"/>
        <v>2</v>
      </c>
      <c r="E81" s="31">
        <f t="shared" si="9"/>
        <v>2</v>
      </c>
      <c r="F81" s="31">
        <f t="shared" si="10"/>
        <v>2</v>
      </c>
      <c r="G81" s="31">
        <f t="shared" si="11"/>
        <v>1.5</v>
      </c>
      <c r="H81" s="102">
        <f>IF(AND(M81&gt;0,M81&lt;=STATS!$C$22),1,"")</f>
        <v>1</v>
      </c>
      <c r="J81" s="13">
        <v>80</v>
      </c>
      <c r="K81">
        <v>45.517719999999997</v>
      </c>
      <c r="L81">
        <v>91.97251</v>
      </c>
      <c r="M81" s="4">
        <v>1.5</v>
      </c>
      <c r="N81" s="4" t="s">
        <v>485</v>
      </c>
      <c r="O81" s="177" t="s">
        <v>487</v>
      </c>
      <c r="Q81" s="4">
        <v>1</v>
      </c>
      <c r="R81" s="8"/>
      <c r="S81" s="8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>
        <v>1</v>
      </c>
      <c r="AF81" s="14"/>
      <c r="AG81" s="14"/>
      <c r="AH81" s="14"/>
      <c r="DE81" s="4">
        <v>1</v>
      </c>
      <c r="EZ81" s="99"/>
      <c r="FA81" s="99"/>
      <c r="FB81" s="99">
        <v>2</v>
      </c>
      <c r="FC81" s="99"/>
      <c r="FD81" s="99"/>
    </row>
  </sheetData>
  <sheetProtection formatCells="0" sort="0"/>
  <protectedRanges>
    <protectedRange sqref="P2:Q8 N2:O81" name="Range1_3"/>
    <protectedRange sqref="K2:L8" name="Range1_1_1"/>
  </protectedRanges>
  <sortState ref="A2:FM287">
    <sortCondition ref="J2:J287"/>
  </sortState>
  <phoneticPr fontId="11" type="noConversion"/>
  <dataValidations count="9">
    <dataValidation type="list" allowBlank="1" showInputMessage="1" showErrorMessage="1" sqref="Q82:AF64409 EZ82:EZ64409 X1 AC1 AE1:AF1 Q1" xr:uid="{00000000-0002-0000-0100-000000000000}">
      <formula1>"V,v,1,2,3"</formula1>
    </dataValidation>
    <dataValidation type="whole" allowBlank="1" showInputMessage="1" showErrorMessage="1" errorTitle="Presence/Absence Data" error="Enter 1 if present" sqref="FA82:FM64409 AG82:EY64409" xr:uid="{00000000-0002-0000-0100-000001000000}">
      <formula1>1</formula1>
      <formula2>1</formula2>
    </dataValidation>
    <dataValidation type="list" allowBlank="1" showInputMessage="1" showErrorMessage="1" sqref="O82:O64409" xr:uid="{00000000-0002-0000-0100-000002000000}">
      <formula1>"R,P"</formula1>
    </dataValidation>
    <dataValidation type="list" allowBlank="1" showInputMessage="1" showErrorMessage="1" sqref="O2:O81" xr:uid="{00000000-0002-0000-0100-000003000000}">
      <formula1>"R,r,P,p"</formula1>
    </dataValidation>
    <dataValidation allowBlank="1" showInputMessage="1" showErrorMessage="1" promptTitle="Comments section" prompt="Enter comments for non-sampled depths as:_x000a__x000a_NONNAVIGABLE (PLANTS)_x000a_TERRESTRIAL_x000a_DEEP_x000a_SHALLOW_x000a_ROCKS_x000a_DOCK_x000a_SWIM AREA_x000a_TEMPORARY OBSTACLE_x000a_NO INFORMATION_x000a_OTHER" sqref="P1:P64409" xr:uid="{00000000-0002-0000-0100-000004000000}"/>
    <dataValidation type="list" allowBlank="1" showInputMessage="1" showErrorMessage="1" error="Please enter an overall rake fullness of 1, 2, 3 or leave cell blank if no plants found" sqref="Q2:Q81" xr:uid="{00000000-0002-0000-0100-000005000000}">
      <formula1>"1,2,3"</formula1>
    </dataValidation>
    <dataValidation type="list" allowBlank="1" showInputMessage="1" showErrorMessage="1" error="Please enter a rake fullness rating of 1, 2, 3 or V (visual).  If species not found, leave cell blank." sqref="R2:FM81" xr:uid="{00000000-0002-0000-0100-000006000000}">
      <formula1>"V,v,1,2,3"</formula1>
    </dataValidation>
    <dataValidation type="list" allowBlank="1" showInputMessage="1" showErrorMessage="1" error="Please enter M (muck), S (sand), or R (rock).  If sediment type unknown, leave cell blank." sqref="N2:N81" xr:uid="{00000000-0002-0000-0100-000007000000}">
      <formula1>"M,m,s,S,R,r"</formula1>
    </dataValidation>
    <dataValidation type="decimal" allowBlank="1" showInputMessage="1" showErrorMessage="1" error="Is your depth really more than 99 feet?" sqref="M2:M64409" xr:uid="{00000000-0002-0000-0100-000008000000}">
      <formula1>0.1</formula1>
      <formula2>99</formula2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6"/>
  <sheetViews>
    <sheetView workbookViewId="0">
      <selection activeCell="B13" sqref="B13"/>
    </sheetView>
  </sheetViews>
  <sheetFormatPr defaultColWidth="4.6640625" defaultRowHeight="12.75" x14ac:dyDescent="0.35"/>
  <cols>
    <col min="1" max="1" width="32.86328125" customWidth="1"/>
    <col min="2" max="2" width="74.33203125" customWidth="1"/>
    <col min="3" max="3" width="62.1328125" customWidth="1"/>
    <col min="6" max="8" width="5.6640625" customWidth="1"/>
    <col min="9" max="9" width="8" customWidth="1"/>
    <col min="10" max="12" width="5.6640625" customWidth="1"/>
  </cols>
  <sheetData>
    <row r="1" spans="1:2" ht="25.15" x14ac:dyDescent="0.7">
      <c r="A1" s="2" t="s">
        <v>16</v>
      </c>
    </row>
    <row r="2" spans="1:2" ht="13.15" x14ac:dyDescent="0.4">
      <c r="A2" s="18" t="s">
        <v>48</v>
      </c>
      <c r="B2" t="str">
        <f>IF('ENTRY '!I2="","",'ENTRY '!I2)</f>
        <v>Lower Vermillion</v>
      </c>
    </row>
    <row r="3" spans="1:2" ht="13.15" x14ac:dyDescent="0.4">
      <c r="A3" s="18" t="s">
        <v>25</v>
      </c>
      <c r="B3" t="str">
        <f>IF('ENTRY '!I3="","",'ENTRY '!I3)</f>
        <v>Barron</v>
      </c>
    </row>
    <row r="4" spans="1:2" ht="13.15" x14ac:dyDescent="0.4">
      <c r="A4" s="18" t="s">
        <v>49</v>
      </c>
      <c r="B4" s="21">
        <f>IF('ENTRY '!I4="","",'ENTRY '!I4)</f>
        <v>2098200</v>
      </c>
    </row>
    <row r="5" spans="1:2" ht="13.15" x14ac:dyDescent="0.4">
      <c r="A5" s="19" t="s">
        <v>38</v>
      </c>
      <c r="B5" s="25">
        <f>IF('ENTRY '!I5="","",'ENTRY '!I5)</f>
        <v>43255</v>
      </c>
    </row>
    <row r="6" spans="1:2" ht="13.15" x14ac:dyDescent="0.4">
      <c r="A6" s="19" t="s">
        <v>47</v>
      </c>
      <c r="B6" s="21" t="str">
        <f>IF('ENTRY '!I6="","",'ENTRY '!I6)</f>
        <v>Matthew S. Berg</v>
      </c>
    </row>
    <row r="7" spans="1:2" ht="13.15" x14ac:dyDescent="0.4">
      <c r="A7" s="19"/>
    </row>
    <row r="8" spans="1:2" ht="13.15" x14ac:dyDescent="0.4">
      <c r="A8" s="19"/>
      <c r="B8" s="21"/>
    </row>
    <row r="9" spans="1:2" ht="13.15" x14ac:dyDescent="0.4">
      <c r="A9" s="19"/>
      <c r="B9" s="21"/>
    </row>
    <row r="10" spans="1:2" ht="13.15" x14ac:dyDescent="0.4">
      <c r="A10" s="26" t="s">
        <v>41</v>
      </c>
      <c r="B10" s="26" t="s">
        <v>44</v>
      </c>
    </row>
    <row r="11" spans="1:2" x14ac:dyDescent="0.35">
      <c r="A11" s="20"/>
      <c r="B11" s="27"/>
    </row>
    <row r="12" spans="1:2" x14ac:dyDescent="0.35">
      <c r="A12" s="20"/>
      <c r="B12" s="27"/>
    </row>
    <row r="26" spans="2:2" ht="13.15" x14ac:dyDescent="0.4">
      <c r="B26" s="26" t="s">
        <v>50</v>
      </c>
    </row>
  </sheetData>
  <phoneticPr fontId="11" type="noConversion"/>
  <printOptions headings="1"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Z35"/>
  <sheetViews>
    <sheetView zoomScale="8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G19" sqref="G19"/>
    </sheetView>
  </sheetViews>
  <sheetFormatPr defaultColWidth="5.6640625" defaultRowHeight="13.15" x14ac:dyDescent="0.4"/>
  <cols>
    <col min="1" max="1" width="13.1328125" style="140" customWidth="1"/>
    <col min="2" max="2" width="77.1328125" style="140" bestFit="1" customWidth="1"/>
    <col min="3" max="3" width="10.33203125" style="163" bestFit="1" customWidth="1"/>
    <col min="4" max="5" width="6.6640625" style="159" customWidth="1"/>
    <col min="6" max="153" width="6.6640625" style="140" customWidth="1"/>
    <col min="154" max="154" width="5.6640625" style="140" customWidth="1"/>
    <col min="155" max="16384" width="5.6640625" style="143"/>
  </cols>
  <sheetData>
    <row r="1" spans="1:156" s="115" customFormat="1" ht="138.6" customHeight="1" x14ac:dyDescent="0.65">
      <c r="A1" s="109"/>
      <c r="B1" s="110" t="s">
        <v>14</v>
      </c>
      <c r="C1" s="111" t="s">
        <v>12</v>
      </c>
      <c r="D1" s="112" t="s">
        <v>480</v>
      </c>
      <c r="E1" s="113" t="s">
        <v>481</v>
      </c>
      <c r="F1" s="114" t="str">
        <f>'ENTRY '!T1</f>
        <v>Acorus americanus,Sweet-flag</v>
      </c>
      <c r="G1" s="114" t="str">
        <f>'ENTRY '!U1</f>
        <v>Alisma triviale,Northern water-plantain</v>
      </c>
      <c r="H1" s="114" t="str">
        <f>'ENTRY '!V1</f>
        <v>Bidens beckii,Water marigold</v>
      </c>
      <c r="I1" s="114" t="str">
        <f>'ENTRY '!W1</f>
        <v>Bolboschoenus fluviatilis,River bulrush</v>
      </c>
      <c r="J1" s="114" t="str">
        <f>'ENTRY '!X1</f>
        <v>Brasenia schreberi,Watershield</v>
      </c>
      <c r="K1" s="114" t="str">
        <f>'ENTRY '!Y1</f>
        <v>Calla palustris,Wild calla</v>
      </c>
      <c r="L1" s="114" t="str">
        <f>'ENTRY '!Z1</f>
        <v>Callitriche hermaphroditica,Autumnal water-starwort</v>
      </c>
      <c r="M1" s="114" t="str">
        <f>'ENTRY '!AA1</f>
        <v>Callitriche heterophylla,Large water-starwort</v>
      </c>
      <c r="N1" s="114" t="str">
        <f>'ENTRY '!AB1</f>
        <v>Callitriche palustris,Common water-starwort</v>
      </c>
      <c r="O1" s="114" t="str">
        <f>'ENTRY '!AC1</f>
        <v>Carex comosa,Bottle brush sedge</v>
      </c>
      <c r="P1" s="114" t="str">
        <f>'ENTRY '!AD1</f>
        <v>Catabrosa aquatica,Brook grass</v>
      </c>
      <c r="Q1" s="114" t="str">
        <f>'ENTRY '!AE1</f>
        <v>Ceratophyllum demersum,Coontail</v>
      </c>
      <c r="R1" s="114" t="str">
        <f>'ENTRY '!AF1</f>
        <v>Ceratophyllum echinatum,Spiny hornwort</v>
      </c>
      <c r="S1" s="114" t="str">
        <f>'ENTRY '!AG1</f>
        <v>Chara sp.,Muskgrass</v>
      </c>
      <c r="T1" s="114" t="str">
        <f>'ENTRY '!AH1</f>
        <v>Comarum palustre,Marsh cinquefoil</v>
      </c>
      <c r="U1" s="114" t="str">
        <f>'ENTRY '!AI1</f>
        <v>Decodon verticillatus,Swamp loosestrife</v>
      </c>
      <c r="V1" s="114" t="str">
        <f>'ENTRY '!AJ1</f>
        <v>Dulichium arundinaceum,Three-way sedge</v>
      </c>
      <c r="W1" s="114" t="str">
        <f>'ENTRY '!AK1</f>
        <v>Elatine minima,Waterwort</v>
      </c>
      <c r="X1" s="114" t="str">
        <f>'ENTRY '!AL1</f>
        <v>Elatine triandra,Greater waterwort</v>
      </c>
      <c r="Y1" s="114" t="str">
        <f>'ENTRY '!AM1</f>
        <v>Eleocharis acicularis,Needle spikerush</v>
      </c>
      <c r="Z1" s="114" t="str">
        <f>'ENTRY '!AN1</f>
        <v>Eleocharis erythropoda,Bald spikerush</v>
      </c>
      <c r="AA1" s="114" t="str">
        <f>'ENTRY '!AO1</f>
        <v>Eleocharis palustris,Creeping spikerush</v>
      </c>
      <c r="AB1" s="114" t="str">
        <f>'ENTRY '!AP1</f>
        <v>Eleocharis robbinsii,Robbins' spikerush</v>
      </c>
      <c r="AC1" s="114" t="str">
        <f>'ENTRY '!AQ1</f>
        <v>Elodea canadensis,Common waterweed</v>
      </c>
      <c r="AD1" s="114" t="str">
        <f>'ENTRY '!AR1</f>
        <v>Elodea nuttallii,Slender waterweed</v>
      </c>
      <c r="AE1" s="114" t="str">
        <f>'ENTRY '!AS1</f>
        <v>Equisetum fluviatile,Water horsetail</v>
      </c>
      <c r="AF1" s="114" t="str">
        <f>'ENTRY '!AT1</f>
        <v>Eriocaulon aquaticum,Pipewort</v>
      </c>
      <c r="AG1" s="114" t="str">
        <f>'ENTRY '!AU1</f>
        <v>Glyceria borealis,Northern manna grass</v>
      </c>
      <c r="AH1" s="114" t="str">
        <f>'ENTRY '!AV1</f>
        <v>Gratiola aurea,Golden hedge-hyssop</v>
      </c>
      <c r="AI1" s="114" t="str">
        <f>'ENTRY '!AW1</f>
        <v>Heteranthera dubia,Water star-grass</v>
      </c>
      <c r="AJ1" s="114" t="str">
        <f>'ENTRY '!AX1</f>
        <v>Iris versicolor,Northern blue flag</v>
      </c>
      <c r="AK1" s="114" t="str">
        <f>'ENTRY '!AY1</f>
        <v>Iris virginica,Southern blue flag</v>
      </c>
      <c r="AL1" s="114" t="str">
        <f>'ENTRY '!AZ1</f>
        <v>Isoetes echinospora,Spiny spored-quillwort</v>
      </c>
      <c r="AM1" s="114" t="str">
        <f>'ENTRY '!BA1</f>
        <v>Isoetes lacustris,Lake quillwort</v>
      </c>
      <c r="AN1" s="114" t="str">
        <f>'ENTRY '!BB1</f>
        <v>Isoetes sp.,Quillwort</v>
      </c>
      <c r="AO1" s="114" t="str">
        <f>'ENTRY '!BC1</f>
        <v>Juncus pelocarpus f. submersus,Brown-fruited rush</v>
      </c>
      <c r="AP1" s="114" t="str">
        <f>'ENTRY '!BD1</f>
        <v>Juncus torreyi,Torrey's rush</v>
      </c>
      <c r="AQ1" s="114" t="str">
        <f>'ENTRY '!BE1</f>
        <v>Lemna minor,Small duckweed</v>
      </c>
      <c r="AR1" s="114" t="str">
        <f>'ENTRY '!BF1</f>
        <v>Lemna perpusilla,Least duckweed</v>
      </c>
      <c r="AS1" s="114" t="str">
        <f>'ENTRY '!BG1</f>
        <v>Lemna trisulca,Forked duckweed</v>
      </c>
      <c r="AT1" s="114" t="str">
        <f>'ENTRY '!BH1</f>
        <v>Littorella uniflora,Littorella</v>
      </c>
      <c r="AU1" s="114" t="str">
        <f>'ENTRY '!BI1</f>
        <v>Lobelia dortmanna,Water lobelia</v>
      </c>
      <c r="AV1" s="114" t="str">
        <f>'ENTRY '!BJ1</f>
        <v>Ludwigia palustris,Marsh purslane</v>
      </c>
      <c r="AW1" s="114" t="str">
        <f>'ENTRY '!BK1</f>
        <v>Lythrum salicaria,Purple loosestrife</v>
      </c>
      <c r="AX1" s="114" t="str">
        <f>'ENTRY '!BL1</f>
        <v>Myriophyllum alterniflorum,Alternate-flowered water-milfoil</v>
      </c>
      <c r="AY1" s="114" t="str">
        <f>'ENTRY '!BM1</f>
        <v>Myriophyllum farwellii,Farwell's water-milfoil</v>
      </c>
      <c r="AZ1" s="114" t="str">
        <f>'ENTRY '!BN1</f>
        <v>Myriophyllum heterophyllum,Various-leaved water-milfoil</v>
      </c>
      <c r="BA1" s="114" t="str">
        <f>'ENTRY '!BO1</f>
        <v>Myriophyllum sibiricum,Northern water-milfoil</v>
      </c>
      <c r="BB1" s="114" t="str">
        <f>'ENTRY '!BP1</f>
        <v>Myriophyllum tenellum,Dwarf water-milfoil</v>
      </c>
      <c r="BC1" s="114" t="str">
        <f>'ENTRY '!BQ1</f>
        <v>Myriophyllum verticillatum,Whorled water-milfoil</v>
      </c>
      <c r="BD1" s="114" t="str">
        <f>'ENTRY '!BR1</f>
        <v>Najas flexilis,Slender naiad</v>
      </c>
      <c r="BE1" s="114" t="str">
        <f>'ENTRY '!BS1</f>
        <v>Najas gracillima,Northern naiad</v>
      </c>
      <c r="BF1" s="114" t="str">
        <f>'ENTRY '!BT1</f>
        <v>Najas guadalupensis,Southern naiad</v>
      </c>
      <c r="BG1" s="114" t="str">
        <f>'ENTRY '!BU1</f>
        <v>Najas marina,Spiny naiad</v>
      </c>
      <c r="BH1" s="114" t="str">
        <f>'ENTRY '!BV1</f>
        <v>Nelumbo lutea,American lotus</v>
      </c>
      <c r="BI1" s="114" t="str">
        <f>'ENTRY '!BW1</f>
        <v>Nitella sp.,Nitella</v>
      </c>
      <c r="BJ1" s="114" t="str">
        <f>'ENTRY '!BX1</f>
        <v>Nuphar advena,Yellow pond lily</v>
      </c>
      <c r="BK1" s="114" t="str">
        <f>'ENTRY '!BY1</f>
        <v>Nuphar microphylla,Small pond lily</v>
      </c>
      <c r="BL1" s="114" t="str">
        <f>'ENTRY '!BZ1</f>
        <v>Nuphar X rubrodisca,Intermediate pond lily</v>
      </c>
      <c r="BM1" s="114" t="str">
        <f>'ENTRY '!CA1</f>
        <v>Nuphar variegata,Spatterdock</v>
      </c>
      <c r="BN1" s="114" t="str">
        <f>'ENTRY '!CB1</f>
        <v>Nymphaea odorata,White water lily</v>
      </c>
      <c r="BO1" s="114" t="str">
        <f>'ENTRY '!CC1</f>
        <v>Phalaris arundinacea,Reed canary grass</v>
      </c>
      <c r="BP1" s="114" t="str">
        <f>'ENTRY '!CD1</f>
        <v>Phragmites australis,Common reed</v>
      </c>
      <c r="BQ1" s="114" t="str">
        <f>'ENTRY '!CE1</f>
        <v>Polygonum amphibium,Water smartweed</v>
      </c>
      <c r="BR1" s="114" t="str">
        <f>'ENTRY '!CF1</f>
        <v>Polygonum punctatum,Dotted smartweed</v>
      </c>
      <c r="BS1" s="114" t="str">
        <f>'ENTRY '!CG1</f>
        <v>Pontederia cordata,Pickerelweed</v>
      </c>
      <c r="BT1" s="114" t="str">
        <f>'ENTRY '!CH1</f>
        <v>Potamogeton alpinus,Alpine pondweed</v>
      </c>
      <c r="BU1" s="114" t="str">
        <f>'ENTRY '!CI1</f>
        <v>Potamogeton amplifolius,Large-leaf pondweed</v>
      </c>
      <c r="BV1" s="114" t="str">
        <f>'ENTRY '!CJ1</f>
        <v>Potamogeton bicupulatus,Snail-seed pondweed</v>
      </c>
      <c r="BW1" s="114" t="str">
        <f>'ENTRY '!CK1</f>
        <v>Potamogeton confervoides,Algal-leaved pondweed</v>
      </c>
      <c r="BX1" s="114" t="str">
        <f>'ENTRY '!CL1</f>
        <v>Potamogeton diversifolius,Water-thread pondweed</v>
      </c>
      <c r="BY1" s="114" t="str">
        <f>'ENTRY '!CM1</f>
        <v>Potamogeton epihydrus,Ribbon-leaf pondweed</v>
      </c>
      <c r="BZ1" s="114" t="str">
        <f>'ENTRY '!CN1</f>
        <v>Potamogeton foliosus,Leafy pondweed</v>
      </c>
      <c r="CA1" s="114" t="str">
        <f>'ENTRY '!CO1</f>
        <v>Potamogeton friesii,Fries' pondweed</v>
      </c>
      <c r="CB1" s="114" t="str">
        <f>'ENTRY '!CP1</f>
        <v>Potamogeton gramineus,Variable pondweed</v>
      </c>
      <c r="CC1" s="114" t="str">
        <f>'ENTRY '!CQ1</f>
        <v>Potamogeton hillii,Hill's pondweed</v>
      </c>
      <c r="CD1" s="114" t="str">
        <f>'ENTRY '!CR1</f>
        <v>Potamogeton illinoensis,Illinois pondweed</v>
      </c>
      <c r="CE1" s="114" t="str">
        <f>'ENTRY '!CS1</f>
        <v>Potamogeton natans,Floating-leaf pondweed</v>
      </c>
      <c r="CF1" s="114" t="str">
        <f>'ENTRY '!CT1</f>
        <v>Potamogeton nodosus,Long-leaf pondweed</v>
      </c>
      <c r="CG1" s="114" t="str">
        <f>'ENTRY '!CU1</f>
        <v>Potamogeton oakesianus,Oakes' pondweed</v>
      </c>
      <c r="CH1" s="114" t="str">
        <f>'ENTRY '!CV1</f>
        <v>Potamogeton obtusifolius,Blunt-leaf pondweed</v>
      </c>
      <c r="CI1" s="114" t="str">
        <f>'ENTRY '!CW1</f>
        <v>Potamogeton praelongus,White-stem pondweed</v>
      </c>
      <c r="CJ1" s="114" t="str">
        <f>'ENTRY '!CX1</f>
        <v>Potamogeton pulcher,Spotted pondweed</v>
      </c>
      <c r="CK1" s="114" t="str">
        <f>'ENTRY '!CY1</f>
        <v>Potamogeton pusillus,Small pondweed</v>
      </c>
      <c r="CL1" s="114" t="str">
        <f>'ENTRY '!CZ1</f>
        <v>Potamogeton richardsonii,Clasping-leaf pondweed</v>
      </c>
      <c r="CM1" s="114" t="str">
        <f>'ENTRY '!DA1</f>
        <v>Potamogeton robbinsii,Fern pondweed</v>
      </c>
      <c r="CN1" s="114" t="str">
        <f>'ENTRY '!DB1</f>
        <v>Potamogeton spirillus,Spiral-fruited pondweed</v>
      </c>
      <c r="CO1" s="114" t="str">
        <f>'ENTRY '!DC1</f>
        <v>Potamogeton strictifolius,Stiff pondweed</v>
      </c>
      <c r="CP1" s="114" t="str">
        <f>'ENTRY '!DD1</f>
        <v>Potamogeton vaseyi,Vasey's pondweed</v>
      </c>
      <c r="CQ1" s="114" t="str">
        <f>'ENTRY '!DE1</f>
        <v>Potamogeton zosteriformis,Flat-stem pondweed</v>
      </c>
      <c r="CR1" s="114" t="str">
        <f>'ENTRY '!DF1</f>
        <v>Ranunculus aquatilis,White water crowfoot</v>
      </c>
      <c r="CS1" s="114" t="str">
        <f>'ENTRY '!DG1</f>
        <v>Ranunculus flabellaris,Yellow water crowfoot</v>
      </c>
      <c r="CT1" s="114" t="str">
        <f>'ENTRY '!DH1</f>
        <v>Ranunculus flammula,Creeping spearwort</v>
      </c>
      <c r="CU1" s="114" t="str">
        <f>'ENTRY '!DI1</f>
        <v>Ruppia cirrhosa,Ditch grass</v>
      </c>
      <c r="CV1" s="114" t="str">
        <f>'ENTRY '!DJ1</f>
        <v>Sagittaria brevirostra,Midwestern arrowhead</v>
      </c>
      <c r="CW1" s="114" t="str">
        <f>'ENTRY '!DK1</f>
        <v>Sagittaria cristata,Crested arrowhead</v>
      </c>
      <c r="CX1" s="114" t="str">
        <f>'ENTRY '!DL1</f>
        <v>Sagittaria cuneata,Arum-leaved arrowhead</v>
      </c>
      <c r="CY1" s="114" t="str">
        <f>'ENTRY '!DM1</f>
        <v>Sagittaria graminea,Grass-leaved arrowhead</v>
      </c>
      <c r="CZ1" s="114" t="str">
        <f>'ENTRY '!DN1</f>
        <v>Sagittaria latifolia,Common arrowhead</v>
      </c>
      <c r="DA1" s="114" t="str">
        <f>'ENTRY '!DO1</f>
        <v>Sagittaria rigida,Sessile-fruited arrowhead</v>
      </c>
      <c r="DB1" s="114" t="str">
        <f>'ENTRY '!DP1</f>
        <v>Sagittaria sp.,Arrowhead</v>
      </c>
      <c r="DC1" s="114" t="str">
        <f>'ENTRY '!DQ1</f>
        <v>Schoenoplectus acutus,Hardstem bulrush</v>
      </c>
      <c r="DD1" s="114" t="str">
        <f>'ENTRY '!DR1</f>
        <v>Schoenoplectus heterochaetus,Slender bulrush</v>
      </c>
      <c r="DE1" s="114" t="str">
        <f>'ENTRY '!DS1</f>
        <v>Schoenoplectus pungens,Three-square bulrush</v>
      </c>
      <c r="DF1" s="114" t="str">
        <f>'ENTRY '!DT1</f>
        <v>Schoenoplectus subterminalis,Water bulrush</v>
      </c>
      <c r="DG1" s="114" t="str">
        <f>'ENTRY '!DU1</f>
        <v>Schoenoplectus tabernaemontani,Softstem bulrush</v>
      </c>
      <c r="DH1" s="114" t="str">
        <f>'ENTRY '!DV1</f>
        <v>Sparganium americanum,American bur-reed</v>
      </c>
      <c r="DI1" s="114" t="str">
        <f>'ENTRY '!DW1</f>
        <v>Sparganium androcladum,Branched bur-reed</v>
      </c>
      <c r="DJ1" s="114" t="str">
        <f>'ENTRY '!DX1</f>
        <v>Sparganium angustifolium,Narrow-leaved bur-reed</v>
      </c>
      <c r="DK1" s="114" t="str">
        <f>'ENTRY '!DY1</f>
        <v>Sparganium emersum,Short-stemmed bur-reed</v>
      </c>
      <c r="DL1" s="114" t="str">
        <f>'ENTRY '!DZ1</f>
        <v>Sparganium eurycarpum,Common bur-reed</v>
      </c>
      <c r="DM1" s="114" t="str">
        <f>'ENTRY '!EA1</f>
        <v>Sparganium fluctuans,Floating-leaf bur-reed</v>
      </c>
      <c r="DN1" s="114" t="str">
        <f>'ENTRY '!EB1</f>
        <v>Sparganium natans,Small bur-reed</v>
      </c>
      <c r="DO1" s="114" t="str">
        <f>'ENTRY '!EC1</f>
        <v>Sparganium sp.,Bur-reed</v>
      </c>
      <c r="DP1" s="114" t="str">
        <f>'ENTRY '!ED1</f>
        <v>Spirodela polyrhiza,Large duckweed</v>
      </c>
      <c r="DQ1" s="114" t="str">
        <f>'ENTRY '!EE1</f>
        <v>Stuckenia filiformis,Fine-leaved pondweed</v>
      </c>
      <c r="DR1" s="114" t="str">
        <f>'ENTRY '!EF1</f>
        <v>Stuckenia pectinata,Sago pondweed</v>
      </c>
      <c r="DS1" s="114" t="str">
        <f>'ENTRY '!EG1</f>
        <v>Stuckenia vaginata,Sheathed pondweed</v>
      </c>
      <c r="DT1" s="114" t="str">
        <f>'ENTRY '!EH1</f>
        <v>Typha angustifolia,Narrow-leaved cattail</v>
      </c>
      <c r="DU1" s="114" t="str">
        <f>'ENTRY '!EI1</f>
        <v>Typha latifolia,Broad-leaved cattail</v>
      </c>
      <c r="DV1" s="114" t="str">
        <f>'ENTRY '!EJ1</f>
        <v>Typha sp.,Cattail</v>
      </c>
      <c r="DW1" s="114" t="str">
        <f>'ENTRY '!EK1</f>
        <v>Utricularia cornuta,Horned pondweed</v>
      </c>
      <c r="DX1" s="114" t="str">
        <f>'ENTRY '!EL1</f>
        <v>Utricularia geminiscapa,Twin-stemmed bladderwort</v>
      </c>
      <c r="DY1" s="114" t="str">
        <f>'ENTRY '!EM1</f>
        <v>Utricularia gibba,Creeping bladderwort</v>
      </c>
      <c r="DZ1" s="114" t="str">
        <f>'ENTRY '!EN1</f>
        <v>Utricularia intermedia,Flat-leaf bladderwort</v>
      </c>
      <c r="EA1" s="114" t="str">
        <f>'ENTRY '!EO1</f>
        <v>Utricularia minor,Small bladderwort</v>
      </c>
      <c r="EB1" s="114" t="str">
        <f>'ENTRY '!EP1</f>
        <v>Utricularia purpurea,Large purple bladderwort</v>
      </c>
      <c r="EC1" s="114" t="str">
        <f>'ENTRY '!EQ1</f>
        <v>Utricularia resupinata,Small purple bladderwort</v>
      </c>
      <c r="ED1" s="114" t="str">
        <f>'ENTRY '!ER1</f>
        <v>Utricularia vulgaris,Common bladderwort</v>
      </c>
      <c r="EE1" s="114" t="str">
        <f>'ENTRY '!ES1</f>
        <v>Vallisneria americana,Wild celery</v>
      </c>
      <c r="EF1" s="114" t="str">
        <f>'ENTRY '!ET1</f>
        <v>Wolffia borealis,Northern watermeal</v>
      </c>
      <c r="EG1" s="114" t="str">
        <f>'ENTRY '!EU1</f>
        <v>Wolffia columbiana,Common watermeal</v>
      </c>
      <c r="EH1" s="114" t="str">
        <f>'ENTRY '!EV1</f>
        <v>Zannichellia palustris,Horned pondweed</v>
      </c>
      <c r="EI1" s="114" t="str">
        <f>'ENTRY '!EW1</f>
        <v>Zizania aquatica,Southern wild rice</v>
      </c>
      <c r="EJ1" s="114" t="str">
        <f>'ENTRY '!EX1</f>
        <v>Zizania palustris,Northern wild rice</v>
      </c>
      <c r="EK1" s="114" t="str">
        <f>'ENTRY '!EY1</f>
        <v>Zizania sp.,Wild rice</v>
      </c>
      <c r="EL1" s="114" t="str">
        <f>'ENTRY '!EZ1</f>
        <v>,Aquatic moss</v>
      </c>
      <c r="EM1" s="114" t="str">
        <f>'ENTRY '!FA1</f>
        <v>,Freshwater sponge</v>
      </c>
      <c r="EN1" s="114" t="str">
        <f>'ENTRY '!FB1</f>
        <v>,Filamentous algae</v>
      </c>
      <c r="EO1" s="114" t="str">
        <f>'ENTRY '!FC1</f>
        <v>Riccia fluitans,Slender riccia</v>
      </c>
      <c r="EP1" s="114" t="str">
        <f>'ENTRY '!FD1</f>
        <v xml:space="preserve">Ricciocarpus natans,Purple-fringed riccia </v>
      </c>
      <c r="EQ1" s="114" t="str">
        <f>'ENTRY '!FE1</f>
        <v>sp1</v>
      </c>
      <c r="ER1" s="114" t="str">
        <f>'ENTRY '!FF1</f>
        <v>sp2</v>
      </c>
      <c r="ES1" s="114" t="str">
        <f>'ENTRY '!FG1</f>
        <v>sp3</v>
      </c>
      <c r="ET1" s="114" t="str">
        <f>'ENTRY '!FH1</f>
        <v>sp4</v>
      </c>
      <c r="EU1" s="114" t="str">
        <f>'ENTRY '!FI1</f>
        <v>sp5</v>
      </c>
      <c r="EV1" s="114" t="str">
        <f>'ENTRY '!FJ1</f>
        <v>sp6</v>
      </c>
      <c r="EW1" s="114" t="str">
        <f>'ENTRY '!FK1</f>
        <v>sp7</v>
      </c>
      <c r="EX1" s="114" t="str">
        <f>'ENTRY '!FL1</f>
        <v>sp8</v>
      </c>
      <c r="EY1" s="114" t="str">
        <f>'ENTRY '!FM1</f>
        <v>sp9</v>
      </c>
      <c r="EZ1" s="114"/>
    </row>
    <row r="2" spans="1:156" s="115" customFormat="1" ht="12.75" customHeight="1" x14ac:dyDescent="0.4">
      <c r="A2" s="116" t="s">
        <v>48</v>
      </c>
      <c r="B2" s="117" t="str">
        <f>IF('ENTRY '!I2="","",'ENTRY '!I2)</f>
        <v>Lower Vermillion</v>
      </c>
      <c r="C2" s="118"/>
      <c r="D2" s="119"/>
      <c r="E2" s="120"/>
      <c r="F2" s="121"/>
      <c r="G2" s="121"/>
      <c r="H2" s="121"/>
      <c r="I2" s="121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21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</row>
    <row r="3" spans="1:156" s="115" customFormat="1" ht="12.75" customHeight="1" x14ac:dyDescent="0.4">
      <c r="A3" s="116" t="s">
        <v>25</v>
      </c>
      <c r="B3" s="117" t="str">
        <f>IF('ENTRY '!I3="","",'ENTRY '!I3)</f>
        <v>Barron</v>
      </c>
      <c r="C3" s="118"/>
      <c r="D3" s="119"/>
      <c r="E3" s="120"/>
      <c r="F3" s="121"/>
      <c r="G3" s="121"/>
      <c r="H3" s="121"/>
      <c r="I3" s="121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21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</row>
    <row r="4" spans="1:156" s="115" customFormat="1" ht="12.75" customHeight="1" x14ac:dyDescent="0.4">
      <c r="A4" s="116" t="s">
        <v>26</v>
      </c>
      <c r="B4" s="117">
        <f>IF('ENTRY '!I4="","",'ENTRY '!I4)</f>
        <v>2098200</v>
      </c>
      <c r="C4" s="118"/>
      <c r="D4" s="119"/>
      <c r="E4" s="120"/>
      <c r="F4" s="121"/>
      <c r="G4" s="121"/>
      <c r="H4" s="121"/>
      <c r="I4" s="121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21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</row>
    <row r="5" spans="1:156" s="115" customFormat="1" ht="12.75" customHeight="1" x14ac:dyDescent="0.4">
      <c r="A5" s="122" t="s">
        <v>39</v>
      </c>
      <c r="B5" s="123">
        <f>IF('ENTRY '!I5="","",'ENTRY '!I5)</f>
        <v>43255</v>
      </c>
      <c r="C5" s="118"/>
      <c r="D5" s="119"/>
      <c r="E5" s="120"/>
      <c r="F5" s="121"/>
      <c r="G5" s="121"/>
      <c r="H5" s="121"/>
      <c r="I5" s="121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21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</row>
    <row r="6" spans="1:156" s="115" customFormat="1" ht="15" customHeight="1" x14ac:dyDescent="0.45">
      <c r="B6" s="124" t="s">
        <v>23</v>
      </c>
      <c r="C6" s="118"/>
      <c r="D6" s="119"/>
      <c r="E6" s="120"/>
      <c r="F6" s="119"/>
      <c r="G6" s="119"/>
      <c r="H6" s="119"/>
      <c r="I6" s="119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5"/>
      <c r="BO6" s="120"/>
      <c r="BP6" s="125"/>
      <c r="BQ6" s="120"/>
      <c r="BR6" s="120"/>
      <c r="BS6" s="120"/>
      <c r="BT6" s="125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5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19"/>
      <c r="EM6" s="120"/>
      <c r="EN6" s="120"/>
      <c r="EO6" s="120"/>
      <c r="EP6" s="120"/>
      <c r="EQ6" s="126"/>
      <c r="ER6" s="126"/>
      <c r="ES6" s="126"/>
      <c r="ET6" s="126"/>
      <c r="EU6" s="126"/>
      <c r="EV6" s="126"/>
      <c r="EW6" s="126"/>
      <c r="EX6" s="126"/>
      <c r="EY6" s="126"/>
    </row>
    <row r="7" spans="1:156" x14ac:dyDescent="0.4">
      <c r="B7" s="141" t="s">
        <v>58</v>
      </c>
      <c r="C7" s="138"/>
      <c r="D7" s="142">
        <f>IF(SUM('ENTRY '!R2:R81)=0,"",COUNT('ENTRY '!R2:R81))</f>
        <v>1</v>
      </c>
      <c r="E7" s="142">
        <f>IF(SUM('ENTRY '!S2:S81)=0,"",COUNT('ENTRY '!S2:S81))</f>
        <v>21</v>
      </c>
      <c r="F7" s="142" t="str">
        <f>IF(SUM('ENTRY '!T2:T81)=0,"",COUNT('ENTRY '!T2:T81))</f>
        <v/>
      </c>
      <c r="G7" s="142" t="str">
        <f>IF(SUM('ENTRY '!U2:U81)=0,"",COUNT('ENTRY '!U2:U81))</f>
        <v/>
      </c>
      <c r="H7" s="142" t="str">
        <f>IF(SUM('ENTRY '!V2:V81)=0,"",COUNT('ENTRY '!V2:V81))</f>
        <v/>
      </c>
      <c r="I7" s="142" t="str">
        <f>IF(SUM('ENTRY '!W2:W81)=0,"",COUNT('ENTRY '!W2:W81))</f>
        <v/>
      </c>
      <c r="J7" s="142" t="str">
        <f>IF(SUM('ENTRY '!X2:X81)=0,"",COUNT('ENTRY '!X2:X81))</f>
        <v/>
      </c>
      <c r="K7" s="142" t="str">
        <f>IF(SUM('ENTRY '!Y2:Y81)=0,"",COUNT('ENTRY '!Y2:Y81))</f>
        <v/>
      </c>
      <c r="L7" s="142" t="str">
        <f>IF(SUM('ENTRY '!Z2:Z81)=0,"",COUNT('ENTRY '!Z2:Z81))</f>
        <v/>
      </c>
      <c r="M7" s="142" t="str">
        <f>IF(SUM('ENTRY '!AA2:AA81)=0,"",COUNT('ENTRY '!AA2:AA81))</f>
        <v/>
      </c>
      <c r="N7" s="142" t="str">
        <f>IF(SUM('ENTRY '!AB2:AB81)=0,"",COUNT('ENTRY '!AB2:AB81))</f>
        <v/>
      </c>
      <c r="O7" s="142" t="str">
        <f>IF(SUM('ENTRY '!AC2:AC81)=0,"",COUNT('ENTRY '!AC2:AC81))</f>
        <v/>
      </c>
      <c r="P7" s="142" t="str">
        <f>IF(SUM('ENTRY '!AD2:AD81)=0,"",COUNT('ENTRY '!AD2:AD81))</f>
        <v/>
      </c>
      <c r="Q7" s="142">
        <f>IF(SUM('ENTRY '!AE2:AE81)=0,"",COUNT('ENTRY '!AE2:AE81))</f>
        <v>40</v>
      </c>
      <c r="R7" s="142" t="str">
        <f>IF(SUM('ENTRY '!AF2:AF81)=0,"",COUNT('ENTRY '!AF2:AF81))</f>
        <v/>
      </c>
      <c r="S7" s="142">
        <f>IF(SUM('ENTRY '!AG2:AG81)=0,"",COUNT('ENTRY '!AG2:AG81))</f>
        <v>1</v>
      </c>
      <c r="T7" s="142" t="str">
        <f>IF(SUM('ENTRY '!AH2:AH81)=0,"",COUNT('ENTRY '!AH2:AH81))</f>
        <v/>
      </c>
      <c r="U7" s="142" t="str">
        <f>IF(SUM('ENTRY '!AI2:AI81)=0,"",COUNT('ENTRY '!AI2:AI81))</f>
        <v/>
      </c>
      <c r="V7" s="142" t="str">
        <f>IF(SUM('ENTRY '!AJ2:AJ81)=0,"",COUNT('ENTRY '!AJ2:AJ81))</f>
        <v/>
      </c>
      <c r="W7" s="142" t="str">
        <f>IF(SUM('ENTRY '!AK2:AK81)=0,"",COUNT('ENTRY '!AK2:AK81))</f>
        <v/>
      </c>
      <c r="X7" s="142" t="str">
        <f>IF(SUM('ENTRY '!AL2:AL81)=0,"",COUNT('ENTRY '!AL2:AL81))</f>
        <v/>
      </c>
      <c r="Y7" s="142" t="str">
        <f>IF(SUM('ENTRY '!AM2:AM81)=0,"",COUNT('ENTRY '!AM2:AM81))</f>
        <v/>
      </c>
      <c r="Z7" s="142" t="str">
        <f>IF(SUM('ENTRY '!AN2:AN81)=0,"",COUNT('ENTRY '!AN2:AN81))</f>
        <v/>
      </c>
      <c r="AA7" s="142" t="str">
        <f>IF(SUM('ENTRY '!AO2:AO81)=0,"",COUNT('ENTRY '!AO2:AO81))</f>
        <v/>
      </c>
      <c r="AB7" s="142" t="str">
        <f>IF(SUM('ENTRY '!AP2:AP81)=0,"",COUNT('ENTRY '!AP2:AP81))</f>
        <v/>
      </c>
      <c r="AC7" s="142">
        <f>IF(SUM('ENTRY '!AQ2:AQ81)=0,"",COUNT('ENTRY '!AQ2:AQ81))</f>
        <v>11</v>
      </c>
      <c r="AD7" s="142" t="str">
        <f>IF(SUM('ENTRY '!AR2:AR81)=0,"",COUNT('ENTRY '!AR2:AR81))</f>
        <v/>
      </c>
      <c r="AE7" s="142" t="str">
        <f>IF(SUM('ENTRY '!AS2:AS81)=0,"",COUNT('ENTRY '!AS2:AS81))</f>
        <v/>
      </c>
      <c r="AF7" s="142" t="str">
        <f>IF(SUM('ENTRY '!AT2:AT81)=0,"",COUNT('ENTRY '!AT2:AT81))</f>
        <v/>
      </c>
      <c r="AG7" s="142" t="str">
        <f>IF(SUM('ENTRY '!AU2:AU81)=0,"",COUNT('ENTRY '!AU2:AU81))</f>
        <v/>
      </c>
      <c r="AH7" s="142" t="str">
        <f>IF(SUM('ENTRY '!AV2:AV81)=0,"",COUNT('ENTRY '!AV2:AV81))</f>
        <v/>
      </c>
      <c r="AI7" s="142">
        <f>IF(SUM('ENTRY '!AW2:AW81)=0,"",COUNT('ENTRY '!AW2:AW81))</f>
        <v>11</v>
      </c>
      <c r="AJ7" s="142" t="str">
        <f>IF(SUM('ENTRY '!AX2:AX81)=0,"",COUNT('ENTRY '!AX2:AX81))</f>
        <v/>
      </c>
      <c r="AK7" s="142" t="str">
        <f>IF(SUM('ENTRY '!AY2:AY81)=0,"",COUNT('ENTRY '!AY2:AY81))</f>
        <v/>
      </c>
      <c r="AL7" s="142" t="str">
        <f>IF(SUM('ENTRY '!AZ2:AZ81)=0,"",COUNT('ENTRY '!AZ2:AZ81))</f>
        <v/>
      </c>
      <c r="AM7" s="142" t="str">
        <f>IF(SUM('ENTRY '!BA2:BA81)=0,"",COUNT('ENTRY '!BA2:BA81))</f>
        <v/>
      </c>
      <c r="AN7" s="142" t="str">
        <f>IF(SUM('ENTRY '!BB2:BB81)=0,"",COUNT('ENTRY '!BB2:BB81))</f>
        <v/>
      </c>
      <c r="AO7" s="142" t="str">
        <f>IF(SUM('ENTRY '!BC2:BC81)=0,"",COUNT('ENTRY '!BC2:BC81))</f>
        <v/>
      </c>
      <c r="AP7" s="142" t="str">
        <f>IF(SUM('ENTRY '!BD2:BD81)=0,"",COUNT('ENTRY '!BD2:BD81))</f>
        <v/>
      </c>
      <c r="AQ7" s="142" t="str">
        <f>IF(SUM('ENTRY '!BE2:BE81)=0,"",COUNT('ENTRY '!BE2:BE81))</f>
        <v/>
      </c>
      <c r="AR7" s="142" t="str">
        <f>IF(SUM('ENTRY '!BF2:BF81)=0,"",COUNT('ENTRY '!BF2:BF81))</f>
        <v/>
      </c>
      <c r="AS7" s="142">
        <f>IF(SUM('ENTRY '!BG2:BG81)=0,"",COUNT('ENTRY '!BG2:BG81))</f>
        <v>1</v>
      </c>
      <c r="AT7" s="142" t="str">
        <f>IF(SUM('ENTRY '!BH2:BH81)=0,"",COUNT('ENTRY '!BH2:BH81))</f>
        <v/>
      </c>
      <c r="AU7" s="142" t="str">
        <f>IF(SUM('ENTRY '!BI2:BI81)=0,"",COUNT('ENTRY '!BI2:BI81))</f>
        <v/>
      </c>
      <c r="AV7" s="142" t="str">
        <f>IF(SUM('ENTRY '!BJ2:BJ81)=0,"",COUNT('ENTRY '!BJ2:BJ81))</f>
        <v/>
      </c>
      <c r="AW7" s="142" t="str">
        <f>IF(SUM('ENTRY '!BK2:BK81)=0,"",COUNT('ENTRY '!BK2:BK81))</f>
        <v/>
      </c>
      <c r="AX7" s="142" t="str">
        <f>IF(SUM('ENTRY '!BL2:BL81)=0,"",COUNT('ENTRY '!BL2:BL81))</f>
        <v/>
      </c>
      <c r="AY7" s="142" t="str">
        <f>IF(SUM('ENTRY '!BM2:BM81)=0,"",COUNT('ENTRY '!BM2:BM81))</f>
        <v/>
      </c>
      <c r="AZ7" s="142" t="str">
        <f>IF(SUM('ENTRY '!BN2:BN81)=0,"",COUNT('ENTRY '!BN2:BN81))</f>
        <v/>
      </c>
      <c r="BA7" s="142">
        <f>IF(SUM('ENTRY '!BO2:BO81)=0,"",COUNT('ENTRY '!BO2:BO81))</f>
        <v>8</v>
      </c>
      <c r="BB7" s="142" t="str">
        <f>IF(SUM('ENTRY '!BP2:BP81)=0,"",COUNT('ENTRY '!BP2:BP81))</f>
        <v/>
      </c>
      <c r="BC7" s="142" t="str">
        <f>IF(SUM('ENTRY '!BQ2:BQ81)=0,"",COUNT('ENTRY '!BQ2:BQ81))</f>
        <v/>
      </c>
      <c r="BD7" s="142">
        <f>IF(SUM('ENTRY '!BR2:BR81)=0,"",COUNT('ENTRY '!BR2:BR81))</f>
        <v>10</v>
      </c>
      <c r="BE7" s="142" t="str">
        <f>IF(SUM('ENTRY '!BS2:BS81)=0,"",COUNT('ENTRY '!BS2:BS81))</f>
        <v/>
      </c>
      <c r="BF7" s="142" t="str">
        <f>IF(SUM('ENTRY '!BT2:BT81)=0,"",COUNT('ENTRY '!BT2:BT81))</f>
        <v/>
      </c>
      <c r="BG7" s="142" t="str">
        <f>IF(SUM('ENTRY '!BU2:BU81)=0,"",COUNT('ENTRY '!BU2:BU81))</f>
        <v/>
      </c>
      <c r="BH7" s="142" t="str">
        <f>IF(SUM('ENTRY '!BV2:BV81)=0,"",COUNT('ENTRY '!BV2:BV81))</f>
        <v/>
      </c>
      <c r="BI7" s="142" t="str">
        <f>IF(SUM('ENTRY '!BW2:BW81)=0,"",COUNT('ENTRY '!BW2:BW81))</f>
        <v/>
      </c>
      <c r="BJ7" s="142" t="str">
        <f>IF(SUM('ENTRY '!BX2:BX81)=0,"",COUNT('ENTRY '!BX2:BX81))</f>
        <v/>
      </c>
      <c r="BK7" s="142" t="str">
        <f>IF(SUM('ENTRY '!BY2:BY81)=0,"",COUNT('ENTRY '!BY2:BY81))</f>
        <v/>
      </c>
      <c r="BL7" s="142" t="str">
        <f>IF(SUM('ENTRY '!BZ2:BZ81)=0,"",COUNT('ENTRY '!BZ2:BZ81))</f>
        <v/>
      </c>
      <c r="BM7" s="142">
        <f>IF(SUM('ENTRY '!CA2:CA81)=0,"",COUNT('ENTRY '!CA2:CA81))</f>
        <v>3</v>
      </c>
      <c r="BN7" s="142" t="str">
        <f>IF(SUM('ENTRY '!CB2:CB81)=0,"",COUNT('ENTRY '!CB2:CB81))</f>
        <v/>
      </c>
      <c r="BO7" s="142" t="str">
        <f>IF(SUM('ENTRY '!CC2:CC81)=0,"",COUNT('ENTRY '!CC2:CC81))</f>
        <v/>
      </c>
      <c r="BP7" s="142" t="str">
        <f>IF(SUM('ENTRY '!CD2:CD81)=0,"",COUNT('ENTRY '!CD2:CD81))</f>
        <v/>
      </c>
      <c r="BQ7" s="142" t="str">
        <f>IF(SUM('ENTRY '!CE2:CE81)=0,"",COUNT('ENTRY '!CE2:CE81))</f>
        <v/>
      </c>
      <c r="BR7" s="142" t="str">
        <f>IF(SUM('ENTRY '!CF2:CF81)=0,"",COUNT('ENTRY '!CF2:CF81))</f>
        <v/>
      </c>
      <c r="BS7" s="142" t="str">
        <f>IF(SUM('ENTRY '!CG2:CG81)=0,"",COUNT('ENTRY '!CG2:CG81))</f>
        <v/>
      </c>
      <c r="BT7" s="142" t="str">
        <f>IF(SUM('ENTRY '!CH2:CH81)=0,"",COUNT('ENTRY '!CH2:CH81))</f>
        <v/>
      </c>
      <c r="BU7" s="142" t="str">
        <f>IF(SUM('ENTRY '!CI2:CI81)=0,"",COUNT('ENTRY '!CI2:CI81))</f>
        <v/>
      </c>
      <c r="BV7" s="142" t="str">
        <f>IF(SUM('ENTRY '!CJ2:CJ81)=0,"",COUNT('ENTRY '!CJ2:CJ81))</f>
        <v/>
      </c>
      <c r="BW7" s="142" t="str">
        <f>IF(SUM('ENTRY '!CK2:CK81)=0,"",COUNT('ENTRY '!CK2:CK81))</f>
        <v/>
      </c>
      <c r="BX7" s="142" t="str">
        <f>IF(SUM('ENTRY '!CL2:CL81)=0,"",COUNT('ENTRY '!CL2:CL81))</f>
        <v/>
      </c>
      <c r="BY7" s="142" t="str">
        <f>IF(SUM('ENTRY '!CM2:CM81)=0,"",COUNT('ENTRY '!CM2:CM81))</f>
        <v/>
      </c>
      <c r="BZ7" s="142" t="str">
        <f>IF(SUM('ENTRY '!CN2:CN81)=0,"",COUNT('ENTRY '!CN2:CN81))</f>
        <v/>
      </c>
      <c r="CA7" s="142">
        <f>IF(SUM('ENTRY '!CO2:CO81)=0,"",COUNT('ENTRY '!CO2:CO81))</f>
        <v>11</v>
      </c>
      <c r="CB7" s="142">
        <f>IF(SUM('ENTRY '!CP2:CP81)=0,"",COUNT('ENTRY '!CP2:CP81))</f>
        <v>2</v>
      </c>
      <c r="CC7" s="142" t="str">
        <f>IF(SUM('ENTRY '!CQ2:CQ81)=0,"",COUNT('ENTRY '!CQ2:CQ81))</f>
        <v/>
      </c>
      <c r="CD7" s="142" t="str">
        <f>IF(SUM('ENTRY '!CR2:CR81)=0,"",COUNT('ENTRY '!CR2:CR81))</f>
        <v/>
      </c>
      <c r="CE7" s="142" t="str">
        <f>IF(SUM('ENTRY '!CS2:CS81)=0,"",COUNT('ENTRY '!CS2:CS81))</f>
        <v/>
      </c>
      <c r="CF7" s="142" t="str">
        <f>IF(SUM('ENTRY '!CT2:CT81)=0,"",COUNT('ENTRY '!CT2:CT81))</f>
        <v/>
      </c>
      <c r="CG7" s="142" t="str">
        <f>IF(SUM('ENTRY '!CU2:CU81)=0,"",COUNT('ENTRY '!CU2:CU81))</f>
        <v/>
      </c>
      <c r="CH7" s="142" t="str">
        <f>IF(SUM('ENTRY '!CV2:CV81)=0,"",COUNT('ENTRY '!CV2:CV81))</f>
        <v/>
      </c>
      <c r="CI7" s="142" t="str">
        <f>IF(SUM('ENTRY '!CW2:CW81)=0,"",COUNT('ENTRY '!CW2:CW81))</f>
        <v/>
      </c>
      <c r="CJ7" s="142" t="str">
        <f>IF(SUM('ENTRY '!CX2:CX81)=0,"",COUNT('ENTRY '!CX2:CX81))</f>
        <v/>
      </c>
      <c r="CK7" s="142">
        <f>IF(SUM('ENTRY '!CY2:CY81)=0,"",COUNT('ENTRY '!CY2:CY81))</f>
        <v>8</v>
      </c>
      <c r="CL7" s="142">
        <f>IF(SUM('ENTRY '!CZ2:CZ81)=0,"",COUNT('ENTRY '!CZ2:CZ81))</f>
        <v>9</v>
      </c>
      <c r="CM7" s="142" t="str">
        <f>IF(SUM('ENTRY '!DA2:DA81)=0,"",COUNT('ENTRY '!DA2:DA81))</f>
        <v/>
      </c>
      <c r="CN7" s="142" t="str">
        <f>IF(SUM('ENTRY '!DB2:DB81)=0,"",COUNT('ENTRY '!DB2:DB81))</f>
        <v/>
      </c>
      <c r="CO7" s="142" t="str">
        <f>IF(SUM('ENTRY '!DC2:DC81)=0,"",COUNT('ENTRY '!DC2:DC81))</f>
        <v/>
      </c>
      <c r="CP7" s="142" t="str">
        <f>IF(SUM('ENTRY '!DD2:DD81)=0,"",COUNT('ENTRY '!DD2:DD81))</f>
        <v/>
      </c>
      <c r="CQ7" s="142">
        <f>IF(SUM('ENTRY '!DE2:DE81)=0,"",COUNT('ENTRY '!DE2:DE81))</f>
        <v>28</v>
      </c>
      <c r="CR7" s="142">
        <f>IF(SUM('ENTRY '!DF2:DF81)=0,"",COUNT('ENTRY '!DF2:DF81))</f>
        <v>1</v>
      </c>
      <c r="CS7" s="142" t="str">
        <f>IF(SUM('ENTRY '!DG2:DG81)=0,"",COUNT('ENTRY '!DG2:DG81))</f>
        <v/>
      </c>
      <c r="CT7" s="142" t="str">
        <f>IF(SUM('ENTRY '!DH2:DH81)=0,"",COUNT('ENTRY '!DH2:DH81))</f>
        <v/>
      </c>
      <c r="CU7" s="142" t="str">
        <f>IF(SUM('ENTRY '!DI2:DI81)=0,"",COUNT('ENTRY '!DI2:DI81))</f>
        <v/>
      </c>
      <c r="CV7" s="142" t="str">
        <f>IF(SUM('ENTRY '!DJ2:DJ81)=0,"",COUNT('ENTRY '!DJ2:DJ81))</f>
        <v/>
      </c>
      <c r="CW7" s="142" t="str">
        <f>IF(SUM('ENTRY '!DK2:DK81)=0,"",COUNT('ENTRY '!DK2:DK81))</f>
        <v/>
      </c>
      <c r="CX7" s="142" t="str">
        <f>IF(SUM('ENTRY '!DL2:DL81)=0,"",COUNT('ENTRY '!DL2:DL81))</f>
        <v/>
      </c>
      <c r="CY7" s="142" t="str">
        <f>IF(SUM('ENTRY '!DM2:DM81)=0,"",COUNT('ENTRY '!DM2:DM81))</f>
        <v/>
      </c>
      <c r="CZ7" s="142" t="str">
        <f>IF(SUM('ENTRY '!DN2:DN81)=0,"",COUNT('ENTRY '!DN2:DN81))</f>
        <v/>
      </c>
      <c r="DA7" s="142" t="str">
        <f>IF(SUM('ENTRY '!DO2:DO81)=0,"",COUNT('ENTRY '!DO2:DO81))</f>
        <v/>
      </c>
      <c r="DB7" s="142" t="str">
        <f>IF(SUM('ENTRY '!DP2:DP81)=0,"",COUNT('ENTRY '!DP2:DP81))</f>
        <v/>
      </c>
      <c r="DC7" s="142" t="str">
        <f>IF(SUM('ENTRY '!DQ2:DQ81)=0,"",COUNT('ENTRY '!DQ2:DQ81))</f>
        <v/>
      </c>
      <c r="DD7" s="142" t="str">
        <f>IF(SUM('ENTRY '!DR2:DR81)=0,"",COUNT('ENTRY '!DR2:DR81))</f>
        <v/>
      </c>
      <c r="DE7" s="142" t="str">
        <f>IF(SUM('ENTRY '!DS2:DS81)=0,"",COUNT('ENTRY '!DS2:DS81))</f>
        <v/>
      </c>
      <c r="DF7" s="142" t="str">
        <f>IF(SUM('ENTRY '!DT2:DT81)=0,"",COUNT('ENTRY '!DT2:DT81))</f>
        <v/>
      </c>
      <c r="DG7" s="142" t="str">
        <f>IF(SUM('ENTRY '!DU2:DU81)=0,"",COUNT('ENTRY '!DU2:DU81))</f>
        <v/>
      </c>
      <c r="DH7" s="142" t="str">
        <f>IF(SUM('ENTRY '!DV2:DV81)=0,"",COUNT('ENTRY '!DV2:DV81))</f>
        <v/>
      </c>
      <c r="DI7" s="142" t="str">
        <f>IF(SUM('ENTRY '!DW2:DW81)=0,"",COUNT('ENTRY '!DW2:DW81))</f>
        <v/>
      </c>
      <c r="DJ7" s="142" t="str">
        <f>IF(SUM('ENTRY '!DX2:DX81)=0,"",COUNT('ENTRY '!DX2:DX81))</f>
        <v/>
      </c>
      <c r="DK7" s="142" t="str">
        <f>IF(SUM('ENTRY '!DY2:DY81)=0,"",COUNT('ENTRY '!DY2:DY81))</f>
        <v/>
      </c>
      <c r="DL7" s="142" t="str">
        <f>IF(SUM('ENTRY '!DZ2:DZ81)=0,"",COUNT('ENTRY '!DZ2:DZ81))</f>
        <v/>
      </c>
      <c r="DM7" s="142" t="str">
        <f>IF(SUM('ENTRY '!EA2:EA81)=0,"",COUNT('ENTRY '!EA2:EA81))</f>
        <v/>
      </c>
      <c r="DN7" s="142" t="str">
        <f>IF(SUM('ENTRY '!EB2:EB81)=0,"",COUNT('ENTRY '!EB2:EB81))</f>
        <v/>
      </c>
      <c r="DO7" s="142" t="str">
        <f>IF(SUM('ENTRY '!EC2:EC81)=0,"",COUNT('ENTRY '!EC2:EC81))</f>
        <v/>
      </c>
      <c r="DP7" s="142" t="str">
        <f>IF(SUM('ENTRY '!ED2:ED81)=0,"",COUNT('ENTRY '!ED2:ED81))</f>
        <v/>
      </c>
      <c r="DQ7" s="142" t="str">
        <f>IF(SUM('ENTRY '!EE2:EE81)=0,"",COUNT('ENTRY '!EE2:EE81))</f>
        <v/>
      </c>
      <c r="DR7" s="142">
        <f>IF(SUM('ENTRY '!EF2:EF81)=0,"",COUNT('ENTRY '!EF2:EF81))</f>
        <v>1</v>
      </c>
      <c r="DS7" s="142" t="str">
        <f>IF(SUM('ENTRY '!EG2:EG81)=0,"",COUNT('ENTRY '!EG2:EG81))</f>
        <v/>
      </c>
      <c r="DT7" s="142" t="str">
        <f>IF(SUM('ENTRY '!EH2:EH81)=0,"",COUNT('ENTRY '!EH2:EH81))</f>
        <v/>
      </c>
      <c r="DU7" s="142" t="str">
        <f>IF(SUM('ENTRY '!EI2:EI81)=0,"",COUNT('ENTRY '!EI2:EI81))</f>
        <v/>
      </c>
      <c r="DV7" s="142" t="str">
        <f>IF(SUM('ENTRY '!EJ2:EJ81)=0,"",COUNT('ENTRY '!EJ2:EJ81))</f>
        <v/>
      </c>
      <c r="DW7" s="142" t="str">
        <f>IF(SUM('ENTRY '!EK2:EK81)=0,"",COUNT('ENTRY '!EK2:EK81))</f>
        <v/>
      </c>
      <c r="DX7" s="142" t="str">
        <f>IF(SUM('ENTRY '!EL2:EL81)=0,"",COUNT('ENTRY '!EL2:EL81))</f>
        <v/>
      </c>
      <c r="DY7" s="142" t="str">
        <f>IF(SUM('ENTRY '!EM2:EM81)=0,"",COUNT('ENTRY '!EM2:EM81))</f>
        <v/>
      </c>
      <c r="DZ7" s="142" t="str">
        <f>IF(SUM('ENTRY '!EN2:EN81)=0,"",COUNT('ENTRY '!EN2:EN81))</f>
        <v/>
      </c>
      <c r="EA7" s="142" t="str">
        <f>IF(SUM('ENTRY '!EO2:EO81)=0,"",COUNT('ENTRY '!EO2:EO81))</f>
        <v/>
      </c>
      <c r="EB7" s="142" t="str">
        <f>IF(SUM('ENTRY '!EP2:EP81)=0,"",COUNT('ENTRY '!EP2:EP81))</f>
        <v/>
      </c>
      <c r="EC7" s="142" t="str">
        <f>IF(SUM('ENTRY '!EQ2:EQ81)=0,"",COUNT('ENTRY '!EQ2:EQ81))</f>
        <v/>
      </c>
      <c r="ED7" s="142" t="str">
        <f>IF(SUM('ENTRY '!ER2:ER81)=0,"",COUNT('ENTRY '!ER2:ER81))</f>
        <v/>
      </c>
      <c r="EE7" s="142">
        <f>IF(SUM('ENTRY '!ES2:ES81)=0,"",COUNT('ENTRY '!ES2:ES81))</f>
        <v>1</v>
      </c>
      <c r="EF7" s="142" t="str">
        <f>IF(SUM('ENTRY '!ET2:ET81)=0,"",COUNT('ENTRY '!ET2:ET81))</f>
        <v/>
      </c>
      <c r="EG7" s="142" t="str">
        <f>IF(SUM('ENTRY '!EU2:EU81)=0,"",COUNT('ENTRY '!EU2:EU81))</f>
        <v/>
      </c>
      <c r="EH7" s="142" t="str">
        <f>IF(SUM('ENTRY '!EV2:EV81)=0,"",COUNT('ENTRY '!EV2:EV81))</f>
        <v/>
      </c>
      <c r="EI7" s="142" t="str">
        <f>IF(SUM('ENTRY '!EW2:EW81)=0,"",COUNT('ENTRY '!EW2:EW81))</f>
        <v/>
      </c>
      <c r="EJ7" s="142" t="str">
        <f>IF(SUM('ENTRY '!EX2:EX81)=0,"",COUNT('ENTRY '!EX2:EX81))</f>
        <v/>
      </c>
      <c r="EK7" s="142" t="str">
        <f>IF(SUM('ENTRY '!EY2:EY81)=0,"",COUNT('ENTRY '!EY2:EY81))</f>
        <v/>
      </c>
      <c r="EL7" s="142">
        <f>IF(SUM('ENTRY '!EZ2:EZ81)=0,"",COUNT('ENTRY '!EZ2:EZ81))</f>
        <v>3</v>
      </c>
      <c r="EM7" s="142" t="str">
        <f>IF(SUM('ENTRY '!FA2:FA81)=0,"",COUNT('ENTRY '!FA2:FA81))</f>
        <v/>
      </c>
      <c r="EN7" s="142">
        <f>IF(SUM('ENTRY '!FB2:FB81)=0,"",COUNT('ENTRY '!FB2:FB81))</f>
        <v>42</v>
      </c>
      <c r="EO7" s="142" t="str">
        <f>IF(SUM('ENTRY '!FC2:FC81)=0,"",COUNT('ENTRY '!FC2:FC81))</f>
        <v/>
      </c>
      <c r="EP7" s="142" t="str">
        <f>IF(SUM('ENTRY '!FD2:FD81)=0,"",COUNT('ENTRY '!FD2:FD81))</f>
        <v/>
      </c>
      <c r="EQ7" s="142" t="str">
        <f>IF(SUM('ENTRY '!FE2:FE81)=0,"",COUNT('ENTRY '!FE2:FE81))</f>
        <v/>
      </c>
      <c r="ER7" s="142" t="str">
        <f>IF(SUM('ENTRY '!FF2:FF81)=0,"",COUNT('ENTRY '!FF2:FF81))</f>
        <v/>
      </c>
      <c r="ES7" s="142" t="str">
        <f>IF(SUM('ENTRY '!FG2:FG81)=0,"",COUNT('ENTRY '!FG2:FG81))</f>
        <v/>
      </c>
      <c r="ET7" s="142" t="str">
        <f>IF(SUM('ENTRY '!FH2:FH81)=0,"",COUNT('ENTRY '!FH2:FH81))</f>
        <v/>
      </c>
      <c r="EU7" s="142" t="str">
        <f>IF(SUM('ENTRY '!FI2:FI81)=0,"",COUNT('ENTRY '!FI2:FI81))</f>
        <v/>
      </c>
      <c r="EV7" s="142" t="str">
        <f>IF(SUM('ENTRY '!FJ2:FJ81)=0,"",COUNT('ENTRY '!FJ2:FJ81))</f>
        <v/>
      </c>
      <c r="EW7" s="142" t="str">
        <f>IF(SUM('ENTRY '!FK2:FK81)=0,"",COUNT('ENTRY '!FK2:FK81))</f>
        <v/>
      </c>
      <c r="EX7" s="142" t="str">
        <f>IF(SUM('ENTRY '!FL2:FL81)=0,"",COUNT('ENTRY '!FL2:FL81))</f>
        <v/>
      </c>
      <c r="EY7" s="142" t="str">
        <f>IF(SUM('ENTRY '!FM2:FM81)=0,"",COUNT('ENTRY '!FM2:FM81))</f>
        <v/>
      </c>
    </row>
    <row r="8" spans="1:156" s="136" customFormat="1" ht="12.75" customHeight="1" x14ac:dyDescent="0.4">
      <c r="A8" s="133"/>
      <c r="B8" s="134" t="s">
        <v>1</v>
      </c>
      <c r="C8" s="128"/>
      <c r="D8" s="135">
        <f t="shared" ref="D8:AI8" si="0">IF(D10="","",(D10/(SUM($D$10:$EK$10,$EQ$10:$EY$10)/100)))</f>
        <v>0.59523809523809523</v>
      </c>
      <c r="E8" s="135">
        <f t="shared" si="0"/>
        <v>12.5</v>
      </c>
      <c r="F8" s="135" t="str">
        <f t="shared" si="0"/>
        <v/>
      </c>
      <c r="G8" s="135" t="str">
        <f t="shared" si="0"/>
        <v/>
      </c>
      <c r="H8" s="135" t="str">
        <f t="shared" si="0"/>
        <v/>
      </c>
      <c r="I8" s="135" t="str">
        <f t="shared" si="0"/>
        <v/>
      </c>
      <c r="J8" s="135" t="str">
        <f t="shared" si="0"/>
        <v/>
      </c>
      <c r="K8" s="135" t="str">
        <f t="shared" si="0"/>
        <v/>
      </c>
      <c r="L8" s="135" t="str">
        <f t="shared" si="0"/>
        <v/>
      </c>
      <c r="M8" s="135" t="str">
        <f t="shared" si="0"/>
        <v/>
      </c>
      <c r="N8" s="135" t="str">
        <f t="shared" si="0"/>
        <v/>
      </c>
      <c r="O8" s="135" t="str">
        <f t="shared" si="0"/>
        <v/>
      </c>
      <c r="P8" s="135" t="str">
        <f t="shared" si="0"/>
        <v/>
      </c>
      <c r="Q8" s="135">
        <f t="shared" si="0"/>
        <v>23.809523809523807</v>
      </c>
      <c r="R8" s="135" t="str">
        <f t="shared" si="0"/>
        <v/>
      </c>
      <c r="S8" s="135">
        <f t="shared" si="0"/>
        <v>0.59523809523809523</v>
      </c>
      <c r="T8" s="135" t="str">
        <f t="shared" si="0"/>
        <v/>
      </c>
      <c r="U8" s="135" t="str">
        <f t="shared" si="0"/>
        <v/>
      </c>
      <c r="V8" s="135" t="str">
        <f t="shared" si="0"/>
        <v/>
      </c>
      <c r="W8" s="135" t="str">
        <f t="shared" si="0"/>
        <v/>
      </c>
      <c r="X8" s="135" t="str">
        <f t="shared" si="0"/>
        <v/>
      </c>
      <c r="Y8" s="135" t="str">
        <f t="shared" si="0"/>
        <v/>
      </c>
      <c r="Z8" s="135" t="str">
        <f t="shared" si="0"/>
        <v/>
      </c>
      <c r="AA8" s="135" t="str">
        <f t="shared" si="0"/>
        <v/>
      </c>
      <c r="AB8" s="135" t="str">
        <f t="shared" si="0"/>
        <v/>
      </c>
      <c r="AC8" s="135">
        <f t="shared" si="0"/>
        <v>6.5476190476190466</v>
      </c>
      <c r="AD8" s="135" t="str">
        <f t="shared" si="0"/>
        <v/>
      </c>
      <c r="AE8" s="135" t="str">
        <f t="shared" si="0"/>
        <v/>
      </c>
      <c r="AF8" s="135" t="str">
        <f t="shared" si="0"/>
        <v/>
      </c>
      <c r="AG8" s="135" t="str">
        <f t="shared" si="0"/>
        <v/>
      </c>
      <c r="AH8" s="135" t="str">
        <f t="shared" si="0"/>
        <v/>
      </c>
      <c r="AI8" s="135">
        <f t="shared" si="0"/>
        <v>6.5476190476190466</v>
      </c>
      <c r="AJ8" s="135" t="str">
        <f t="shared" ref="AJ8:BO8" si="1">IF(AJ10="","",(AJ10/(SUM($D$10:$EK$10,$EQ$10:$EY$10)/100)))</f>
        <v/>
      </c>
      <c r="AK8" s="135" t="str">
        <f t="shared" si="1"/>
        <v/>
      </c>
      <c r="AL8" s="135" t="str">
        <f t="shared" si="1"/>
        <v/>
      </c>
      <c r="AM8" s="135" t="str">
        <f t="shared" si="1"/>
        <v/>
      </c>
      <c r="AN8" s="135" t="str">
        <f t="shared" si="1"/>
        <v/>
      </c>
      <c r="AO8" s="135" t="str">
        <f t="shared" si="1"/>
        <v/>
      </c>
      <c r="AP8" s="135" t="str">
        <f t="shared" si="1"/>
        <v/>
      </c>
      <c r="AQ8" s="135" t="str">
        <f t="shared" si="1"/>
        <v/>
      </c>
      <c r="AR8" s="135" t="str">
        <f t="shared" si="1"/>
        <v/>
      </c>
      <c r="AS8" s="135">
        <f t="shared" si="1"/>
        <v>0.59523809523809523</v>
      </c>
      <c r="AT8" s="135" t="str">
        <f t="shared" si="1"/>
        <v/>
      </c>
      <c r="AU8" s="135" t="str">
        <f t="shared" si="1"/>
        <v/>
      </c>
      <c r="AV8" s="135" t="str">
        <f t="shared" si="1"/>
        <v/>
      </c>
      <c r="AW8" s="135" t="str">
        <f t="shared" si="1"/>
        <v/>
      </c>
      <c r="AX8" s="135" t="str">
        <f t="shared" si="1"/>
        <v/>
      </c>
      <c r="AY8" s="135" t="str">
        <f t="shared" si="1"/>
        <v/>
      </c>
      <c r="AZ8" s="135" t="str">
        <f t="shared" si="1"/>
        <v/>
      </c>
      <c r="BA8" s="135">
        <f t="shared" si="1"/>
        <v>4.7619047619047619</v>
      </c>
      <c r="BB8" s="135" t="str">
        <f t="shared" si="1"/>
        <v/>
      </c>
      <c r="BC8" s="135" t="str">
        <f t="shared" si="1"/>
        <v/>
      </c>
      <c r="BD8" s="135">
        <f t="shared" si="1"/>
        <v>5.9523809523809517</v>
      </c>
      <c r="BE8" s="135" t="str">
        <f t="shared" si="1"/>
        <v/>
      </c>
      <c r="BF8" s="135" t="str">
        <f t="shared" si="1"/>
        <v/>
      </c>
      <c r="BG8" s="135" t="str">
        <f t="shared" si="1"/>
        <v/>
      </c>
      <c r="BH8" s="135" t="str">
        <f t="shared" si="1"/>
        <v/>
      </c>
      <c r="BI8" s="135" t="str">
        <f t="shared" si="1"/>
        <v/>
      </c>
      <c r="BJ8" s="135" t="str">
        <f t="shared" si="1"/>
        <v/>
      </c>
      <c r="BK8" s="135" t="str">
        <f t="shared" si="1"/>
        <v/>
      </c>
      <c r="BL8" s="135" t="str">
        <f t="shared" si="1"/>
        <v/>
      </c>
      <c r="BM8" s="135">
        <f t="shared" si="1"/>
        <v>1.7857142857142856</v>
      </c>
      <c r="BN8" s="135" t="str">
        <f t="shared" si="1"/>
        <v/>
      </c>
      <c r="BO8" s="135" t="str">
        <f t="shared" si="1"/>
        <v/>
      </c>
      <c r="BP8" s="135" t="str">
        <f t="shared" ref="BP8:CU8" si="2">IF(BP10="","",(BP10/(SUM($D$10:$EK$10,$EQ$10:$EY$10)/100)))</f>
        <v/>
      </c>
      <c r="BQ8" s="135" t="str">
        <f t="shared" si="2"/>
        <v/>
      </c>
      <c r="BR8" s="135" t="str">
        <f t="shared" si="2"/>
        <v/>
      </c>
      <c r="BS8" s="135" t="str">
        <f t="shared" si="2"/>
        <v/>
      </c>
      <c r="BT8" s="135" t="str">
        <f t="shared" si="2"/>
        <v/>
      </c>
      <c r="BU8" s="135" t="str">
        <f t="shared" si="2"/>
        <v/>
      </c>
      <c r="BV8" s="135" t="str">
        <f t="shared" si="2"/>
        <v/>
      </c>
      <c r="BW8" s="135" t="str">
        <f t="shared" si="2"/>
        <v/>
      </c>
      <c r="BX8" s="135" t="str">
        <f t="shared" si="2"/>
        <v/>
      </c>
      <c r="BY8" s="135" t="str">
        <f t="shared" si="2"/>
        <v/>
      </c>
      <c r="BZ8" s="135" t="str">
        <f t="shared" si="2"/>
        <v/>
      </c>
      <c r="CA8" s="135">
        <f t="shared" si="2"/>
        <v>6.5476190476190466</v>
      </c>
      <c r="CB8" s="135">
        <f t="shared" si="2"/>
        <v>1.1904761904761905</v>
      </c>
      <c r="CC8" s="135" t="str">
        <f t="shared" si="2"/>
        <v/>
      </c>
      <c r="CD8" s="135" t="str">
        <f t="shared" si="2"/>
        <v/>
      </c>
      <c r="CE8" s="135" t="str">
        <f t="shared" si="2"/>
        <v/>
      </c>
      <c r="CF8" s="135" t="str">
        <f t="shared" si="2"/>
        <v/>
      </c>
      <c r="CG8" s="135" t="str">
        <f t="shared" si="2"/>
        <v/>
      </c>
      <c r="CH8" s="135" t="str">
        <f t="shared" si="2"/>
        <v/>
      </c>
      <c r="CI8" s="135" t="str">
        <f t="shared" si="2"/>
        <v/>
      </c>
      <c r="CJ8" s="135" t="str">
        <f t="shared" si="2"/>
        <v/>
      </c>
      <c r="CK8" s="135">
        <f t="shared" si="2"/>
        <v>4.7619047619047619</v>
      </c>
      <c r="CL8" s="135">
        <f t="shared" si="2"/>
        <v>5.3571428571428568</v>
      </c>
      <c r="CM8" s="135" t="str">
        <f t="shared" si="2"/>
        <v/>
      </c>
      <c r="CN8" s="135" t="str">
        <f t="shared" si="2"/>
        <v/>
      </c>
      <c r="CO8" s="135" t="str">
        <f t="shared" si="2"/>
        <v/>
      </c>
      <c r="CP8" s="135" t="str">
        <f t="shared" si="2"/>
        <v/>
      </c>
      <c r="CQ8" s="135">
        <f t="shared" si="2"/>
        <v>16.666666666666668</v>
      </c>
      <c r="CR8" s="135">
        <f t="shared" si="2"/>
        <v>0.59523809523809523</v>
      </c>
      <c r="CS8" s="135" t="str">
        <f t="shared" si="2"/>
        <v/>
      </c>
      <c r="CT8" s="135" t="str">
        <f t="shared" si="2"/>
        <v/>
      </c>
      <c r="CU8" s="135" t="str">
        <f t="shared" si="2"/>
        <v/>
      </c>
      <c r="CV8" s="135" t="str">
        <f t="shared" ref="CV8:EA8" si="3">IF(CV10="","",(CV10/(SUM($D$10:$EK$10,$EQ$10:$EY$10)/100)))</f>
        <v/>
      </c>
      <c r="CW8" s="135" t="str">
        <f t="shared" si="3"/>
        <v/>
      </c>
      <c r="CX8" s="135" t="str">
        <f t="shared" si="3"/>
        <v/>
      </c>
      <c r="CY8" s="135" t="str">
        <f t="shared" si="3"/>
        <v/>
      </c>
      <c r="CZ8" s="135" t="str">
        <f t="shared" si="3"/>
        <v/>
      </c>
      <c r="DA8" s="135" t="str">
        <f t="shared" si="3"/>
        <v/>
      </c>
      <c r="DB8" s="135" t="str">
        <f t="shared" si="3"/>
        <v/>
      </c>
      <c r="DC8" s="135" t="str">
        <f t="shared" si="3"/>
        <v/>
      </c>
      <c r="DD8" s="135" t="str">
        <f t="shared" si="3"/>
        <v/>
      </c>
      <c r="DE8" s="135" t="str">
        <f t="shared" si="3"/>
        <v/>
      </c>
      <c r="DF8" s="135" t="str">
        <f t="shared" si="3"/>
        <v/>
      </c>
      <c r="DG8" s="135" t="str">
        <f t="shared" si="3"/>
        <v/>
      </c>
      <c r="DH8" s="135" t="str">
        <f t="shared" si="3"/>
        <v/>
      </c>
      <c r="DI8" s="135" t="str">
        <f t="shared" si="3"/>
        <v/>
      </c>
      <c r="DJ8" s="135" t="str">
        <f t="shared" si="3"/>
        <v/>
      </c>
      <c r="DK8" s="135" t="str">
        <f t="shared" si="3"/>
        <v/>
      </c>
      <c r="DL8" s="135" t="str">
        <f t="shared" si="3"/>
        <v/>
      </c>
      <c r="DM8" s="135" t="str">
        <f t="shared" si="3"/>
        <v/>
      </c>
      <c r="DN8" s="135" t="str">
        <f t="shared" si="3"/>
        <v/>
      </c>
      <c r="DO8" s="135" t="str">
        <f t="shared" si="3"/>
        <v/>
      </c>
      <c r="DP8" s="135" t="str">
        <f t="shared" si="3"/>
        <v/>
      </c>
      <c r="DQ8" s="135" t="str">
        <f t="shared" si="3"/>
        <v/>
      </c>
      <c r="DR8" s="135">
        <f t="shared" si="3"/>
        <v>0.59523809523809523</v>
      </c>
      <c r="DS8" s="135" t="str">
        <f t="shared" si="3"/>
        <v/>
      </c>
      <c r="DT8" s="135" t="str">
        <f t="shared" si="3"/>
        <v/>
      </c>
      <c r="DU8" s="135" t="str">
        <f t="shared" si="3"/>
        <v/>
      </c>
      <c r="DV8" s="135" t="str">
        <f t="shared" si="3"/>
        <v/>
      </c>
      <c r="DW8" s="135" t="str">
        <f t="shared" si="3"/>
        <v/>
      </c>
      <c r="DX8" s="135" t="str">
        <f t="shared" si="3"/>
        <v/>
      </c>
      <c r="DY8" s="135" t="str">
        <f t="shared" si="3"/>
        <v/>
      </c>
      <c r="DZ8" s="135" t="str">
        <f t="shared" si="3"/>
        <v/>
      </c>
      <c r="EA8" s="135" t="str">
        <f t="shared" si="3"/>
        <v/>
      </c>
      <c r="EB8" s="135" t="str">
        <f t="shared" ref="EB8:EK8" si="4">IF(EB10="","",(EB10/(SUM($D$10:$EK$10,$EQ$10:$EY$10)/100)))</f>
        <v/>
      </c>
      <c r="EC8" s="135" t="str">
        <f t="shared" si="4"/>
        <v/>
      </c>
      <c r="ED8" s="135" t="str">
        <f t="shared" si="4"/>
        <v/>
      </c>
      <c r="EE8" s="135">
        <f t="shared" si="4"/>
        <v>0.59523809523809523</v>
      </c>
      <c r="EF8" s="135" t="str">
        <f t="shared" si="4"/>
        <v/>
      </c>
      <c r="EG8" s="135" t="str">
        <f t="shared" si="4"/>
        <v/>
      </c>
      <c r="EH8" s="135" t="str">
        <f t="shared" si="4"/>
        <v/>
      </c>
      <c r="EI8" s="135" t="str">
        <f t="shared" si="4"/>
        <v/>
      </c>
      <c r="EJ8" s="135" t="str">
        <f t="shared" si="4"/>
        <v/>
      </c>
      <c r="EK8" s="135" t="str">
        <f t="shared" si="4"/>
        <v/>
      </c>
      <c r="EL8" s="135"/>
      <c r="EM8" s="135"/>
      <c r="EN8" s="135"/>
      <c r="EO8" s="135"/>
      <c r="EP8" s="135"/>
      <c r="EQ8" s="135" t="str">
        <f t="shared" ref="EQ8:EY8" si="5">IF(EQ10="","",(EQ10/(SUM($D$10:$EK$10,$EQ$10:$EY$10)/100)))</f>
        <v/>
      </c>
      <c r="ER8" s="135" t="str">
        <f t="shared" si="5"/>
        <v/>
      </c>
      <c r="ES8" s="135" t="str">
        <f t="shared" si="5"/>
        <v/>
      </c>
      <c r="ET8" s="135" t="str">
        <f t="shared" si="5"/>
        <v/>
      </c>
      <c r="EU8" s="135" t="str">
        <f t="shared" si="5"/>
        <v/>
      </c>
      <c r="EV8" s="135" t="str">
        <f t="shared" si="5"/>
        <v/>
      </c>
      <c r="EW8" s="135" t="str">
        <f t="shared" si="5"/>
        <v/>
      </c>
      <c r="EX8" s="135" t="str">
        <f t="shared" si="5"/>
        <v/>
      </c>
      <c r="EY8" s="135" t="str">
        <f t="shared" si="5"/>
        <v/>
      </c>
    </row>
    <row r="9" spans="1:156" s="131" customFormat="1" ht="12.75" customHeight="1" x14ac:dyDescent="0.4">
      <c r="A9" s="127"/>
      <c r="B9" s="127" t="s">
        <v>13</v>
      </c>
      <c r="C9" s="128"/>
      <c r="D9" s="129">
        <f t="shared" ref="D9:AI9" si="6">IF(D7="","",(D7/$C$18)*100)</f>
        <v>1.4492753623188406</v>
      </c>
      <c r="E9" s="130">
        <f t="shared" si="6"/>
        <v>30.434782608695656</v>
      </c>
      <c r="F9" s="130" t="str">
        <f t="shared" si="6"/>
        <v/>
      </c>
      <c r="G9" s="130" t="str">
        <f t="shared" si="6"/>
        <v/>
      </c>
      <c r="H9" s="130" t="str">
        <f t="shared" si="6"/>
        <v/>
      </c>
      <c r="I9" s="130" t="str">
        <f t="shared" si="6"/>
        <v/>
      </c>
      <c r="J9" s="130" t="str">
        <f t="shared" si="6"/>
        <v/>
      </c>
      <c r="K9" s="130" t="str">
        <f t="shared" si="6"/>
        <v/>
      </c>
      <c r="L9" s="130" t="str">
        <f t="shared" si="6"/>
        <v/>
      </c>
      <c r="M9" s="130" t="str">
        <f t="shared" si="6"/>
        <v/>
      </c>
      <c r="N9" s="130" t="str">
        <f t="shared" si="6"/>
        <v/>
      </c>
      <c r="O9" s="130" t="str">
        <f t="shared" si="6"/>
        <v/>
      </c>
      <c r="P9" s="130" t="str">
        <f t="shared" si="6"/>
        <v/>
      </c>
      <c r="Q9" s="130">
        <f t="shared" si="6"/>
        <v>57.971014492753625</v>
      </c>
      <c r="R9" s="130" t="str">
        <f t="shared" si="6"/>
        <v/>
      </c>
      <c r="S9" s="130">
        <f t="shared" si="6"/>
        <v>1.4492753623188406</v>
      </c>
      <c r="T9" s="130" t="str">
        <f t="shared" si="6"/>
        <v/>
      </c>
      <c r="U9" s="130" t="str">
        <f t="shared" si="6"/>
        <v/>
      </c>
      <c r="V9" s="130" t="str">
        <f t="shared" si="6"/>
        <v/>
      </c>
      <c r="W9" s="130" t="str">
        <f t="shared" si="6"/>
        <v/>
      </c>
      <c r="X9" s="130" t="str">
        <f t="shared" si="6"/>
        <v/>
      </c>
      <c r="Y9" s="130" t="str">
        <f t="shared" si="6"/>
        <v/>
      </c>
      <c r="Z9" s="130" t="str">
        <f t="shared" si="6"/>
        <v/>
      </c>
      <c r="AA9" s="130" t="str">
        <f t="shared" si="6"/>
        <v/>
      </c>
      <c r="AB9" s="130" t="str">
        <f t="shared" si="6"/>
        <v/>
      </c>
      <c r="AC9" s="130">
        <f t="shared" si="6"/>
        <v>15.942028985507244</v>
      </c>
      <c r="AD9" s="130" t="str">
        <f t="shared" si="6"/>
        <v/>
      </c>
      <c r="AE9" s="130" t="str">
        <f t="shared" si="6"/>
        <v/>
      </c>
      <c r="AF9" s="130" t="str">
        <f t="shared" si="6"/>
        <v/>
      </c>
      <c r="AG9" s="130" t="str">
        <f t="shared" si="6"/>
        <v/>
      </c>
      <c r="AH9" s="130" t="str">
        <f t="shared" si="6"/>
        <v/>
      </c>
      <c r="AI9" s="130">
        <f t="shared" si="6"/>
        <v>15.942028985507244</v>
      </c>
      <c r="AJ9" s="130" t="str">
        <f t="shared" ref="AJ9:BO9" si="7">IF(AJ7="","",(AJ7/$C$18)*100)</f>
        <v/>
      </c>
      <c r="AK9" s="130" t="str">
        <f t="shared" si="7"/>
        <v/>
      </c>
      <c r="AL9" s="130" t="str">
        <f t="shared" si="7"/>
        <v/>
      </c>
      <c r="AM9" s="130" t="str">
        <f t="shared" si="7"/>
        <v/>
      </c>
      <c r="AN9" s="130" t="str">
        <f t="shared" si="7"/>
        <v/>
      </c>
      <c r="AO9" s="130" t="str">
        <f t="shared" si="7"/>
        <v/>
      </c>
      <c r="AP9" s="130" t="str">
        <f t="shared" si="7"/>
        <v/>
      </c>
      <c r="AQ9" s="130" t="str">
        <f t="shared" si="7"/>
        <v/>
      </c>
      <c r="AR9" s="130" t="str">
        <f t="shared" si="7"/>
        <v/>
      </c>
      <c r="AS9" s="130">
        <f t="shared" si="7"/>
        <v>1.4492753623188406</v>
      </c>
      <c r="AT9" s="130" t="str">
        <f t="shared" si="7"/>
        <v/>
      </c>
      <c r="AU9" s="130" t="str">
        <f t="shared" si="7"/>
        <v/>
      </c>
      <c r="AV9" s="130" t="str">
        <f t="shared" si="7"/>
        <v/>
      </c>
      <c r="AW9" s="130" t="str">
        <f t="shared" si="7"/>
        <v/>
      </c>
      <c r="AX9" s="130" t="str">
        <f t="shared" si="7"/>
        <v/>
      </c>
      <c r="AY9" s="130" t="str">
        <f t="shared" si="7"/>
        <v/>
      </c>
      <c r="AZ9" s="130" t="str">
        <f t="shared" si="7"/>
        <v/>
      </c>
      <c r="BA9" s="130">
        <f t="shared" si="7"/>
        <v>11.594202898550725</v>
      </c>
      <c r="BB9" s="130" t="str">
        <f t="shared" si="7"/>
        <v/>
      </c>
      <c r="BC9" s="130" t="str">
        <f t="shared" si="7"/>
        <v/>
      </c>
      <c r="BD9" s="130">
        <f t="shared" si="7"/>
        <v>14.492753623188406</v>
      </c>
      <c r="BE9" s="130" t="str">
        <f t="shared" si="7"/>
        <v/>
      </c>
      <c r="BF9" s="130" t="str">
        <f t="shared" si="7"/>
        <v/>
      </c>
      <c r="BG9" s="130" t="str">
        <f t="shared" si="7"/>
        <v/>
      </c>
      <c r="BH9" s="130" t="str">
        <f t="shared" si="7"/>
        <v/>
      </c>
      <c r="BI9" s="130" t="str">
        <f t="shared" si="7"/>
        <v/>
      </c>
      <c r="BJ9" s="130" t="str">
        <f t="shared" si="7"/>
        <v/>
      </c>
      <c r="BK9" s="130" t="str">
        <f t="shared" si="7"/>
        <v/>
      </c>
      <c r="BL9" s="130" t="str">
        <f t="shared" si="7"/>
        <v/>
      </c>
      <c r="BM9" s="130">
        <f t="shared" si="7"/>
        <v>4.3478260869565215</v>
      </c>
      <c r="BN9" s="130" t="str">
        <f t="shared" si="7"/>
        <v/>
      </c>
      <c r="BO9" s="130" t="str">
        <f t="shared" si="7"/>
        <v/>
      </c>
      <c r="BP9" s="130" t="str">
        <f t="shared" ref="BP9:CU9" si="8">IF(BP7="","",(BP7/$C$18)*100)</f>
        <v/>
      </c>
      <c r="BQ9" s="130" t="str">
        <f t="shared" si="8"/>
        <v/>
      </c>
      <c r="BR9" s="130" t="str">
        <f t="shared" si="8"/>
        <v/>
      </c>
      <c r="BS9" s="130" t="str">
        <f t="shared" si="8"/>
        <v/>
      </c>
      <c r="BT9" s="130" t="str">
        <f t="shared" si="8"/>
        <v/>
      </c>
      <c r="BU9" s="130" t="str">
        <f t="shared" si="8"/>
        <v/>
      </c>
      <c r="BV9" s="130" t="str">
        <f t="shared" si="8"/>
        <v/>
      </c>
      <c r="BW9" s="130" t="str">
        <f t="shared" si="8"/>
        <v/>
      </c>
      <c r="BX9" s="130" t="str">
        <f t="shared" si="8"/>
        <v/>
      </c>
      <c r="BY9" s="130" t="str">
        <f t="shared" si="8"/>
        <v/>
      </c>
      <c r="BZ9" s="130" t="str">
        <f t="shared" si="8"/>
        <v/>
      </c>
      <c r="CA9" s="130">
        <f t="shared" si="8"/>
        <v>15.942028985507244</v>
      </c>
      <c r="CB9" s="130">
        <f t="shared" si="8"/>
        <v>2.8985507246376812</v>
      </c>
      <c r="CC9" s="130" t="str">
        <f t="shared" si="8"/>
        <v/>
      </c>
      <c r="CD9" s="130" t="str">
        <f t="shared" si="8"/>
        <v/>
      </c>
      <c r="CE9" s="130" t="str">
        <f t="shared" si="8"/>
        <v/>
      </c>
      <c r="CF9" s="130" t="str">
        <f t="shared" si="8"/>
        <v/>
      </c>
      <c r="CG9" s="130" t="str">
        <f t="shared" si="8"/>
        <v/>
      </c>
      <c r="CH9" s="130" t="str">
        <f t="shared" si="8"/>
        <v/>
      </c>
      <c r="CI9" s="130" t="str">
        <f t="shared" si="8"/>
        <v/>
      </c>
      <c r="CJ9" s="130" t="str">
        <f t="shared" si="8"/>
        <v/>
      </c>
      <c r="CK9" s="130">
        <f t="shared" si="8"/>
        <v>11.594202898550725</v>
      </c>
      <c r="CL9" s="130">
        <f t="shared" si="8"/>
        <v>13.043478260869565</v>
      </c>
      <c r="CM9" s="130" t="str">
        <f t="shared" si="8"/>
        <v/>
      </c>
      <c r="CN9" s="130" t="str">
        <f t="shared" si="8"/>
        <v/>
      </c>
      <c r="CO9" s="130" t="str">
        <f t="shared" si="8"/>
        <v/>
      </c>
      <c r="CP9" s="130" t="str">
        <f t="shared" si="8"/>
        <v/>
      </c>
      <c r="CQ9" s="130">
        <f t="shared" si="8"/>
        <v>40.579710144927539</v>
      </c>
      <c r="CR9" s="130">
        <f t="shared" si="8"/>
        <v>1.4492753623188406</v>
      </c>
      <c r="CS9" s="130" t="str">
        <f t="shared" si="8"/>
        <v/>
      </c>
      <c r="CT9" s="130" t="str">
        <f t="shared" si="8"/>
        <v/>
      </c>
      <c r="CU9" s="130" t="str">
        <f t="shared" si="8"/>
        <v/>
      </c>
      <c r="CV9" s="130" t="str">
        <f t="shared" ref="CV9:EA9" si="9">IF(CV7="","",(CV7/$C$18)*100)</f>
        <v/>
      </c>
      <c r="CW9" s="130" t="str">
        <f t="shared" si="9"/>
        <v/>
      </c>
      <c r="CX9" s="130" t="str">
        <f t="shared" si="9"/>
        <v/>
      </c>
      <c r="CY9" s="130" t="str">
        <f t="shared" si="9"/>
        <v/>
      </c>
      <c r="CZ9" s="130" t="str">
        <f t="shared" si="9"/>
        <v/>
      </c>
      <c r="DA9" s="130" t="str">
        <f t="shared" si="9"/>
        <v/>
      </c>
      <c r="DB9" s="130" t="str">
        <f t="shared" si="9"/>
        <v/>
      </c>
      <c r="DC9" s="130" t="str">
        <f t="shared" si="9"/>
        <v/>
      </c>
      <c r="DD9" s="130" t="str">
        <f t="shared" si="9"/>
        <v/>
      </c>
      <c r="DE9" s="130" t="str">
        <f t="shared" si="9"/>
        <v/>
      </c>
      <c r="DF9" s="130" t="str">
        <f t="shared" si="9"/>
        <v/>
      </c>
      <c r="DG9" s="130" t="str">
        <f t="shared" si="9"/>
        <v/>
      </c>
      <c r="DH9" s="130" t="str">
        <f t="shared" si="9"/>
        <v/>
      </c>
      <c r="DI9" s="130" t="str">
        <f t="shared" si="9"/>
        <v/>
      </c>
      <c r="DJ9" s="130" t="str">
        <f t="shared" si="9"/>
        <v/>
      </c>
      <c r="DK9" s="130" t="str">
        <f t="shared" si="9"/>
        <v/>
      </c>
      <c r="DL9" s="130" t="str">
        <f t="shared" si="9"/>
        <v/>
      </c>
      <c r="DM9" s="130" t="str">
        <f t="shared" si="9"/>
        <v/>
      </c>
      <c r="DN9" s="130" t="str">
        <f t="shared" si="9"/>
        <v/>
      </c>
      <c r="DO9" s="130" t="str">
        <f t="shared" si="9"/>
        <v/>
      </c>
      <c r="DP9" s="130" t="str">
        <f t="shared" si="9"/>
        <v/>
      </c>
      <c r="DQ9" s="130" t="str">
        <f t="shared" si="9"/>
        <v/>
      </c>
      <c r="DR9" s="130">
        <f t="shared" si="9"/>
        <v>1.4492753623188406</v>
      </c>
      <c r="DS9" s="130" t="str">
        <f t="shared" si="9"/>
        <v/>
      </c>
      <c r="DT9" s="130" t="str">
        <f t="shared" si="9"/>
        <v/>
      </c>
      <c r="DU9" s="130" t="str">
        <f t="shared" si="9"/>
        <v/>
      </c>
      <c r="DV9" s="130" t="str">
        <f t="shared" si="9"/>
        <v/>
      </c>
      <c r="DW9" s="130" t="str">
        <f t="shared" si="9"/>
        <v/>
      </c>
      <c r="DX9" s="130" t="str">
        <f t="shared" si="9"/>
        <v/>
      </c>
      <c r="DY9" s="130" t="str">
        <f t="shared" si="9"/>
        <v/>
      </c>
      <c r="DZ9" s="130" t="str">
        <f t="shared" si="9"/>
        <v/>
      </c>
      <c r="EA9" s="130" t="str">
        <f t="shared" si="9"/>
        <v/>
      </c>
      <c r="EB9" s="130" t="str">
        <f t="shared" ref="EB9:EY9" si="10">IF(EB7="","",(EB7/$C$18)*100)</f>
        <v/>
      </c>
      <c r="EC9" s="130" t="str">
        <f t="shared" si="10"/>
        <v/>
      </c>
      <c r="ED9" s="130" t="str">
        <f t="shared" si="10"/>
        <v/>
      </c>
      <c r="EE9" s="130">
        <f t="shared" si="10"/>
        <v>1.4492753623188406</v>
      </c>
      <c r="EF9" s="130" t="str">
        <f t="shared" si="10"/>
        <v/>
      </c>
      <c r="EG9" s="130" t="str">
        <f t="shared" si="10"/>
        <v/>
      </c>
      <c r="EH9" s="130" t="str">
        <f t="shared" si="10"/>
        <v/>
      </c>
      <c r="EI9" s="130" t="str">
        <f t="shared" si="10"/>
        <v/>
      </c>
      <c r="EJ9" s="130" t="str">
        <f t="shared" si="10"/>
        <v/>
      </c>
      <c r="EK9" s="130" t="str">
        <f t="shared" si="10"/>
        <v/>
      </c>
      <c r="EL9" s="130">
        <f t="shared" si="10"/>
        <v>4.3478260869565215</v>
      </c>
      <c r="EM9" s="130" t="str">
        <f t="shared" si="10"/>
        <v/>
      </c>
      <c r="EN9" s="130">
        <f t="shared" si="10"/>
        <v>60.869565217391312</v>
      </c>
      <c r="EO9" s="130" t="str">
        <f t="shared" si="10"/>
        <v/>
      </c>
      <c r="EP9" s="130" t="str">
        <f t="shared" si="10"/>
        <v/>
      </c>
      <c r="EQ9" s="130" t="str">
        <f t="shared" si="10"/>
        <v/>
      </c>
      <c r="ER9" s="130" t="str">
        <f t="shared" si="10"/>
        <v/>
      </c>
      <c r="ES9" s="130" t="str">
        <f t="shared" si="10"/>
        <v/>
      </c>
      <c r="ET9" s="130" t="str">
        <f t="shared" si="10"/>
        <v/>
      </c>
      <c r="EU9" s="130" t="str">
        <f t="shared" si="10"/>
        <v/>
      </c>
      <c r="EV9" s="130" t="str">
        <f t="shared" si="10"/>
        <v/>
      </c>
      <c r="EW9" s="130" t="str">
        <f t="shared" si="10"/>
        <v/>
      </c>
      <c r="EX9" s="130" t="str">
        <f t="shared" si="10"/>
        <v/>
      </c>
      <c r="EY9" s="130" t="str">
        <f t="shared" si="10"/>
        <v/>
      </c>
    </row>
    <row r="10" spans="1:156" s="131" customFormat="1" ht="11.25" customHeight="1" x14ac:dyDescent="0.4">
      <c r="A10" s="127"/>
      <c r="B10" s="127" t="s">
        <v>20</v>
      </c>
      <c r="C10" s="132"/>
      <c r="D10" s="129">
        <f t="shared" ref="D10:AI10" si="11">IF(D7="","",(D7/$C$19)*100)</f>
        <v>1.3333333333333335</v>
      </c>
      <c r="E10" s="130">
        <f t="shared" si="11"/>
        <v>28.000000000000004</v>
      </c>
      <c r="F10" s="130" t="str">
        <f t="shared" si="11"/>
        <v/>
      </c>
      <c r="G10" s="130" t="str">
        <f t="shared" si="11"/>
        <v/>
      </c>
      <c r="H10" s="130" t="str">
        <f t="shared" si="11"/>
        <v/>
      </c>
      <c r="I10" s="130" t="str">
        <f t="shared" si="11"/>
        <v/>
      </c>
      <c r="J10" s="130" t="str">
        <f t="shared" si="11"/>
        <v/>
      </c>
      <c r="K10" s="130" t="str">
        <f t="shared" si="11"/>
        <v/>
      </c>
      <c r="L10" s="130" t="str">
        <f t="shared" si="11"/>
        <v/>
      </c>
      <c r="M10" s="130" t="str">
        <f t="shared" si="11"/>
        <v/>
      </c>
      <c r="N10" s="130" t="str">
        <f t="shared" si="11"/>
        <v/>
      </c>
      <c r="O10" s="130" t="str">
        <f t="shared" si="11"/>
        <v/>
      </c>
      <c r="P10" s="130" t="str">
        <f t="shared" si="11"/>
        <v/>
      </c>
      <c r="Q10" s="130">
        <f t="shared" si="11"/>
        <v>53.333333333333336</v>
      </c>
      <c r="R10" s="130" t="str">
        <f t="shared" si="11"/>
        <v/>
      </c>
      <c r="S10" s="130">
        <f t="shared" si="11"/>
        <v>1.3333333333333335</v>
      </c>
      <c r="T10" s="130" t="str">
        <f t="shared" si="11"/>
        <v/>
      </c>
      <c r="U10" s="130" t="str">
        <f t="shared" si="11"/>
        <v/>
      </c>
      <c r="V10" s="130" t="str">
        <f t="shared" si="11"/>
        <v/>
      </c>
      <c r="W10" s="130" t="str">
        <f t="shared" si="11"/>
        <v/>
      </c>
      <c r="X10" s="130" t="str">
        <f t="shared" si="11"/>
        <v/>
      </c>
      <c r="Y10" s="130" t="str">
        <f t="shared" si="11"/>
        <v/>
      </c>
      <c r="Z10" s="130" t="str">
        <f t="shared" si="11"/>
        <v/>
      </c>
      <c r="AA10" s="130" t="str">
        <f t="shared" si="11"/>
        <v/>
      </c>
      <c r="AB10" s="130" t="str">
        <f t="shared" si="11"/>
        <v/>
      </c>
      <c r="AC10" s="130">
        <f t="shared" si="11"/>
        <v>14.666666666666666</v>
      </c>
      <c r="AD10" s="130" t="str">
        <f t="shared" si="11"/>
        <v/>
      </c>
      <c r="AE10" s="130" t="str">
        <f t="shared" si="11"/>
        <v/>
      </c>
      <c r="AF10" s="130" t="str">
        <f t="shared" si="11"/>
        <v/>
      </c>
      <c r="AG10" s="130" t="str">
        <f t="shared" si="11"/>
        <v/>
      </c>
      <c r="AH10" s="130" t="str">
        <f t="shared" si="11"/>
        <v/>
      </c>
      <c r="AI10" s="130">
        <f t="shared" si="11"/>
        <v>14.666666666666666</v>
      </c>
      <c r="AJ10" s="130" t="str">
        <f t="shared" ref="AJ10:BO10" si="12">IF(AJ7="","",(AJ7/$C$19)*100)</f>
        <v/>
      </c>
      <c r="AK10" s="130" t="str">
        <f t="shared" si="12"/>
        <v/>
      </c>
      <c r="AL10" s="130" t="str">
        <f t="shared" si="12"/>
        <v/>
      </c>
      <c r="AM10" s="130" t="str">
        <f t="shared" si="12"/>
        <v/>
      </c>
      <c r="AN10" s="130" t="str">
        <f t="shared" si="12"/>
        <v/>
      </c>
      <c r="AO10" s="130" t="str">
        <f t="shared" si="12"/>
        <v/>
      </c>
      <c r="AP10" s="130" t="str">
        <f t="shared" si="12"/>
        <v/>
      </c>
      <c r="AQ10" s="130" t="str">
        <f t="shared" si="12"/>
        <v/>
      </c>
      <c r="AR10" s="130" t="str">
        <f t="shared" si="12"/>
        <v/>
      </c>
      <c r="AS10" s="130">
        <f t="shared" si="12"/>
        <v>1.3333333333333335</v>
      </c>
      <c r="AT10" s="130" t="str">
        <f t="shared" si="12"/>
        <v/>
      </c>
      <c r="AU10" s="130" t="str">
        <f t="shared" si="12"/>
        <v/>
      </c>
      <c r="AV10" s="130" t="str">
        <f t="shared" si="12"/>
        <v/>
      </c>
      <c r="AW10" s="130" t="str">
        <f t="shared" si="12"/>
        <v/>
      </c>
      <c r="AX10" s="130" t="str">
        <f t="shared" si="12"/>
        <v/>
      </c>
      <c r="AY10" s="130" t="str">
        <f t="shared" si="12"/>
        <v/>
      </c>
      <c r="AZ10" s="130" t="str">
        <f t="shared" si="12"/>
        <v/>
      </c>
      <c r="BA10" s="130">
        <f t="shared" si="12"/>
        <v>10.666666666666668</v>
      </c>
      <c r="BB10" s="130" t="str">
        <f t="shared" si="12"/>
        <v/>
      </c>
      <c r="BC10" s="130" t="str">
        <f t="shared" si="12"/>
        <v/>
      </c>
      <c r="BD10" s="130">
        <f t="shared" si="12"/>
        <v>13.333333333333334</v>
      </c>
      <c r="BE10" s="130" t="str">
        <f t="shared" si="12"/>
        <v/>
      </c>
      <c r="BF10" s="130" t="str">
        <f t="shared" si="12"/>
        <v/>
      </c>
      <c r="BG10" s="130" t="str">
        <f t="shared" si="12"/>
        <v/>
      </c>
      <c r="BH10" s="130" t="str">
        <f t="shared" si="12"/>
        <v/>
      </c>
      <c r="BI10" s="130" t="str">
        <f t="shared" si="12"/>
        <v/>
      </c>
      <c r="BJ10" s="130" t="str">
        <f t="shared" si="12"/>
        <v/>
      </c>
      <c r="BK10" s="130" t="str">
        <f t="shared" si="12"/>
        <v/>
      </c>
      <c r="BL10" s="130" t="str">
        <f t="shared" si="12"/>
        <v/>
      </c>
      <c r="BM10" s="130">
        <f t="shared" si="12"/>
        <v>4</v>
      </c>
      <c r="BN10" s="130" t="str">
        <f t="shared" si="12"/>
        <v/>
      </c>
      <c r="BO10" s="130" t="str">
        <f t="shared" si="12"/>
        <v/>
      </c>
      <c r="BP10" s="130" t="str">
        <f t="shared" ref="BP10:CU10" si="13">IF(BP7="","",(BP7/$C$19)*100)</f>
        <v/>
      </c>
      <c r="BQ10" s="130" t="str">
        <f t="shared" si="13"/>
        <v/>
      </c>
      <c r="BR10" s="130" t="str">
        <f t="shared" si="13"/>
        <v/>
      </c>
      <c r="BS10" s="130" t="str">
        <f t="shared" si="13"/>
        <v/>
      </c>
      <c r="BT10" s="130" t="str">
        <f t="shared" si="13"/>
        <v/>
      </c>
      <c r="BU10" s="130" t="str">
        <f t="shared" si="13"/>
        <v/>
      </c>
      <c r="BV10" s="130" t="str">
        <f t="shared" si="13"/>
        <v/>
      </c>
      <c r="BW10" s="130" t="str">
        <f t="shared" si="13"/>
        <v/>
      </c>
      <c r="BX10" s="130" t="str">
        <f t="shared" si="13"/>
        <v/>
      </c>
      <c r="BY10" s="130" t="str">
        <f t="shared" si="13"/>
        <v/>
      </c>
      <c r="BZ10" s="130" t="str">
        <f t="shared" si="13"/>
        <v/>
      </c>
      <c r="CA10" s="130">
        <f t="shared" si="13"/>
        <v>14.666666666666666</v>
      </c>
      <c r="CB10" s="130">
        <f t="shared" si="13"/>
        <v>2.666666666666667</v>
      </c>
      <c r="CC10" s="130" t="str">
        <f t="shared" si="13"/>
        <v/>
      </c>
      <c r="CD10" s="130" t="str">
        <f t="shared" si="13"/>
        <v/>
      </c>
      <c r="CE10" s="130" t="str">
        <f t="shared" si="13"/>
        <v/>
      </c>
      <c r="CF10" s="130" t="str">
        <f t="shared" si="13"/>
        <v/>
      </c>
      <c r="CG10" s="130" t="str">
        <f t="shared" si="13"/>
        <v/>
      </c>
      <c r="CH10" s="130" t="str">
        <f t="shared" si="13"/>
        <v/>
      </c>
      <c r="CI10" s="130" t="str">
        <f t="shared" si="13"/>
        <v/>
      </c>
      <c r="CJ10" s="130" t="str">
        <f t="shared" si="13"/>
        <v/>
      </c>
      <c r="CK10" s="130">
        <f t="shared" si="13"/>
        <v>10.666666666666668</v>
      </c>
      <c r="CL10" s="130">
        <f t="shared" si="13"/>
        <v>12</v>
      </c>
      <c r="CM10" s="130" t="str">
        <f t="shared" si="13"/>
        <v/>
      </c>
      <c r="CN10" s="130" t="str">
        <f t="shared" si="13"/>
        <v/>
      </c>
      <c r="CO10" s="130" t="str">
        <f t="shared" si="13"/>
        <v/>
      </c>
      <c r="CP10" s="130" t="str">
        <f t="shared" si="13"/>
        <v/>
      </c>
      <c r="CQ10" s="130">
        <f t="shared" si="13"/>
        <v>37.333333333333336</v>
      </c>
      <c r="CR10" s="130">
        <f t="shared" si="13"/>
        <v>1.3333333333333335</v>
      </c>
      <c r="CS10" s="130" t="str">
        <f t="shared" si="13"/>
        <v/>
      </c>
      <c r="CT10" s="130" t="str">
        <f t="shared" si="13"/>
        <v/>
      </c>
      <c r="CU10" s="130" t="str">
        <f t="shared" si="13"/>
        <v/>
      </c>
      <c r="CV10" s="130" t="str">
        <f t="shared" ref="CV10:EA10" si="14">IF(CV7="","",(CV7/$C$19)*100)</f>
        <v/>
      </c>
      <c r="CW10" s="130" t="str">
        <f t="shared" si="14"/>
        <v/>
      </c>
      <c r="CX10" s="130" t="str">
        <f t="shared" si="14"/>
        <v/>
      </c>
      <c r="CY10" s="130" t="str">
        <f t="shared" si="14"/>
        <v/>
      </c>
      <c r="CZ10" s="130" t="str">
        <f t="shared" si="14"/>
        <v/>
      </c>
      <c r="DA10" s="130" t="str">
        <f t="shared" si="14"/>
        <v/>
      </c>
      <c r="DB10" s="130" t="str">
        <f t="shared" si="14"/>
        <v/>
      </c>
      <c r="DC10" s="130" t="str">
        <f t="shared" si="14"/>
        <v/>
      </c>
      <c r="DD10" s="130" t="str">
        <f t="shared" si="14"/>
        <v/>
      </c>
      <c r="DE10" s="130" t="str">
        <f t="shared" si="14"/>
        <v/>
      </c>
      <c r="DF10" s="130" t="str">
        <f t="shared" si="14"/>
        <v/>
      </c>
      <c r="DG10" s="130" t="str">
        <f t="shared" si="14"/>
        <v/>
      </c>
      <c r="DH10" s="130" t="str">
        <f t="shared" si="14"/>
        <v/>
      </c>
      <c r="DI10" s="130" t="str">
        <f t="shared" si="14"/>
        <v/>
      </c>
      <c r="DJ10" s="130" t="str">
        <f t="shared" si="14"/>
        <v/>
      </c>
      <c r="DK10" s="130" t="str">
        <f t="shared" si="14"/>
        <v/>
      </c>
      <c r="DL10" s="130" t="str">
        <f t="shared" si="14"/>
        <v/>
      </c>
      <c r="DM10" s="130" t="str">
        <f t="shared" si="14"/>
        <v/>
      </c>
      <c r="DN10" s="130" t="str">
        <f t="shared" si="14"/>
        <v/>
      </c>
      <c r="DO10" s="130" t="str">
        <f t="shared" si="14"/>
        <v/>
      </c>
      <c r="DP10" s="130" t="str">
        <f t="shared" si="14"/>
        <v/>
      </c>
      <c r="DQ10" s="130" t="str">
        <f t="shared" si="14"/>
        <v/>
      </c>
      <c r="DR10" s="130">
        <f t="shared" si="14"/>
        <v>1.3333333333333335</v>
      </c>
      <c r="DS10" s="130" t="str">
        <f t="shared" si="14"/>
        <v/>
      </c>
      <c r="DT10" s="130" t="str">
        <f t="shared" si="14"/>
        <v/>
      </c>
      <c r="DU10" s="130" t="str">
        <f t="shared" si="14"/>
        <v/>
      </c>
      <c r="DV10" s="130" t="str">
        <f t="shared" si="14"/>
        <v/>
      </c>
      <c r="DW10" s="130" t="str">
        <f t="shared" si="14"/>
        <v/>
      </c>
      <c r="DX10" s="130" t="str">
        <f t="shared" si="14"/>
        <v/>
      </c>
      <c r="DY10" s="130" t="str">
        <f t="shared" si="14"/>
        <v/>
      </c>
      <c r="DZ10" s="130" t="str">
        <f t="shared" si="14"/>
        <v/>
      </c>
      <c r="EA10" s="130" t="str">
        <f t="shared" si="14"/>
        <v/>
      </c>
      <c r="EB10" s="130" t="str">
        <f t="shared" ref="EB10:EY10" si="15">IF(EB7="","",(EB7/$C$19)*100)</f>
        <v/>
      </c>
      <c r="EC10" s="130" t="str">
        <f t="shared" si="15"/>
        <v/>
      </c>
      <c r="ED10" s="130" t="str">
        <f t="shared" si="15"/>
        <v/>
      </c>
      <c r="EE10" s="130">
        <f t="shared" si="15"/>
        <v>1.3333333333333335</v>
      </c>
      <c r="EF10" s="130" t="str">
        <f t="shared" si="15"/>
        <v/>
      </c>
      <c r="EG10" s="130" t="str">
        <f t="shared" si="15"/>
        <v/>
      </c>
      <c r="EH10" s="130" t="str">
        <f t="shared" si="15"/>
        <v/>
      </c>
      <c r="EI10" s="130" t="str">
        <f t="shared" si="15"/>
        <v/>
      </c>
      <c r="EJ10" s="130" t="str">
        <f t="shared" si="15"/>
        <v/>
      </c>
      <c r="EK10" s="130" t="str">
        <f t="shared" si="15"/>
        <v/>
      </c>
      <c r="EL10" s="130">
        <f t="shared" si="15"/>
        <v>4</v>
      </c>
      <c r="EM10" s="130" t="str">
        <f t="shared" si="15"/>
        <v/>
      </c>
      <c r="EN10" s="130">
        <f t="shared" si="15"/>
        <v>56.000000000000007</v>
      </c>
      <c r="EO10" s="130" t="str">
        <f t="shared" si="15"/>
        <v/>
      </c>
      <c r="EP10" s="130" t="str">
        <f t="shared" si="15"/>
        <v/>
      </c>
      <c r="EQ10" s="130" t="str">
        <f t="shared" si="15"/>
        <v/>
      </c>
      <c r="ER10" s="130" t="str">
        <f t="shared" si="15"/>
        <v/>
      </c>
      <c r="ES10" s="130" t="str">
        <f t="shared" si="15"/>
        <v/>
      </c>
      <c r="ET10" s="130" t="str">
        <f t="shared" si="15"/>
        <v/>
      </c>
      <c r="EU10" s="130" t="str">
        <f t="shared" si="15"/>
        <v/>
      </c>
      <c r="EV10" s="130" t="str">
        <f t="shared" si="15"/>
        <v/>
      </c>
      <c r="EW10" s="130" t="str">
        <f t="shared" si="15"/>
        <v/>
      </c>
      <c r="EX10" s="130" t="str">
        <f t="shared" si="15"/>
        <v/>
      </c>
      <c r="EY10" s="130" t="str">
        <f t="shared" si="15"/>
        <v/>
      </c>
    </row>
    <row r="11" spans="1:156" s="139" customFormat="1" x14ac:dyDescent="0.4">
      <c r="A11" s="137"/>
      <c r="B11" s="127" t="s">
        <v>37</v>
      </c>
      <c r="C11" s="138">
        <f>IF(C17="","",AVERAGE('ENTRY '!Q2:Q81))</f>
        <v>1.4927536231884058</v>
      </c>
      <c r="D11" s="138">
        <f>IF(D7="","",AVERAGE('ENTRY '!R2:R81))</f>
        <v>1</v>
      </c>
      <c r="E11" s="138">
        <f>IF(E7="","",AVERAGE('ENTRY '!S2:S81))</f>
        <v>1.8095238095238095</v>
      </c>
      <c r="F11" s="138" t="str">
        <f>IF(F7="","",AVERAGE('ENTRY '!T2:T81))</f>
        <v/>
      </c>
      <c r="G11" s="138" t="str">
        <f>IF(G7="","",AVERAGE('ENTRY '!U2:U81))</f>
        <v/>
      </c>
      <c r="H11" s="138" t="str">
        <f>IF(H7="","",AVERAGE('ENTRY '!V2:V81))</f>
        <v/>
      </c>
      <c r="I11" s="138" t="str">
        <f>IF(I7="","",AVERAGE('ENTRY '!W2:W81))</f>
        <v/>
      </c>
      <c r="J11" s="138" t="str">
        <f>IF(J7="","",AVERAGE('ENTRY '!X2:X81))</f>
        <v/>
      </c>
      <c r="K11" s="138" t="str">
        <f>IF(K7="","",AVERAGE('ENTRY '!Y2:Y81))</f>
        <v/>
      </c>
      <c r="L11" s="138" t="str">
        <f>IF(L7="","",AVERAGE('ENTRY '!Z2:Z81))</f>
        <v/>
      </c>
      <c r="M11" s="138" t="str">
        <f>IF(M7="","",AVERAGE('ENTRY '!AA2:AA81))</f>
        <v/>
      </c>
      <c r="N11" s="138" t="str">
        <f>IF(N7="","",AVERAGE('ENTRY '!AB2:AB81))</f>
        <v/>
      </c>
      <c r="O11" s="138" t="str">
        <f>IF(O7="","",AVERAGE('ENTRY '!AC2:AC81))</f>
        <v/>
      </c>
      <c r="P11" s="138" t="str">
        <f>IF(P7="","",AVERAGE('ENTRY '!AD2:AD81))</f>
        <v/>
      </c>
      <c r="Q11" s="138">
        <f>IF(Q7="","",AVERAGE('ENTRY '!AE2:AE81))</f>
        <v>1.375</v>
      </c>
      <c r="R11" s="138" t="str">
        <f>IF(R7="","",AVERAGE('ENTRY '!AF2:AF81))</f>
        <v/>
      </c>
      <c r="S11" s="138">
        <f>IF(S7="","",AVERAGE('ENTRY '!AG2:AG81))</f>
        <v>1</v>
      </c>
      <c r="T11" s="138" t="str">
        <f>IF(T7="","",AVERAGE('ENTRY '!AH2:AH81))</f>
        <v/>
      </c>
      <c r="U11" s="138" t="str">
        <f>IF(U7="","",AVERAGE('ENTRY '!AI2:AI81))</f>
        <v/>
      </c>
      <c r="V11" s="138" t="str">
        <f>IF(V7="","",AVERAGE('ENTRY '!AJ2:AJ81))</f>
        <v/>
      </c>
      <c r="W11" s="138" t="str">
        <f>IF(W7="","",AVERAGE('ENTRY '!AK2:AK81))</f>
        <v/>
      </c>
      <c r="X11" s="138" t="str">
        <f>IF(X7="","",AVERAGE('ENTRY '!AL2:AL81))</f>
        <v/>
      </c>
      <c r="Y11" s="138" t="str">
        <f>IF(Y7="","",AVERAGE('ENTRY '!AM2:AM81))</f>
        <v/>
      </c>
      <c r="Z11" s="138" t="str">
        <f>IF(Z7="","",AVERAGE('ENTRY '!AN2:AN81))</f>
        <v/>
      </c>
      <c r="AA11" s="138" t="str">
        <f>IF(AA7="","",AVERAGE('ENTRY '!AO2:AO81))</f>
        <v/>
      </c>
      <c r="AB11" s="138" t="str">
        <f>IF(AB7="","",AVERAGE('ENTRY '!AP2:AP81))</f>
        <v/>
      </c>
      <c r="AC11" s="138">
        <f>IF(AC7="","",AVERAGE('ENTRY '!AQ2:AQ81))</f>
        <v>1.1818181818181819</v>
      </c>
      <c r="AD11" s="138" t="str">
        <f>IF(AD7="","",AVERAGE('ENTRY '!AR2:AR81))</f>
        <v/>
      </c>
      <c r="AE11" s="138" t="str">
        <f>IF(AE7="","",AVERAGE('ENTRY '!AS2:AS81))</f>
        <v/>
      </c>
      <c r="AF11" s="138" t="str">
        <f>IF(AF7="","",AVERAGE('ENTRY '!AT2:AT81))</f>
        <v/>
      </c>
      <c r="AG11" s="138" t="str">
        <f>IF(AG7="","",AVERAGE('ENTRY '!AU2:AU81))</f>
        <v/>
      </c>
      <c r="AH11" s="138" t="str">
        <f>IF(AH7="","",AVERAGE('ENTRY '!AV2:AV81))</f>
        <v/>
      </c>
      <c r="AI11" s="138">
        <f>IF(AI7="","",AVERAGE('ENTRY '!AW2:AW81))</f>
        <v>1.1818181818181819</v>
      </c>
      <c r="AJ11" s="138" t="str">
        <f>IF(AJ7="","",AVERAGE('ENTRY '!AX2:AX81))</f>
        <v/>
      </c>
      <c r="AK11" s="138" t="str">
        <f>IF(AK7="","",AVERAGE('ENTRY '!AY2:AY81))</f>
        <v/>
      </c>
      <c r="AL11" s="138" t="str">
        <f>IF(AL7="","",AVERAGE('ENTRY '!AZ2:AZ81))</f>
        <v/>
      </c>
      <c r="AM11" s="138" t="str">
        <f>IF(AM7="","",AVERAGE('ENTRY '!BA2:BA81))</f>
        <v/>
      </c>
      <c r="AN11" s="138" t="str">
        <f>IF(AN7="","",AVERAGE('ENTRY '!BB2:BB81))</f>
        <v/>
      </c>
      <c r="AO11" s="138" t="str">
        <f>IF(AO7="","",AVERAGE('ENTRY '!BC2:BC81))</f>
        <v/>
      </c>
      <c r="AP11" s="138" t="str">
        <f>IF(AP7="","",AVERAGE('ENTRY '!BD2:BD81))</f>
        <v/>
      </c>
      <c r="AQ11" s="138" t="str">
        <f>IF(AQ7="","",AVERAGE('ENTRY '!BE2:BE81))</f>
        <v/>
      </c>
      <c r="AR11" s="138" t="str">
        <f>IF(AR7="","",AVERAGE('ENTRY '!BF2:BF81))</f>
        <v/>
      </c>
      <c r="AS11" s="138">
        <f>IF(AS7="","",AVERAGE('ENTRY '!BG2:BG81))</f>
        <v>1</v>
      </c>
      <c r="AT11" s="138" t="str">
        <f>IF(AT7="","",AVERAGE('ENTRY '!BH2:BH81))</f>
        <v/>
      </c>
      <c r="AU11" s="138" t="str">
        <f>IF(AU7="","",AVERAGE('ENTRY '!BI2:BI81))</f>
        <v/>
      </c>
      <c r="AV11" s="138" t="str">
        <f>IF(AV7="","",AVERAGE('ENTRY '!BJ2:BJ81))</f>
        <v/>
      </c>
      <c r="AW11" s="138" t="str">
        <f>IF(AW7="","",AVERAGE('ENTRY '!BK2:BK81))</f>
        <v/>
      </c>
      <c r="AX11" s="138" t="str">
        <f>IF(AX7="","",AVERAGE('ENTRY '!BL2:BL81))</f>
        <v/>
      </c>
      <c r="AY11" s="138" t="str">
        <f>IF(AY7="","",AVERAGE('ENTRY '!BM2:BM81))</f>
        <v/>
      </c>
      <c r="AZ11" s="138" t="str">
        <f>IF(AZ7="","",AVERAGE('ENTRY '!BN2:BN81))</f>
        <v/>
      </c>
      <c r="BA11" s="138">
        <f>IF(BA7="","",AVERAGE('ENTRY '!BO2:BO81))</f>
        <v>1.125</v>
      </c>
      <c r="BB11" s="138" t="str">
        <f>IF(BB7="","",AVERAGE('ENTRY '!BP2:BP81))</f>
        <v/>
      </c>
      <c r="BC11" s="138" t="str">
        <f>IF(BC7="","",AVERAGE('ENTRY '!BQ2:BQ81))</f>
        <v/>
      </c>
      <c r="BD11" s="138">
        <f>IF(BD7="","",AVERAGE('ENTRY '!BR2:BR81))</f>
        <v>1</v>
      </c>
      <c r="BE11" s="138" t="str">
        <f>IF(BE7="","",AVERAGE('ENTRY '!BS2:BS81))</f>
        <v/>
      </c>
      <c r="BF11" s="138" t="str">
        <f>IF(BF7="","",AVERAGE('ENTRY '!BT2:BT81))</f>
        <v/>
      </c>
      <c r="BG11" s="138" t="str">
        <f>IF(BG7="","",AVERAGE('ENTRY '!BU2:BU81))</f>
        <v/>
      </c>
      <c r="BH11" s="138" t="str">
        <f>IF(BH7="","",AVERAGE('ENTRY '!BV2:BV81))</f>
        <v/>
      </c>
      <c r="BI11" s="138" t="str">
        <f>IF(BI7="","",AVERAGE('ENTRY '!BW2:BW81))</f>
        <v/>
      </c>
      <c r="BJ11" s="138" t="str">
        <f>IF(BJ7="","",AVERAGE('ENTRY '!BX2:BX81))</f>
        <v/>
      </c>
      <c r="BK11" s="138" t="str">
        <f>IF(BK7="","",AVERAGE('ENTRY '!BY2:BY81))</f>
        <v/>
      </c>
      <c r="BL11" s="138" t="str">
        <f>IF(BL7="","",AVERAGE('ENTRY '!BZ2:BZ81))</f>
        <v/>
      </c>
      <c r="BM11" s="138">
        <f>IF(BM7="","",AVERAGE('ENTRY '!CA2:CA81))</f>
        <v>1</v>
      </c>
      <c r="BN11" s="138" t="str">
        <f>IF(BN7="","",AVERAGE('ENTRY '!CB2:CB81))</f>
        <v/>
      </c>
      <c r="BO11" s="138" t="str">
        <f>IF(BO7="","",AVERAGE('ENTRY '!CC2:CC81))</f>
        <v/>
      </c>
      <c r="BP11" s="138" t="str">
        <f>IF(BP7="","",AVERAGE('ENTRY '!CD2:CD81))</f>
        <v/>
      </c>
      <c r="BQ11" s="138" t="str">
        <f>IF(BQ7="","",AVERAGE('ENTRY '!CE2:CE81))</f>
        <v/>
      </c>
      <c r="BR11" s="138" t="str">
        <f>IF(BR7="","",AVERAGE('ENTRY '!CF2:CF81))</f>
        <v/>
      </c>
      <c r="BS11" s="138" t="str">
        <f>IF(BS7="","",AVERAGE('ENTRY '!CG2:CG81))</f>
        <v/>
      </c>
      <c r="BT11" s="138" t="str">
        <f>IF(BT7="","",AVERAGE('ENTRY '!CH2:CH81))</f>
        <v/>
      </c>
      <c r="BU11" s="138" t="str">
        <f>IF(BU7="","",AVERAGE('ENTRY '!CI2:CI81))</f>
        <v/>
      </c>
      <c r="BV11" s="138" t="str">
        <f>IF(BV7="","",AVERAGE('ENTRY '!CJ2:CJ81))</f>
        <v/>
      </c>
      <c r="BW11" s="138" t="str">
        <f>IF(BW7="","",AVERAGE('ENTRY '!CK2:CK81))</f>
        <v/>
      </c>
      <c r="BX11" s="138" t="str">
        <f>IF(BX7="","",AVERAGE('ENTRY '!CL2:CL81))</f>
        <v/>
      </c>
      <c r="BY11" s="138" t="str">
        <f>IF(BY7="","",AVERAGE('ENTRY '!CM2:CM81))</f>
        <v/>
      </c>
      <c r="BZ11" s="138" t="str">
        <f>IF(BZ7="","",AVERAGE('ENTRY '!CN2:CN81))</f>
        <v/>
      </c>
      <c r="CA11" s="138">
        <f>IF(CA7="","",AVERAGE('ENTRY '!CO2:CO81))</f>
        <v>1.0909090909090908</v>
      </c>
      <c r="CB11" s="138">
        <f>IF(CB7="","",AVERAGE('ENTRY '!CP2:CP81))</f>
        <v>1</v>
      </c>
      <c r="CC11" s="138" t="str">
        <f>IF(CC7="","",AVERAGE('ENTRY '!CQ2:CQ81))</f>
        <v/>
      </c>
      <c r="CD11" s="138" t="str">
        <f>IF(CD7="","",AVERAGE('ENTRY '!CR2:CR81))</f>
        <v/>
      </c>
      <c r="CE11" s="138" t="str">
        <f>IF(CE7="","",AVERAGE('ENTRY '!CS2:CS81))</f>
        <v/>
      </c>
      <c r="CF11" s="138" t="str">
        <f>IF(CF7="","",AVERAGE('ENTRY '!CT2:CT81))</f>
        <v/>
      </c>
      <c r="CG11" s="138" t="str">
        <f>IF(CG7="","",AVERAGE('ENTRY '!CU2:CU81))</f>
        <v/>
      </c>
      <c r="CH11" s="138" t="str">
        <f>IF(CH7="","",AVERAGE('ENTRY '!CV2:CV81))</f>
        <v/>
      </c>
      <c r="CI11" s="138" t="str">
        <f>IF(CI7="","",AVERAGE('ENTRY '!CW2:CW81))</f>
        <v/>
      </c>
      <c r="CJ11" s="138" t="str">
        <f>IF(CJ7="","",AVERAGE('ENTRY '!CX2:CX81))</f>
        <v/>
      </c>
      <c r="CK11" s="138">
        <f>IF(CK7="","",AVERAGE('ENTRY '!CY2:CY81))</f>
        <v>1</v>
      </c>
      <c r="CL11" s="138">
        <f>IF(CL7="","",AVERAGE('ENTRY '!CZ2:CZ81))</f>
        <v>1</v>
      </c>
      <c r="CM11" s="138" t="str">
        <f>IF(CM7="","",AVERAGE('ENTRY '!DA2:DA81))</f>
        <v/>
      </c>
      <c r="CN11" s="138" t="str">
        <f>IF(CN7="","",AVERAGE('ENTRY '!DB2:DB81))</f>
        <v/>
      </c>
      <c r="CO11" s="138" t="str">
        <f>IF(CO7="","",AVERAGE('ENTRY '!DC2:DC81))</f>
        <v/>
      </c>
      <c r="CP11" s="138" t="str">
        <f>IF(CP7="","",AVERAGE('ENTRY '!DD2:DD81))</f>
        <v/>
      </c>
      <c r="CQ11" s="138">
        <f>IF(CQ7="","",AVERAGE('ENTRY '!DE2:DE81))</f>
        <v>1.1071428571428572</v>
      </c>
      <c r="CR11" s="138">
        <f>IF(CR7="","",AVERAGE('ENTRY '!DF2:DF81))</f>
        <v>1</v>
      </c>
      <c r="CS11" s="138" t="str">
        <f>IF(CS7="","",AVERAGE('ENTRY '!DG2:DG81))</f>
        <v/>
      </c>
      <c r="CT11" s="138" t="str">
        <f>IF(CT7="","",AVERAGE('ENTRY '!DH2:DH81))</f>
        <v/>
      </c>
      <c r="CU11" s="138" t="str">
        <f>IF(CU7="","",AVERAGE('ENTRY '!DI2:DI81))</f>
        <v/>
      </c>
      <c r="CV11" s="138" t="str">
        <f>IF(CV7="","",AVERAGE('ENTRY '!DJ2:DJ81))</f>
        <v/>
      </c>
      <c r="CW11" s="138" t="str">
        <f>IF(CW7="","",AVERAGE('ENTRY '!DK2:DK81))</f>
        <v/>
      </c>
      <c r="CX11" s="138" t="str">
        <f>IF(CX7="","",AVERAGE('ENTRY '!DL2:DL81))</f>
        <v/>
      </c>
      <c r="CY11" s="138" t="str">
        <f>IF(CY7="","",AVERAGE('ENTRY '!DM2:DM81))</f>
        <v/>
      </c>
      <c r="CZ11" s="138" t="str">
        <f>IF(CZ7="","",AVERAGE('ENTRY '!DN2:DN81))</f>
        <v/>
      </c>
      <c r="DA11" s="138" t="str">
        <f>IF(DA7="","",AVERAGE('ENTRY '!DO2:DO81))</f>
        <v/>
      </c>
      <c r="DB11" s="138" t="str">
        <f>IF(DB7="","",AVERAGE('ENTRY '!DP2:DP81))</f>
        <v/>
      </c>
      <c r="DC11" s="138" t="str">
        <f>IF(DC7="","",AVERAGE('ENTRY '!DQ2:DQ81))</f>
        <v/>
      </c>
      <c r="DD11" s="138" t="str">
        <f>IF(DD7="","",AVERAGE('ENTRY '!DR2:DR81))</f>
        <v/>
      </c>
      <c r="DE11" s="138" t="str">
        <f>IF(DE7="","",AVERAGE('ENTRY '!DS2:DS81))</f>
        <v/>
      </c>
      <c r="DF11" s="138" t="str">
        <f>IF(DF7="","",AVERAGE('ENTRY '!DT2:DT81))</f>
        <v/>
      </c>
      <c r="DG11" s="138" t="str">
        <f>IF(DG7="","",AVERAGE('ENTRY '!DU2:DU81))</f>
        <v/>
      </c>
      <c r="DH11" s="138" t="str">
        <f>IF(DH7="","",AVERAGE('ENTRY '!DV2:DV81))</f>
        <v/>
      </c>
      <c r="DI11" s="138" t="str">
        <f>IF(DI7="","",AVERAGE('ENTRY '!DW2:DW81))</f>
        <v/>
      </c>
      <c r="DJ11" s="138" t="str">
        <f>IF(DJ7="","",AVERAGE('ENTRY '!DX2:DX81))</f>
        <v/>
      </c>
      <c r="DK11" s="138" t="str">
        <f>IF(DK7="","",AVERAGE('ENTRY '!DY2:DY81))</f>
        <v/>
      </c>
      <c r="DL11" s="138" t="str">
        <f>IF(DL7="","",AVERAGE('ENTRY '!DZ2:DZ81))</f>
        <v/>
      </c>
      <c r="DM11" s="138" t="str">
        <f>IF(DM7="","",AVERAGE('ENTRY '!EA2:EA81))</f>
        <v/>
      </c>
      <c r="DN11" s="138" t="str">
        <f>IF(DN7="","",AVERAGE('ENTRY '!EB2:EB81))</f>
        <v/>
      </c>
      <c r="DO11" s="138" t="str">
        <f>IF(DO7="","",AVERAGE('ENTRY '!EC2:EC81))</f>
        <v/>
      </c>
      <c r="DP11" s="138" t="str">
        <f>IF(DP7="","",AVERAGE('ENTRY '!ED2:ED81))</f>
        <v/>
      </c>
      <c r="DQ11" s="138" t="str">
        <f>IF(DQ7="","",AVERAGE('ENTRY '!EE2:EE81))</f>
        <v/>
      </c>
      <c r="DR11" s="138">
        <f>IF(DR7="","",AVERAGE('ENTRY '!EF2:EF81))</f>
        <v>1</v>
      </c>
      <c r="DS11" s="138" t="str">
        <f>IF(DS7="","",AVERAGE('ENTRY '!EG2:EG81))</f>
        <v/>
      </c>
      <c r="DT11" s="138" t="str">
        <f>IF(DT7="","",AVERAGE('ENTRY '!EH2:EH81))</f>
        <v/>
      </c>
      <c r="DU11" s="138" t="str">
        <f>IF(DU7="","",AVERAGE('ENTRY '!EI2:EI81))</f>
        <v/>
      </c>
      <c r="DV11" s="138" t="str">
        <f>IF(DV7="","",AVERAGE('ENTRY '!EJ2:EJ81))</f>
        <v/>
      </c>
      <c r="DW11" s="138" t="str">
        <f>IF(DW7="","",AVERAGE('ENTRY '!EK2:EK81))</f>
        <v/>
      </c>
      <c r="DX11" s="138" t="str">
        <f>IF(DX7="","",AVERAGE('ENTRY '!EL2:EL81))</f>
        <v/>
      </c>
      <c r="DY11" s="138" t="str">
        <f>IF(DY7="","",AVERAGE('ENTRY '!EM2:EM81))</f>
        <v/>
      </c>
      <c r="DZ11" s="138" t="str">
        <f>IF(DZ7="","",AVERAGE('ENTRY '!EN2:EN81))</f>
        <v/>
      </c>
      <c r="EA11" s="138" t="str">
        <f>IF(EA7="","",AVERAGE('ENTRY '!EO2:EO81))</f>
        <v/>
      </c>
      <c r="EB11" s="138" t="str">
        <f>IF(EB7="","",AVERAGE('ENTRY '!EP2:EP81))</f>
        <v/>
      </c>
      <c r="EC11" s="138" t="str">
        <f>IF(EC7="","",AVERAGE('ENTRY '!EQ2:EQ81))</f>
        <v/>
      </c>
      <c r="ED11" s="138" t="str">
        <f>IF(ED7="","",AVERAGE('ENTRY '!ER2:ER81))</f>
        <v/>
      </c>
      <c r="EE11" s="138">
        <f>IF(EE7="","",AVERAGE('ENTRY '!ES2:ES81))</f>
        <v>1</v>
      </c>
      <c r="EF11" s="138" t="str">
        <f>IF(EF7="","",AVERAGE('ENTRY '!ET2:ET81))</f>
        <v/>
      </c>
      <c r="EG11" s="138" t="str">
        <f>IF(EG7="","",AVERAGE('ENTRY '!EU2:EU81))</f>
        <v/>
      </c>
      <c r="EH11" s="138" t="str">
        <f>IF(EH7="","",AVERAGE('ENTRY '!EV2:EV81))</f>
        <v/>
      </c>
      <c r="EI11" s="138" t="str">
        <f>IF(EI7="","",AVERAGE('ENTRY '!EW2:EW81))</f>
        <v/>
      </c>
      <c r="EJ11" s="138" t="str">
        <f>IF(EJ7="","",AVERAGE('ENTRY '!EX2:EX81))</f>
        <v/>
      </c>
      <c r="EK11" s="138" t="str">
        <f>IF(EK7="","",AVERAGE('ENTRY '!EY2:EY81))</f>
        <v/>
      </c>
      <c r="EL11" s="138">
        <f>IF(EL7="","",AVERAGE('ENTRY '!EZ2:EZ81))</f>
        <v>1.6666666666666667</v>
      </c>
      <c r="EM11" s="138" t="str">
        <f>IF(EM7="","",AVERAGE('ENTRY '!FA2:FA81))</f>
        <v/>
      </c>
      <c r="EN11" s="138">
        <f>IF(EN7="","",AVERAGE('ENTRY '!FB2:FB81))</f>
        <v>1.0952380952380953</v>
      </c>
      <c r="EO11" s="138" t="str">
        <f>IF(EO7="","",AVERAGE('ENTRY '!FC2:FC81))</f>
        <v/>
      </c>
      <c r="EP11" s="138" t="str">
        <f>IF(EP7="","",AVERAGE('ENTRY '!FD2:FD81))</f>
        <v/>
      </c>
      <c r="EQ11" s="138" t="str">
        <f>IF(EQ7="","",AVERAGE('ENTRY '!FE2:FE81))</f>
        <v/>
      </c>
      <c r="ER11" s="138" t="str">
        <f>IF(ER7="","",AVERAGE('ENTRY '!FF2:FF81))</f>
        <v/>
      </c>
      <c r="ES11" s="138" t="str">
        <f>IF(ES7="","",AVERAGE('ENTRY '!FG2:FG81))</f>
        <v/>
      </c>
      <c r="ET11" s="138" t="str">
        <f>IF(ET7="","",AVERAGE('ENTRY '!FH2:FH81))</f>
        <v/>
      </c>
      <c r="EU11" s="138" t="str">
        <f>IF(EU7="","",AVERAGE('ENTRY '!FI2:FI81))</f>
        <v/>
      </c>
      <c r="EV11" s="138" t="str">
        <f>IF(EV7="","",AVERAGE('ENTRY '!FJ2:FJ81))</f>
        <v/>
      </c>
      <c r="EW11" s="138" t="str">
        <f>IF(EW7="","",AVERAGE('ENTRY '!FK2:FK81))</f>
        <v/>
      </c>
      <c r="EX11" s="138" t="str">
        <f>IF(EX7="","",AVERAGE('ENTRY '!FL2:FL81))</f>
        <v/>
      </c>
      <c r="EY11" s="138" t="str">
        <f>IF(EY7="","",AVERAGE('ENTRY '!FM2:FM81))</f>
        <v/>
      </c>
    </row>
    <row r="12" spans="1:156" s="147" customFormat="1" x14ac:dyDescent="0.4">
      <c r="A12" s="144"/>
      <c r="B12" s="145" t="s">
        <v>35</v>
      </c>
      <c r="C12" s="146"/>
      <c r="D12" s="146">
        <f>IF(COUNTIF('ENTRY '!R2:R81,"v")=0,"",(COUNTIF('ENTRY '!R2:R81,"v")))</f>
        <v>13</v>
      </c>
      <c r="E12" s="146">
        <f>IF(COUNTIF('ENTRY '!S2:S81,"v")=0,"",(COUNTIF('ENTRY '!S2:S81,"v")))</f>
        <v>16</v>
      </c>
      <c r="F12" s="146" t="str">
        <f>IF(COUNTIF('ENTRY '!T2:T81,"v")=0,"",(COUNTIF('ENTRY '!T2:T81,"v")))</f>
        <v/>
      </c>
      <c r="G12" s="146" t="str">
        <f>IF(COUNTIF('ENTRY '!U2:U81,"v")=0,"",(COUNTIF('ENTRY '!U2:U81,"v")))</f>
        <v/>
      </c>
      <c r="H12" s="146" t="str">
        <f>IF(COUNTIF('ENTRY '!V2:V81,"v")=0,"",(COUNTIF('ENTRY '!V2:V81,"v")))</f>
        <v/>
      </c>
      <c r="I12" s="146" t="str">
        <f>IF(COUNTIF('ENTRY '!W2:W81,"v")=0,"",(COUNTIF('ENTRY '!W2:W81,"v")))</f>
        <v/>
      </c>
      <c r="J12" s="146" t="str">
        <f>IF(COUNTIF('ENTRY '!X2:X81,"v")=0,"",(COUNTIF('ENTRY '!X2:X81,"v")))</f>
        <v/>
      </c>
      <c r="K12" s="146" t="str">
        <f>IF(COUNTIF('ENTRY '!Y2:Y81,"v")=0,"",(COUNTIF('ENTRY '!Y2:Y81,"v")))</f>
        <v/>
      </c>
      <c r="L12" s="146" t="str">
        <f>IF(COUNTIF('ENTRY '!Z2:Z81,"v")=0,"",(COUNTIF('ENTRY '!Z2:Z81,"v")))</f>
        <v/>
      </c>
      <c r="M12" s="146" t="str">
        <f>IF(COUNTIF('ENTRY '!AA2:AA81,"v")=0,"",(COUNTIF('ENTRY '!AA2:AA81,"v")))</f>
        <v/>
      </c>
      <c r="N12" s="146" t="str">
        <f>IF(COUNTIF('ENTRY '!AB2:AB81,"v")=0,"",(COUNTIF('ENTRY '!AB2:AB81,"v")))</f>
        <v/>
      </c>
      <c r="O12" s="146" t="str">
        <f>IF(COUNTIF('ENTRY '!AC2:AC81,"v")=0,"",(COUNTIF('ENTRY '!AC2:AC81,"v")))</f>
        <v/>
      </c>
      <c r="P12" s="146" t="str">
        <f>IF(COUNTIF('ENTRY '!AD2:AD81,"v")=0,"",(COUNTIF('ENTRY '!AD2:AD81,"v")))</f>
        <v/>
      </c>
      <c r="Q12" s="146" t="str">
        <f>IF(COUNTIF('ENTRY '!AE2:AE81,"v")=0,"",(COUNTIF('ENTRY '!AE2:AE81,"v")))</f>
        <v/>
      </c>
      <c r="R12" s="146" t="str">
        <f>IF(COUNTIF('ENTRY '!AF2:AF81,"v")=0,"",(COUNTIF('ENTRY '!AF2:AF81,"v")))</f>
        <v/>
      </c>
      <c r="S12" s="146" t="str">
        <f>IF(COUNTIF('ENTRY '!AG2:AG81,"v")=0,"",(COUNTIF('ENTRY '!AG2:AG81,"v")))</f>
        <v/>
      </c>
      <c r="T12" s="146" t="str">
        <f>IF(COUNTIF('ENTRY '!AH2:AH81,"v")=0,"",(COUNTIF('ENTRY '!AH2:AH81,"v")))</f>
        <v/>
      </c>
      <c r="U12" s="146" t="str">
        <f>IF(COUNTIF('ENTRY '!AI2:AI81,"v")=0,"",(COUNTIF('ENTRY '!AI2:AI81,"v")))</f>
        <v/>
      </c>
      <c r="V12" s="146" t="str">
        <f>IF(COUNTIF('ENTRY '!AJ2:AJ81,"v")=0,"",(COUNTIF('ENTRY '!AJ2:AJ81,"v")))</f>
        <v/>
      </c>
      <c r="W12" s="146" t="str">
        <f>IF(COUNTIF('ENTRY '!AK2:AK81,"v")=0,"",(COUNTIF('ENTRY '!AK2:AK81,"v")))</f>
        <v/>
      </c>
      <c r="X12" s="146" t="str">
        <f>IF(COUNTIF('ENTRY '!AL2:AL81,"v")=0,"",(COUNTIF('ENTRY '!AL2:AL81,"v")))</f>
        <v/>
      </c>
      <c r="Y12" s="146" t="str">
        <f>IF(COUNTIF('ENTRY '!AM2:AM81,"v")=0,"",(COUNTIF('ENTRY '!AM2:AM81,"v")))</f>
        <v/>
      </c>
      <c r="Z12" s="146" t="str">
        <f>IF(COUNTIF('ENTRY '!AN2:AN81,"v")=0,"",(COUNTIF('ENTRY '!AN2:AN81,"v")))</f>
        <v/>
      </c>
      <c r="AA12" s="146" t="str">
        <f>IF(COUNTIF('ENTRY '!AO2:AO81,"v")=0,"",(COUNTIF('ENTRY '!AO2:AO81,"v")))</f>
        <v/>
      </c>
      <c r="AB12" s="146" t="str">
        <f>IF(COUNTIF('ENTRY '!AP2:AP81,"v")=0,"",(COUNTIF('ENTRY '!AP2:AP81,"v")))</f>
        <v/>
      </c>
      <c r="AC12" s="146" t="str">
        <f>IF(COUNTIF('ENTRY '!AQ2:AQ81,"v")=0,"",(COUNTIF('ENTRY '!AQ2:AQ81,"v")))</f>
        <v/>
      </c>
      <c r="AD12" s="146" t="str">
        <f>IF(COUNTIF('ENTRY '!AR2:AR81,"v")=0,"",(COUNTIF('ENTRY '!AR2:AR81,"v")))</f>
        <v/>
      </c>
      <c r="AE12" s="146" t="str">
        <f>IF(COUNTIF('ENTRY '!AS2:AS81,"v")=0,"",(COUNTIF('ENTRY '!AS2:AS81,"v")))</f>
        <v/>
      </c>
      <c r="AF12" s="146" t="str">
        <f>IF(COUNTIF('ENTRY '!AT2:AT81,"v")=0,"",(COUNTIF('ENTRY '!AT2:AT81,"v")))</f>
        <v/>
      </c>
      <c r="AG12" s="146" t="str">
        <f>IF(COUNTIF('ENTRY '!AU2:AU81,"v")=0,"",(COUNTIF('ENTRY '!AU2:AU81,"v")))</f>
        <v/>
      </c>
      <c r="AH12" s="146" t="str">
        <f>IF(COUNTIF('ENTRY '!AV2:AV81,"v")=0,"",(COUNTIF('ENTRY '!AV2:AV81,"v")))</f>
        <v/>
      </c>
      <c r="AI12" s="146" t="str">
        <f>IF(COUNTIF('ENTRY '!AW2:AW81,"v")=0,"",(COUNTIF('ENTRY '!AW2:AW81,"v")))</f>
        <v/>
      </c>
      <c r="AJ12" s="146" t="str">
        <f>IF(COUNTIF('ENTRY '!AX2:AX81,"v")=0,"",(COUNTIF('ENTRY '!AX2:AX81,"v")))</f>
        <v/>
      </c>
      <c r="AK12" s="146" t="str">
        <f>IF(COUNTIF('ENTRY '!AY2:AY81,"v")=0,"",(COUNTIF('ENTRY '!AY2:AY81,"v")))</f>
        <v/>
      </c>
      <c r="AL12" s="146" t="str">
        <f>IF(COUNTIF('ENTRY '!AZ2:AZ81,"v")=0,"",(COUNTIF('ENTRY '!AZ2:AZ81,"v")))</f>
        <v/>
      </c>
      <c r="AM12" s="146" t="str">
        <f>IF(COUNTIF('ENTRY '!BA2:BA81,"v")=0,"",(COUNTIF('ENTRY '!BA2:BA81,"v")))</f>
        <v/>
      </c>
      <c r="AN12" s="146" t="str">
        <f>IF(COUNTIF('ENTRY '!BB2:BB81,"v")=0,"",(COUNTIF('ENTRY '!BB2:BB81,"v")))</f>
        <v/>
      </c>
      <c r="AO12" s="146" t="str">
        <f>IF(COUNTIF('ENTRY '!BC2:BC81,"v")=0,"",(COUNTIF('ENTRY '!BC2:BC81,"v")))</f>
        <v/>
      </c>
      <c r="AP12" s="146" t="str">
        <f>IF(COUNTIF('ENTRY '!BD2:BD81,"v")=0,"",(COUNTIF('ENTRY '!BD2:BD81,"v")))</f>
        <v/>
      </c>
      <c r="AQ12" s="146" t="str">
        <f>IF(COUNTIF('ENTRY '!BE2:BE81,"v")=0,"",(COUNTIF('ENTRY '!BE2:BE81,"v")))</f>
        <v/>
      </c>
      <c r="AR12" s="146" t="str">
        <f>IF(COUNTIF('ENTRY '!BF2:BF81,"v")=0,"",(COUNTIF('ENTRY '!BF2:BF81,"v")))</f>
        <v/>
      </c>
      <c r="AS12" s="146" t="str">
        <f>IF(COUNTIF('ENTRY '!BG2:BG81,"v")=0,"",(COUNTIF('ENTRY '!BG2:BG81,"v")))</f>
        <v/>
      </c>
      <c r="AT12" s="146" t="str">
        <f>IF(COUNTIF('ENTRY '!BH2:BH81,"v")=0,"",(COUNTIF('ENTRY '!BH2:BH81,"v")))</f>
        <v/>
      </c>
      <c r="AU12" s="146" t="str">
        <f>IF(COUNTIF('ENTRY '!BI2:BI81,"v")=0,"",(COUNTIF('ENTRY '!BI2:BI81,"v")))</f>
        <v/>
      </c>
      <c r="AV12" s="146" t="str">
        <f>IF(COUNTIF('ENTRY '!BJ2:BJ81,"v")=0,"",(COUNTIF('ENTRY '!BJ2:BJ81,"v")))</f>
        <v/>
      </c>
      <c r="AW12" s="146" t="str">
        <f>IF(COUNTIF('ENTRY '!BK2:BK81,"v")=0,"",(COUNTIF('ENTRY '!BK2:BK81,"v")))</f>
        <v/>
      </c>
      <c r="AX12" s="146" t="str">
        <f>IF(COUNTIF('ENTRY '!BL2:BL81,"v")=0,"",(COUNTIF('ENTRY '!BL2:BL81,"v")))</f>
        <v/>
      </c>
      <c r="AY12" s="146" t="str">
        <f>IF(COUNTIF('ENTRY '!BM2:BM81,"v")=0,"",(COUNTIF('ENTRY '!BM2:BM81,"v")))</f>
        <v/>
      </c>
      <c r="AZ12" s="146" t="str">
        <f>IF(COUNTIF('ENTRY '!BN2:BN81,"v")=0,"",(COUNTIF('ENTRY '!BN2:BN81,"v")))</f>
        <v/>
      </c>
      <c r="BA12" s="146" t="str">
        <f>IF(COUNTIF('ENTRY '!BO2:BO81,"v")=0,"",(COUNTIF('ENTRY '!BO2:BO81,"v")))</f>
        <v/>
      </c>
      <c r="BB12" s="146" t="str">
        <f>IF(COUNTIF('ENTRY '!BP2:BP81,"v")=0,"",(COUNTIF('ENTRY '!BP2:BP81,"v")))</f>
        <v/>
      </c>
      <c r="BC12" s="146" t="str">
        <f>IF(COUNTIF('ENTRY '!BQ2:BQ81,"v")=0,"",(COUNTIF('ENTRY '!BQ2:BQ81,"v")))</f>
        <v/>
      </c>
      <c r="BD12" s="146" t="str">
        <f>IF(COUNTIF('ENTRY '!BR2:BR81,"v")=0,"",(COUNTIF('ENTRY '!BR2:BR81,"v")))</f>
        <v/>
      </c>
      <c r="BE12" s="146" t="str">
        <f>IF(COUNTIF('ENTRY '!BS2:BS81,"v")=0,"",(COUNTIF('ENTRY '!BS2:BS81,"v")))</f>
        <v/>
      </c>
      <c r="BF12" s="146" t="str">
        <f>IF(COUNTIF('ENTRY '!BT2:BT81,"v")=0,"",(COUNTIF('ENTRY '!BT2:BT81,"v")))</f>
        <v/>
      </c>
      <c r="BG12" s="146" t="str">
        <f>IF(COUNTIF('ENTRY '!BU2:BU81,"v")=0,"",(COUNTIF('ENTRY '!BU2:BU81,"v")))</f>
        <v/>
      </c>
      <c r="BH12" s="146" t="str">
        <f>IF(COUNTIF('ENTRY '!BV2:BV81,"v")=0,"",(COUNTIF('ENTRY '!BV2:BV81,"v")))</f>
        <v/>
      </c>
      <c r="BI12" s="146" t="str">
        <f>IF(COUNTIF('ENTRY '!BW2:BW81,"v")=0,"",(COUNTIF('ENTRY '!BW2:BW81,"v")))</f>
        <v/>
      </c>
      <c r="BJ12" s="146" t="str">
        <f>IF(COUNTIF('ENTRY '!BX2:BX81,"v")=0,"",(COUNTIF('ENTRY '!BX2:BX81,"v")))</f>
        <v/>
      </c>
      <c r="BK12" s="146" t="str">
        <f>IF(COUNTIF('ENTRY '!BY2:BY81,"v")=0,"",(COUNTIF('ENTRY '!BY2:BY81,"v")))</f>
        <v/>
      </c>
      <c r="BL12" s="146" t="str">
        <f>IF(COUNTIF('ENTRY '!BZ2:BZ81,"v")=0,"",(COUNTIF('ENTRY '!BZ2:BZ81,"v")))</f>
        <v/>
      </c>
      <c r="BM12" s="146" t="str">
        <f>IF(COUNTIF('ENTRY '!CA2:CA81,"v")=0,"",(COUNTIF('ENTRY '!CA2:CA81,"v")))</f>
        <v/>
      </c>
      <c r="BN12" s="146" t="str">
        <f>IF(COUNTIF('ENTRY '!CB2:CB81,"v")=0,"",(COUNTIF('ENTRY '!CB2:CB81,"v")))</f>
        <v/>
      </c>
      <c r="BO12" s="146" t="str">
        <f>IF(COUNTIF('ENTRY '!CC2:CC81,"v")=0,"",(COUNTIF('ENTRY '!CC2:CC81,"v")))</f>
        <v/>
      </c>
      <c r="BP12" s="146" t="str">
        <f>IF(COUNTIF('ENTRY '!CD2:CD81,"v")=0,"",(COUNTIF('ENTRY '!CD2:CD81,"v")))</f>
        <v/>
      </c>
      <c r="BQ12" s="146" t="str">
        <f>IF(COUNTIF('ENTRY '!CE2:CE81,"v")=0,"",(COUNTIF('ENTRY '!CE2:CE81,"v")))</f>
        <v/>
      </c>
      <c r="BR12" s="146" t="str">
        <f>IF(COUNTIF('ENTRY '!CF2:CF81,"v")=0,"",(COUNTIF('ENTRY '!CF2:CF81,"v")))</f>
        <v/>
      </c>
      <c r="BS12" s="146" t="str">
        <f>IF(COUNTIF('ENTRY '!CG2:CG81,"v")=0,"",(COUNTIF('ENTRY '!CG2:CG81,"v")))</f>
        <v/>
      </c>
      <c r="BT12" s="146" t="str">
        <f>IF(COUNTIF('ENTRY '!CH2:CH81,"v")=0,"",(COUNTIF('ENTRY '!CH2:CH81,"v")))</f>
        <v/>
      </c>
      <c r="BU12" s="146" t="str">
        <f>IF(COUNTIF('ENTRY '!CI2:CI81,"v")=0,"",(COUNTIF('ENTRY '!CI2:CI81,"v")))</f>
        <v/>
      </c>
      <c r="BV12" s="146" t="str">
        <f>IF(COUNTIF('ENTRY '!CJ2:CJ81,"v")=0,"",(COUNTIF('ENTRY '!CJ2:CJ81,"v")))</f>
        <v/>
      </c>
      <c r="BW12" s="146" t="str">
        <f>IF(COUNTIF('ENTRY '!CK2:CK81,"v")=0,"",(COUNTIF('ENTRY '!CK2:CK81,"v")))</f>
        <v/>
      </c>
      <c r="BX12" s="146" t="str">
        <f>IF(COUNTIF('ENTRY '!CL2:CL81,"v")=0,"",(COUNTIF('ENTRY '!CL2:CL81,"v")))</f>
        <v/>
      </c>
      <c r="BY12" s="146" t="str">
        <f>IF(COUNTIF('ENTRY '!CM2:CM81,"v")=0,"",(COUNTIF('ENTRY '!CM2:CM81,"v")))</f>
        <v/>
      </c>
      <c r="BZ12" s="146" t="str">
        <f>IF(COUNTIF('ENTRY '!CN2:CN81,"v")=0,"",(COUNTIF('ENTRY '!CN2:CN81,"v")))</f>
        <v/>
      </c>
      <c r="CA12" s="146" t="str">
        <f>IF(COUNTIF('ENTRY '!CO2:CO81,"v")=0,"",(COUNTIF('ENTRY '!CO2:CO81,"v")))</f>
        <v/>
      </c>
      <c r="CB12" s="146" t="str">
        <f>IF(COUNTIF('ENTRY '!CP2:CP81,"v")=0,"",(COUNTIF('ENTRY '!CP2:CP81,"v")))</f>
        <v/>
      </c>
      <c r="CC12" s="146" t="str">
        <f>IF(COUNTIF('ENTRY '!CQ2:CQ81,"v")=0,"",(COUNTIF('ENTRY '!CQ2:CQ81,"v")))</f>
        <v/>
      </c>
      <c r="CD12" s="146" t="str">
        <f>IF(COUNTIF('ENTRY '!CR2:CR81,"v")=0,"",(COUNTIF('ENTRY '!CR2:CR81,"v")))</f>
        <v/>
      </c>
      <c r="CE12" s="146" t="str">
        <f>IF(COUNTIF('ENTRY '!CS2:CS81,"v")=0,"",(COUNTIF('ENTRY '!CS2:CS81,"v")))</f>
        <v/>
      </c>
      <c r="CF12" s="146" t="str">
        <f>IF(COUNTIF('ENTRY '!CT2:CT81,"v")=0,"",(COUNTIF('ENTRY '!CT2:CT81,"v")))</f>
        <v/>
      </c>
      <c r="CG12" s="146" t="str">
        <f>IF(COUNTIF('ENTRY '!CU2:CU81,"v")=0,"",(COUNTIF('ENTRY '!CU2:CU81,"v")))</f>
        <v/>
      </c>
      <c r="CH12" s="146" t="str">
        <f>IF(COUNTIF('ENTRY '!CV2:CV81,"v")=0,"",(COUNTIF('ENTRY '!CV2:CV81,"v")))</f>
        <v/>
      </c>
      <c r="CI12" s="146" t="str">
        <f>IF(COUNTIF('ENTRY '!CW2:CW81,"v")=0,"",(COUNTIF('ENTRY '!CW2:CW81,"v")))</f>
        <v/>
      </c>
      <c r="CJ12" s="146" t="str">
        <f>IF(COUNTIF('ENTRY '!CX2:CX81,"v")=0,"",(COUNTIF('ENTRY '!CX2:CX81,"v")))</f>
        <v/>
      </c>
      <c r="CK12" s="146" t="str">
        <f>IF(COUNTIF('ENTRY '!CY2:CY81,"v")=0,"",(COUNTIF('ENTRY '!CY2:CY81,"v")))</f>
        <v/>
      </c>
      <c r="CL12" s="146" t="str">
        <f>IF(COUNTIF('ENTRY '!CZ2:CZ81,"v")=0,"",(COUNTIF('ENTRY '!CZ2:CZ81,"v")))</f>
        <v/>
      </c>
      <c r="CM12" s="146" t="str">
        <f>IF(COUNTIF('ENTRY '!DA2:DA81,"v")=0,"",(COUNTIF('ENTRY '!DA2:DA81,"v")))</f>
        <v/>
      </c>
      <c r="CN12" s="146" t="str">
        <f>IF(COUNTIF('ENTRY '!DB2:DB81,"v")=0,"",(COUNTIF('ENTRY '!DB2:DB81,"v")))</f>
        <v/>
      </c>
      <c r="CO12" s="146" t="str">
        <f>IF(COUNTIF('ENTRY '!DC2:DC81,"v")=0,"",(COUNTIF('ENTRY '!DC2:DC81,"v")))</f>
        <v/>
      </c>
      <c r="CP12" s="146" t="str">
        <f>IF(COUNTIF('ENTRY '!DD2:DD81,"v")=0,"",(COUNTIF('ENTRY '!DD2:DD81,"v")))</f>
        <v/>
      </c>
      <c r="CQ12" s="146" t="str">
        <f>IF(COUNTIF('ENTRY '!DE2:DE81,"v")=0,"",(COUNTIF('ENTRY '!DE2:DE81,"v")))</f>
        <v/>
      </c>
      <c r="CR12" s="146" t="str">
        <f>IF(COUNTIF('ENTRY '!DF2:DF81,"v")=0,"",(COUNTIF('ENTRY '!DF2:DF81,"v")))</f>
        <v/>
      </c>
      <c r="CS12" s="146" t="str">
        <f>IF(COUNTIF('ENTRY '!DG2:DG81,"v")=0,"",(COUNTIF('ENTRY '!DG2:DG81,"v")))</f>
        <v/>
      </c>
      <c r="CT12" s="146" t="str">
        <f>IF(COUNTIF('ENTRY '!DH2:DH81,"v")=0,"",(COUNTIF('ENTRY '!DH2:DH81,"v")))</f>
        <v/>
      </c>
      <c r="CU12" s="146" t="str">
        <f>IF(COUNTIF('ENTRY '!DI2:DI81,"v")=0,"",(COUNTIF('ENTRY '!DI2:DI81,"v")))</f>
        <v/>
      </c>
      <c r="CV12" s="146" t="str">
        <f>IF(COUNTIF('ENTRY '!DJ2:DJ81,"v")=0,"",(COUNTIF('ENTRY '!DJ2:DJ81,"v")))</f>
        <v/>
      </c>
      <c r="CW12" s="146" t="str">
        <f>IF(COUNTIF('ENTRY '!DK2:DK81,"v")=0,"",(COUNTIF('ENTRY '!DK2:DK81,"v")))</f>
        <v/>
      </c>
      <c r="CX12" s="146" t="str">
        <f>IF(COUNTIF('ENTRY '!DL2:DL81,"v")=0,"",(COUNTIF('ENTRY '!DL2:DL81,"v")))</f>
        <v/>
      </c>
      <c r="CY12" s="146" t="str">
        <f>IF(COUNTIF('ENTRY '!DM2:DM81,"v")=0,"",(COUNTIF('ENTRY '!DM2:DM81,"v")))</f>
        <v/>
      </c>
      <c r="CZ12" s="146" t="str">
        <f>IF(COUNTIF('ENTRY '!DN2:DN81,"v")=0,"",(COUNTIF('ENTRY '!DN2:DN81,"v")))</f>
        <v/>
      </c>
      <c r="DA12" s="146" t="str">
        <f>IF(COUNTIF('ENTRY '!DO2:DO81,"v")=0,"",(COUNTIF('ENTRY '!DO2:DO81,"v")))</f>
        <v/>
      </c>
      <c r="DB12" s="146" t="str">
        <f>IF(COUNTIF('ENTRY '!DP2:DP81,"v")=0,"",(COUNTIF('ENTRY '!DP2:DP81,"v")))</f>
        <v/>
      </c>
      <c r="DC12" s="146" t="str">
        <f>IF(COUNTIF('ENTRY '!DQ2:DQ81,"v")=0,"",(COUNTIF('ENTRY '!DQ2:DQ81,"v")))</f>
        <v/>
      </c>
      <c r="DD12" s="146" t="str">
        <f>IF(COUNTIF('ENTRY '!DR2:DR81,"v")=0,"",(COUNTIF('ENTRY '!DR2:DR81,"v")))</f>
        <v/>
      </c>
      <c r="DE12" s="146" t="str">
        <f>IF(COUNTIF('ENTRY '!DS2:DS81,"v")=0,"",(COUNTIF('ENTRY '!DS2:DS81,"v")))</f>
        <v/>
      </c>
      <c r="DF12" s="146" t="str">
        <f>IF(COUNTIF('ENTRY '!DT2:DT81,"v")=0,"",(COUNTIF('ENTRY '!DT2:DT81,"v")))</f>
        <v/>
      </c>
      <c r="DG12" s="146" t="str">
        <f>IF(COUNTIF('ENTRY '!DU2:DU81,"v")=0,"",(COUNTIF('ENTRY '!DU2:DU81,"v")))</f>
        <v/>
      </c>
      <c r="DH12" s="146" t="str">
        <f>IF(COUNTIF('ENTRY '!DV2:DV81,"v")=0,"",(COUNTIF('ENTRY '!DV2:DV81,"v")))</f>
        <v/>
      </c>
      <c r="DI12" s="146" t="str">
        <f>IF(COUNTIF('ENTRY '!DW2:DW81,"v")=0,"",(COUNTIF('ENTRY '!DW2:DW81,"v")))</f>
        <v/>
      </c>
      <c r="DJ12" s="146" t="str">
        <f>IF(COUNTIF('ENTRY '!DX2:DX81,"v")=0,"",(COUNTIF('ENTRY '!DX2:DX81,"v")))</f>
        <v/>
      </c>
      <c r="DK12" s="146" t="str">
        <f>IF(COUNTIF('ENTRY '!DY2:DY81,"v")=0,"",(COUNTIF('ENTRY '!DY2:DY81,"v")))</f>
        <v/>
      </c>
      <c r="DL12" s="146" t="str">
        <f>IF(COUNTIF('ENTRY '!DZ2:DZ81,"v")=0,"",(COUNTIF('ENTRY '!DZ2:DZ81,"v")))</f>
        <v/>
      </c>
      <c r="DM12" s="146" t="str">
        <f>IF(COUNTIF('ENTRY '!EA2:EA81,"v")=0,"",(COUNTIF('ENTRY '!EA2:EA81,"v")))</f>
        <v/>
      </c>
      <c r="DN12" s="146" t="str">
        <f>IF(COUNTIF('ENTRY '!EB2:EB81,"v")=0,"",(COUNTIF('ENTRY '!EB2:EB81,"v")))</f>
        <v/>
      </c>
      <c r="DO12" s="146" t="str">
        <f>IF(COUNTIF('ENTRY '!EC2:EC81,"v")=0,"",(COUNTIF('ENTRY '!EC2:EC81,"v")))</f>
        <v/>
      </c>
      <c r="DP12" s="146" t="str">
        <f>IF(COUNTIF('ENTRY '!ED2:ED81,"v")=0,"",(COUNTIF('ENTRY '!ED2:ED81,"v")))</f>
        <v/>
      </c>
      <c r="DQ12" s="146" t="str">
        <f>IF(COUNTIF('ENTRY '!EE2:EE81,"v")=0,"",(COUNTIF('ENTRY '!EE2:EE81,"v")))</f>
        <v/>
      </c>
      <c r="DR12" s="146" t="str">
        <f>IF(COUNTIF('ENTRY '!EF2:EF81,"v")=0,"",(COUNTIF('ENTRY '!EF2:EF81,"v")))</f>
        <v/>
      </c>
      <c r="DS12" s="146" t="str">
        <f>IF(COUNTIF('ENTRY '!EG2:EG81,"v")=0,"",(COUNTIF('ENTRY '!EG2:EG81,"v")))</f>
        <v/>
      </c>
      <c r="DT12" s="146" t="str">
        <f>IF(COUNTIF('ENTRY '!EH2:EH81,"v")=0,"",(COUNTIF('ENTRY '!EH2:EH81,"v")))</f>
        <v/>
      </c>
      <c r="DU12" s="146" t="str">
        <f>IF(COUNTIF('ENTRY '!EI2:EI81,"v")=0,"",(COUNTIF('ENTRY '!EI2:EI81,"v")))</f>
        <v/>
      </c>
      <c r="DV12" s="146" t="str">
        <f>IF(COUNTIF('ENTRY '!EJ2:EJ81,"v")=0,"",(COUNTIF('ENTRY '!EJ2:EJ81,"v")))</f>
        <v/>
      </c>
      <c r="DW12" s="146" t="str">
        <f>IF(COUNTIF('ENTRY '!EK2:EK81,"v")=0,"",(COUNTIF('ENTRY '!EK2:EK81,"v")))</f>
        <v/>
      </c>
      <c r="DX12" s="146" t="str">
        <f>IF(COUNTIF('ENTRY '!EL2:EL81,"v")=0,"",(COUNTIF('ENTRY '!EL2:EL81,"v")))</f>
        <v/>
      </c>
      <c r="DY12" s="146" t="str">
        <f>IF(COUNTIF('ENTRY '!EM2:EM81,"v")=0,"",(COUNTIF('ENTRY '!EM2:EM81,"v")))</f>
        <v/>
      </c>
      <c r="DZ12" s="146" t="str">
        <f>IF(COUNTIF('ENTRY '!EN2:EN81,"v")=0,"",(COUNTIF('ENTRY '!EN2:EN81,"v")))</f>
        <v/>
      </c>
      <c r="EA12" s="146" t="str">
        <f>IF(COUNTIF('ENTRY '!EO2:EO81,"v")=0,"",(COUNTIF('ENTRY '!EO2:EO81,"v")))</f>
        <v/>
      </c>
      <c r="EB12" s="146" t="str">
        <f>IF(COUNTIF('ENTRY '!EP2:EP81,"v")=0,"",(COUNTIF('ENTRY '!EP2:EP81,"v")))</f>
        <v/>
      </c>
      <c r="EC12" s="146" t="str">
        <f>IF(COUNTIF('ENTRY '!EQ2:EQ81,"v")=0,"",(COUNTIF('ENTRY '!EQ2:EQ81,"v")))</f>
        <v/>
      </c>
      <c r="ED12" s="146" t="str">
        <f>IF(COUNTIF('ENTRY '!ER2:ER81,"v")=0,"",(COUNTIF('ENTRY '!ER2:ER81,"v")))</f>
        <v/>
      </c>
      <c r="EE12" s="146" t="str">
        <f>IF(COUNTIF('ENTRY '!ES2:ES81,"v")=0,"",(COUNTIF('ENTRY '!ES2:ES81,"v")))</f>
        <v/>
      </c>
      <c r="EF12" s="146" t="str">
        <f>IF(COUNTIF('ENTRY '!ET2:ET81,"v")=0,"",(COUNTIF('ENTRY '!ET2:ET81,"v")))</f>
        <v/>
      </c>
      <c r="EG12" s="146" t="str">
        <f>IF(COUNTIF('ENTRY '!EU2:EU81,"v")=0,"",(COUNTIF('ENTRY '!EU2:EU81,"v")))</f>
        <v/>
      </c>
      <c r="EH12" s="146" t="str">
        <f>IF(COUNTIF('ENTRY '!EV2:EV81,"v")=0,"",(COUNTIF('ENTRY '!EV2:EV81,"v")))</f>
        <v/>
      </c>
      <c r="EI12" s="146" t="str">
        <f>IF(COUNTIF('ENTRY '!EW2:EW81,"v")=0,"",(COUNTIF('ENTRY '!EW2:EW81,"v")))</f>
        <v/>
      </c>
      <c r="EJ12" s="146" t="str">
        <f>IF(COUNTIF('ENTRY '!EX2:EX81,"v")=0,"",(COUNTIF('ENTRY '!EX2:EX81,"v")))</f>
        <v/>
      </c>
      <c r="EK12" s="146" t="str">
        <f>IF(COUNTIF('ENTRY '!EY2:EY81,"v")=0,"",(COUNTIF('ENTRY '!EY2:EY81,"v")))</f>
        <v/>
      </c>
      <c r="EL12" s="146" t="str">
        <f>IF(COUNTIF('ENTRY '!EZ2:EZ81,"v")=0,"",(COUNTIF('ENTRY '!EZ2:EZ81,"v")))</f>
        <v/>
      </c>
      <c r="EM12" s="146" t="str">
        <f>IF(COUNTIF('ENTRY '!FA2:FA81,"v")=0,"",(COUNTIF('ENTRY '!FA2:FA81,"v")))</f>
        <v/>
      </c>
      <c r="EN12" s="146" t="str">
        <f>IF(COUNTIF('ENTRY '!FB2:FB81,"v")=0,"",(COUNTIF('ENTRY '!FB2:FB81,"v")))</f>
        <v/>
      </c>
      <c r="EO12" s="146" t="str">
        <f>IF(COUNTIF('ENTRY '!FC2:FC81,"v")=0,"",(COUNTIF('ENTRY '!FC2:FC81,"v")))</f>
        <v/>
      </c>
      <c r="EP12" s="146" t="str">
        <f>IF(COUNTIF('ENTRY '!FD2:FD81,"v")=0,"",(COUNTIF('ENTRY '!FD2:FD81,"v")))</f>
        <v/>
      </c>
      <c r="EQ12" s="146" t="str">
        <f>IF(COUNTIF('ENTRY '!FE2:FE81,"v")=0,"",(COUNTIF('ENTRY '!FE2:FE81,"v")))</f>
        <v/>
      </c>
      <c r="ER12" s="146" t="str">
        <f>IF(COUNTIF('ENTRY '!FF2:FF81,"v")=0,"",(COUNTIF('ENTRY '!FF2:FF81,"v")))</f>
        <v/>
      </c>
      <c r="ES12" s="146" t="str">
        <f>IF(COUNTIF('ENTRY '!FG2:FG81,"v")=0,"",(COUNTIF('ENTRY '!FG2:FG81,"v")))</f>
        <v/>
      </c>
      <c r="ET12" s="146" t="str">
        <f>IF(COUNTIF('ENTRY '!FH2:FH81,"v")=0,"",(COUNTIF('ENTRY '!FH2:FH81,"v")))</f>
        <v/>
      </c>
      <c r="EU12" s="146" t="str">
        <f>IF(COUNTIF('ENTRY '!FI2:FI81,"v")=0,"",(COUNTIF('ENTRY '!FI2:FI81,"v")))</f>
        <v/>
      </c>
      <c r="EV12" s="146" t="str">
        <f>IF(COUNTIF('ENTRY '!FJ2:FJ81,"v")=0,"",(COUNTIF('ENTRY '!FJ2:FJ81,"v")))</f>
        <v/>
      </c>
      <c r="EW12" s="146" t="str">
        <f>IF(COUNTIF('ENTRY '!FK2:FK81,"v")=0,"",(COUNTIF('ENTRY '!FK2:FK81,"v")))</f>
        <v/>
      </c>
      <c r="EX12" s="146" t="str">
        <f>IF(COUNTIF('ENTRY '!FL2:FL81,"v")=0,"",(COUNTIF('ENTRY '!FL2:FL81,"v")))</f>
        <v/>
      </c>
      <c r="EY12" s="146" t="str">
        <f>IF(COUNTIF('ENTRY '!FM2:FM81,"v")=0,"",(COUNTIF('ENTRY '!FM2:FM81,"v")))</f>
        <v/>
      </c>
    </row>
    <row r="13" spans="1:156" s="147" customFormat="1" x14ac:dyDescent="0.4">
      <c r="B13" s="148" t="s">
        <v>36</v>
      </c>
      <c r="C13" s="149"/>
      <c r="D13" s="130" t="str">
        <f t="shared" ref="D13:AI13" si="16">IF((OR(D11&lt;&gt;"",D12&lt;&gt;"")),"present","")</f>
        <v>present</v>
      </c>
      <c r="E13" s="130" t="str">
        <f t="shared" si="16"/>
        <v>present</v>
      </c>
      <c r="F13" s="130" t="str">
        <f t="shared" si="16"/>
        <v/>
      </c>
      <c r="G13" s="130" t="str">
        <f t="shared" si="16"/>
        <v/>
      </c>
      <c r="H13" s="130" t="str">
        <f t="shared" si="16"/>
        <v/>
      </c>
      <c r="I13" s="130" t="str">
        <f t="shared" si="16"/>
        <v/>
      </c>
      <c r="J13" s="130" t="str">
        <f t="shared" si="16"/>
        <v/>
      </c>
      <c r="K13" s="130" t="str">
        <f t="shared" si="16"/>
        <v/>
      </c>
      <c r="L13" s="130" t="str">
        <f t="shared" si="16"/>
        <v/>
      </c>
      <c r="M13" s="130" t="str">
        <f t="shared" si="16"/>
        <v/>
      </c>
      <c r="N13" s="130" t="str">
        <f t="shared" si="16"/>
        <v/>
      </c>
      <c r="O13" s="130" t="str">
        <f t="shared" si="16"/>
        <v/>
      </c>
      <c r="P13" s="130" t="str">
        <f t="shared" si="16"/>
        <v/>
      </c>
      <c r="Q13" s="130" t="str">
        <f t="shared" si="16"/>
        <v>present</v>
      </c>
      <c r="R13" s="130" t="str">
        <f t="shared" si="16"/>
        <v/>
      </c>
      <c r="S13" s="130" t="str">
        <f t="shared" si="16"/>
        <v>present</v>
      </c>
      <c r="T13" s="130" t="str">
        <f t="shared" si="16"/>
        <v/>
      </c>
      <c r="U13" s="130" t="str">
        <f t="shared" si="16"/>
        <v/>
      </c>
      <c r="V13" s="130" t="str">
        <f t="shared" si="16"/>
        <v/>
      </c>
      <c r="W13" s="130" t="str">
        <f t="shared" si="16"/>
        <v/>
      </c>
      <c r="X13" s="130" t="str">
        <f t="shared" si="16"/>
        <v/>
      </c>
      <c r="Y13" s="130" t="str">
        <f t="shared" si="16"/>
        <v/>
      </c>
      <c r="Z13" s="130" t="str">
        <f t="shared" si="16"/>
        <v/>
      </c>
      <c r="AA13" s="130" t="str">
        <f t="shared" si="16"/>
        <v/>
      </c>
      <c r="AB13" s="130" t="str">
        <f t="shared" si="16"/>
        <v/>
      </c>
      <c r="AC13" s="130" t="str">
        <f t="shared" si="16"/>
        <v>present</v>
      </c>
      <c r="AD13" s="130" t="str">
        <f t="shared" si="16"/>
        <v/>
      </c>
      <c r="AE13" s="130" t="str">
        <f t="shared" si="16"/>
        <v/>
      </c>
      <c r="AF13" s="130" t="str">
        <f t="shared" si="16"/>
        <v/>
      </c>
      <c r="AG13" s="130" t="str">
        <f t="shared" si="16"/>
        <v/>
      </c>
      <c r="AH13" s="130" t="str">
        <f t="shared" si="16"/>
        <v/>
      </c>
      <c r="AI13" s="130" t="str">
        <f t="shared" si="16"/>
        <v>present</v>
      </c>
      <c r="AJ13" s="130" t="str">
        <f t="shared" ref="AJ13:BO13" si="17">IF((OR(AJ11&lt;&gt;"",AJ12&lt;&gt;"")),"present","")</f>
        <v/>
      </c>
      <c r="AK13" s="130" t="str">
        <f t="shared" si="17"/>
        <v/>
      </c>
      <c r="AL13" s="130" t="str">
        <f t="shared" si="17"/>
        <v/>
      </c>
      <c r="AM13" s="130" t="str">
        <f t="shared" si="17"/>
        <v/>
      </c>
      <c r="AN13" s="130" t="str">
        <f t="shared" si="17"/>
        <v/>
      </c>
      <c r="AO13" s="130" t="str">
        <f t="shared" si="17"/>
        <v/>
      </c>
      <c r="AP13" s="130" t="str">
        <f t="shared" si="17"/>
        <v/>
      </c>
      <c r="AQ13" s="130" t="str">
        <f t="shared" si="17"/>
        <v/>
      </c>
      <c r="AR13" s="130" t="str">
        <f t="shared" si="17"/>
        <v/>
      </c>
      <c r="AS13" s="130" t="str">
        <f t="shared" si="17"/>
        <v>present</v>
      </c>
      <c r="AT13" s="130" t="str">
        <f t="shared" si="17"/>
        <v/>
      </c>
      <c r="AU13" s="130" t="str">
        <f t="shared" si="17"/>
        <v/>
      </c>
      <c r="AV13" s="130" t="str">
        <f t="shared" si="17"/>
        <v/>
      </c>
      <c r="AW13" s="130" t="str">
        <f t="shared" si="17"/>
        <v/>
      </c>
      <c r="AX13" s="130" t="str">
        <f t="shared" si="17"/>
        <v/>
      </c>
      <c r="AY13" s="130" t="str">
        <f t="shared" si="17"/>
        <v/>
      </c>
      <c r="AZ13" s="130" t="str">
        <f t="shared" si="17"/>
        <v/>
      </c>
      <c r="BA13" s="130" t="str">
        <f t="shared" si="17"/>
        <v>present</v>
      </c>
      <c r="BB13" s="130" t="str">
        <f t="shared" si="17"/>
        <v/>
      </c>
      <c r="BC13" s="130" t="str">
        <f t="shared" si="17"/>
        <v/>
      </c>
      <c r="BD13" s="130" t="str">
        <f t="shared" si="17"/>
        <v>present</v>
      </c>
      <c r="BE13" s="130" t="str">
        <f t="shared" si="17"/>
        <v/>
      </c>
      <c r="BF13" s="130" t="str">
        <f t="shared" si="17"/>
        <v/>
      </c>
      <c r="BG13" s="130" t="str">
        <f t="shared" si="17"/>
        <v/>
      </c>
      <c r="BH13" s="130" t="str">
        <f t="shared" si="17"/>
        <v/>
      </c>
      <c r="BI13" s="130" t="str">
        <f t="shared" si="17"/>
        <v/>
      </c>
      <c r="BJ13" s="130" t="str">
        <f t="shared" si="17"/>
        <v/>
      </c>
      <c r="BK13" s="130" t="str">
        <f t="shared" si="17"/>
        <v/>
      </c>
      <c r="BL13" s="130" t="str">
        <f t="shared" si="17"/>
        <v/>
      </c>
      <c r="BM13" s="130" t="str">
        <f t="shared" si="17"/>
        <v>present</v>
      </c>
      <c r="BN13" s="130" t="str">
        <f t="shared" si="17"/>
        <v/>
      </c>
      <c r="BO13" s="130" t="str">
        <f t="shared" si="17"/>
        <v/>
      </c>
      <c r="BP13" s="130" t="str">
        <f t="shared" ref="BP13:CU13" si="18">IF((OR(BP11&lt;&gt;"",BP12&lt;&gt;"")),"present","")</f>
        <v/>
      </c>
      <c r="BQ13" s="130" t="str">
        <f t="shared" si="18"/>
        <v/>
      </c>
      <c r="BR13" s="130" t="str">
        <f t="shared" si="18"/>
        <v/>
      </c>
      <c r="BS13" s="130" t="str">
        <f t="shared" si="18"/>
        <v/>
      </c>
      <c r="BT13" s="130" t="str">
        <f t="shared" si="18"/>
        <v/>
      </c>
      <c r="BU13" s="130" t="str">
        <f t="shared" si="18"/>
        <v/>
      </c>
      <c r="BV13" s="130" t="str">
        <f t="shared" si="18"/>
        <v/>
      </c>
      <c r="BW13" s="130" t="str">
        <f t="shared" si="18"/>
        <v/>
      </c>
      <c r="BX13" s="130" t="str">
        <f t="shared" si="18"/>
        <v/>
      </c>
      <c r="BY13" s="130" t="str">
        <f t="shared" si="18"/>
        <v/>
      </c>
      <c r="BZ13" s="130" t="str">
        <f t="shared" si="18"/>
        <v/>
      </c>
      <c r="CA13" s="130" t="str">
        <f t="shared" si="18"/>
        <v>present</v>
      </c>
      <c r="CB13" s="130" t="str">
        <f t="shared" si="18"/>
        <v>present</v>
      </c>
      <c r="CC13" s="130" t="str">
        <f t="shared" si="18"/>
        <v/>
      </c>
      <c r="CD13" s="130" t="str">
        <f t="shared" si="18"/>
        <v/>
      </c>
      <c r="CE13" s="130" t="str">
        <f t="shared" si="18"/>
        <v/>
      </c>
      <c r="CF13" s="130" t="str">
        <f t="shared" si="18"/>
        <v/>
      </c>
      <c r="CG13" s="130" t="str">
        <f t="shared" si="18"/>
        <v/>
      </c>
      <c r="CH13" s="130" t="str">
        <f t="shared" si="18"/>
        <v/>
      </c>
      <c r="CI13" s="130" t="str">
        <f t="shared" si="18"/>
        <v/>
      </c>
      <c r="CJ13" s="130" t="str">
        <f t="shared" si="18"/>
        <v/>
      </c>
      <c r="CK13" s="130" t="str">
        <f t="shared" si="18"/>
        <v>present</v>
      </c>
      <c r="CL13" s="130" t="str">
        <f t="shared" si="18"/>
        <v>present</v>
      </c>
      <c r="CM13" s="130" t="str">
        <f t="shared" si="18"/>
        <v/>
      </c>
      <c r="CN13" s="130" t="str">
        <f t="shared" si="18"/>
        <v/>
      </c>
      <c r="CO13" s="130" t="str">
        <f t="shared" si="18"/>
        <v/>
      </c>
      <c r="CP13" s="130" t="str">
        <f t="shared" si="18"/>
        <v/>
      </c>
      <c r="CQ13" s="130" t="str">
        <f t="shared" si="18"/>
        <v>present</v>
      </c>
      <c r="CR13" s="130" t="str">
        <f t="shared" si="18"/>
        <v>present</v>
      </c>
      <c r="CS13" s="130" t="str">
        <f t="shared" si="18"/>
        <v/>
      </c>
      <c r="CT13" s="130" t="str">
        <f t="shared" si="18"/>
        <v/>
      </c>
      <c r="CU13" s="130" t="str">
        <f t="shared" si="18"/>
        <v/>
      </c>
      <c r="CV13" s="130" t="str">
        <f t="shared" ref="CV13:EA13" si="19">IF((OR(CV11&lt;&gt;"",CV12&lt;&gt;"")),"present","")</f>
        <v/>
      </c>
      <c r="CW13" s="130" t="str">
        <f t="shared" si="19"/>
        <v/>
      </c>
      <c r="CX13" s="130" t="str">
        <f t="shared" si="19"/>
        <v/>
      </c>
      <c r="CY13" s="130" t="str">
        <f t="shared" si="19"/>
        <v/>
      </c>
      <c r="CZ13" s="130" t="str">
        <f t="shared" si="19"/>
        <v/>
      </c>
      <c r="DA13" s="130" t="str">
        <f t="shared" si="19"/>
        <v/>
      </c>
      <c r="DB13" s="130" t="str">
        <f t="shared" si="19"/>
        <v/>
      </c>
      <c r="DC13" s="130" t="str">
        <f t="shared" si="19"/>
        <v/>
      </c>
      <c r="DD13" s="130" t="str">
        <f t="shared" si="19"/>
        <v/>
      </c>
      <c r="DE13" s="130" t="str">
        <f t="shared" si="19"/>
        <v/>
      </c>
      <c r="DF13" s="130" t="str">
        <f t="shared" si="19"/>
        <v/>
      </c>
      <c r="DG13" s="130" t="str">
        <f t="shared" si="19"/>
        <v/>
      </c>
      <c r="DH13" s="130" t="str">
        <f t="shared" si="19"/>
        <v/>
      </c>
      <c r="DI13" s="130" t="str">
        <f t="shared" si="19"/>
        <v/>
      </c>
      <c r="DJ13" s="130" t="str">
        <f t="shared" si="19"/>
        <v/>
      </c>
      <c r="DK13" s="130" t="str">
        <f t="shared" si="19"/>
        <v/>
      </c>
      <c r="DL13" s="130" t="str">
        <f t="shared" si="19"/>
        <v/>
      </c>
      <c r="DM13" s="130" t="str">
        <f t="shared" si="19"/>
        <v/>
      </c>
      <c r="DN13" s="130" t="str">
        <f t="shared" si="19"/>
        <v/>
      </c>
      <c r="DO13" s="130" t="str">
        <f t="shared" si="19"/>
        <v/>
      </c>
      <c r="DP13" s="130" t="str">
        <f t="shared" si="19"/>
        <v/>
      </c>
      <c r="DQ13" s="130" t="str">
        <f t="shared" si="19"/>
        <v/>
      </c>
      <c r="DR13" s="130" t="str">
        <f t="shared" si="19"/>
        <v>present</v>
      </c>
      <c r="DS13" s="130" t="str">
        <f t="shared" si="19"/>
        <v/>
      </c>
      <c r="DT13" s="130" t="str">
        <f t="shared" si="19"/>
        <v/>
      </c>
      <c r="DU13" s="130" t="str">
        <f t="shared" si="19"/>
        <v/>
      </c>
      <c r="DV13" s="130" t="str">
        <f t="shared" si="19"/>
        <v/>
      </c>
      <c r="DW13" s="130" t="str">
        <f t="shared" si="19"/>
        <v/>
      </c>
      <c r="DX13" s="130" t="str">
        <f t="shared" si="19"/>
        <v/>
      </c>
      <c r="DY13" s="130" t="str">
        <f t="shared" si="19"/>
        <v/>
      </c>
      <c r="DZ13" s="130" t="str">
        <f t="shared" si="19"/>
        <v/>
      </c>
      <c r="EA13" s="130" t="str">
        <f t="shared" si="19"/>
        <v/>
      </c>
      <c r="EB13" s="130" t="str">
        <f t="shared" ref="EB13:EY13" si="20">IF((OR(EB11&lt;&gt;"",EB12&lt;&gt;"")),"present","")</f>
        <v/>
      </c>
      <c r="EC13" s="130" t="str">
        <f t="shared" si="20"/>
        <v/>
      </c>
      <c r="ED13" s="130" t="str">
        <f t="shared" si="20"/>
        <v/>
      </c>
      <c r="EE13" s="130" t="str">
        <f t="shared" si="20"/>
        <v>present</v>
      </c>
      <c r="EF13" s="130" t="str">
        <f t="shared" si="20"/>
        <v/>
      </c>
      <c r="EG13" s="130" t="str">
        <f t="shared" si="20"/>
        <v/>
      </c>
      <c r="EH13" s="130" t="str">
        <f t="shared" si="20"/>
        <v/>
      </c>
      <c r="EI13" s="130" t="str">
        <f t="shared" si="20"/>
        <v/>
      </c>
      <c r="EJ13" s="130" t="str">
        <f t="shared" si="20"/>
        <v/>
      </c>
      <c r="EK13" s="130" t="str">
        <f t="shared" si="20"/>
        <v/>
      </c>
      <c r="EL13" s="130" t="str">
        <f t="shared" si="20"/>
        <v>present</v>
      </c>
      <c r="EM13" s="130" t="str">
        <f t="shared" si="20"/>
        <v/>
      </c>
      <c r="EN13" s="130" t="str">
        <f t="shared" si="20"/>
        <v>present</v>
      </c>
      <c r="EO13" s="130" t="str">
        <f t="shared" si="20"/>
        <v/>
      </c>
      <c r="EP13" s="130" t="str">
        <f t="shared" si="20"/>
        <v/>
      </c>
      <c r="EQ13" s="130" t="str">
        <f t="shared" si="20"/>
        <v/>
      </c>
      <c r="ER13" s="130" t="str">
        <f t="shared" si="20"/>
        <v/>
      </c>
      <c r="ES13" s="130" t="str">
        <f t="shared" si="20"/>
        <v/>
      </c>
      <c r="ET13" s="130" t="str">
        <f t="shared" si="20"/>
        <v/>
      </c>
      <c r="EU13" s="130" t="str">
        <f t="shared" si="20"/>
        <v/>
      </c>
      <c r="EV13" s="130" t="str">
        <f t="shared" si="20"/>
        <v/>
      </c>
      <c r="EW13" s="130" t="str">
        <f t="shared" si="20"/>
        <v/>
      </c>
      <c r="EX13" s="130" t="str">
        <f t="shared" si="20"/>
        <v/>
      </c>
      <c r="EY13" s="130" t="str">
        <f t="shared" si="20"/>
        <v/>
      </c>
    </row>
    <row r="14" spans="1:156" s="139" customFormat="1" x14ac:dyDescent="0.4">
      <c r="A14" s="137"/>
      <c r="B14" s="137" t="s">
        <v>2</v>
      </c>
      <c r="C14" s="138">
        <f>IF(SUM(D14:EY14)&gt;0,SUM(D14:EY14),"")</f>
        <v>0.12457482993197279</v>
      </c>
      <c r="D14" s="130">
        <f t="shared" ref="D14:AI14" si="21">IF(D8="","",(D8*D8)/10000)</f>
        <v>3.5430839002267575E-5</v>
      </c>
      <c r="E14" s="130">
        <f t="shared" si="21"/>
        <v>1.5625E-2</v>
      </c>
      <c r="F14" s="130" t="str">
        <f t="shared" si="21"/>
        <v/>
      </c>
      <c r="G14" s="130" t="str">
        <f t="shared" si="21"/>
        <v/>
      </c>
      <c r="H14" s="130" t="str">
        <f t="shared" si="21"/>
        <v/>
      </c>
      <c r="I14" s="130" t="str">
        <f t="shared" si="21"/>
        <v/>
      </c>
      <c r="J14" s="130" t="str">
        <f t="shared" si="21"/>
        <v/>
      </c>
      <c r="K14" s="130" t="str">
        <f t="shared" si="21"/>
        <v/>
      </c>
      <c r="L14" s="130" t="str">
        <f t="shared" si="21"/>
        <v/>
      </c>
      <c r="M14" s="130" t="str">
        <f t="shared" si="21"/>
        <v/>
      </c>
      <c r="N14" s="130" t="str">
        <f t="shared" si="21"/>
        <v/>
      </c>
      <c r="O14" s="130" t="str">
        <f t="shared" si="21"/>
        <v/>
      </c>
      <c r="P14" s="130" t="str">
        <f t="shared" si="21"/>
        <v/>
      </c>
      <c r="Q14" s="130">
        <f t="shared" si="21"/>
        <v>5.6689342403628107E-2</v>
      </c>
      <c r="R14" s="130" t="str">
        <f t="shared" si="21"/>
        <v/>
      </c>
      <c r="S14" s="130">
        <f t="shared" si="21"/>
        <v>3.5430839002267575E-5</v>
      </c>
      <c r="T14" s="130" t="str">
        <f t="shared" si="21"/>
        <v/>
      </c>
      <c r="U14" s="130" t="str">
        <f t="shared" si="21"/>
        <v/>
      </c>
      <c r="V14" s="130" t="str">
        <f t="shared" si="21"/>
        <v/>
      </c>
      <c r="W14" s="130" t="str">
        <f t="shared" si="21"/>
        <v/>
      </c>
      <c r="X14" s="130" t="str">
        <f t="shared" si="21"/>
        <v/>
      </c>
      <c r="Y14" s="130" t="str">
        <f t="shared" si="21"/>
        <v/>
      </c>
      <c r="Z14" s="130" t="str">
        <f t="shared" si="21"/>
        <v/>
      </c>
      <c r="AA14" s="130" t="str">
        <f t="shared" si="21"/>
        <v/>
      </c>
      <c r="AB14" s="130" t="str">
        <f t="shared" si="21"/>
        <v/>
      </c>
      <c r="AC14" s="130">
        <f t="shared" si="21"/>
        <v>4.2871315192743748E-3</v>
      </c>
      <c r="AD14" s="130" t="str">
        <f t="shared" si="21"/>
        <v/>
      </c>
      <c r="AE14" s="130" t="str">
        <f t="shared" si="21"/>
        <v/>
      </c>
      <c r="AF14" s="130" t="str">
        <f t="shared" si="21"/>
        <v/>
      </c>
      <c r="AG14" s="130" t="str">
        <f t="shared" si="21"/>
        <v/>
      </c>
      <c r="AH14" s="130" t="str">
        <f t="shared" si="21"/>
        <v/>
      </c>
      <c r="AI14" s="130">
        <f t="shared" si="21"/>
        <v>4.2871315192743748E-3</v>
      </c>
      <c r="AJ14" s="130" t="str">
        <f t="shared" ref="AJ14:BO14" si="22">IF(AJ8="","",(AJ8*AJ8)/10000)</f>
        <v/>
      </c>
      <c r="AK14" s="130" t="str">
        <f t="shared" si="22"/>
        <v/>
      </c>
      <c r="AL14" s="130" t="str">
        <f t="shared" si="22"/>
        <v/>
      </c>
      <c r="AM14" s="130" t="str">
        <f t="shared" si="22"/>
        <v/>
      </c>
      <c r="AN14" s="130" t="str">
        <f t="shared" si="22"/>
        <v/>
      </c>
      <c r="AO14" s="130" t="str">
        <f t="shared" si="22"/>
        <v/>
      </c>
      <c r="AP14" s="130" t="str">
        <f t="shared" si="22"/>
        <v/>
      </c>
      <c r="AQ14" s="130" t="str">
        <f t="shared" si="22"/>
        <v/>
      </c>
      <c r="AR14" s="130" t="str">
        <f t="shared" si="22"/>
        <v/>
      </c>
      <c r="AS14" s="130">
        <f t="shared" si="22"/>
        <v>3.5430839002267575E-5</v>
      </c>
      <c r="AT14" s="130" t="str">
        <f t="shared" si="22"/>
        <v/>
      </c>
      <c r="AU14" s="130" t="str">
        <f t="shared" si="22"/>
        <v/>
      </c>
      <c r="AV14" s="130" t="str">
        <f t="shared" si="22"/>
        <v/>
      </c>
      <c r="AW14" s="130" t="str">
        <f t="shared" si="22"/>
        <v/>
      </c>
      <c r="AX14" s="130" t="str">
        <f t="shared" si="22"/>
        <v/>
      </c>
      <c r="AY14" s="130" t="str">
        <f t="shared" si="22"/>
        <v/>
      </c>
      <c r="AZ14" s="130" t="str">
        <f t="shared" si="22"/>
        <v/>
      </c>
      <c r="BA14" s="130">
        <f t="shared" si="22"/>
        <v>2.2675736961451248E-3</v>
      </c>
      <c r="BB14" s="130" t="str">
        <f t="shared" si="22"/>
        <v/>
      </c>
      <c r="BC14" s="130" t="str">
        <f t="shared" si="22"/>
        <v/>
      </c>
      <c r="BD14" s="130">
        <f t="shared" si="22"/>
        <v>3.5430839002267567E-3</v>
      </c>
      <c r="BE14" s="130" t="str">
        <f t="shared" si="22"/>
        <v/>
      </c>
      <c r="BF14" s="130" t="str">
        <f t="shared" si="22"/>
        <v/>
      </c>
      <c r="BG14" s="130" t="str">
        <f t="shared" si="22"/>
        <v/>
      </c>
      <c r="BH14" s="130" t="str">
        <f t="shared" si="22"/>
        <v/>
      </c>
      <c r="BI14" s="130" t="str">
        <f t="shared" si="22"/>
        <v/>
      </c>
      <c r="BJ14" s="130" t="str">
        <f t="shared" si="22"/>
        <v/>
      </c>
      <c r="BK14" s="130" t="str">
        <f t="shared" si="22"/>
        <v/>
      </c>
      <c r="BL14" s="130" t="str">
        <f t="shared" si="22"/>
        <v/>
      </c>
      <c r="BM14" s="130">
        <f t="shared" si="22"/>
        <v>3.1887755102040814E-4</v>
      </c>
      <c r="BN14" s="130" t="str">
        <f t="shared" si="22"/>
        <v/>
      </c>
      <c r="BO14" s="130" t="str">
        <f t="shared" si="22"/>
        <v/>
      </c>
      <c r="BP14" s="130" t="str">
        <f t="shared" ref="BP14:CU14" si="23">IF(BP8="","",(BP8*BP8)/10000)</f>
        <v/>
      </c>
      <c r="BQ14" s="130" t="str">
        <f t="shared" si="23"/>
        <v/>
      </c>
      <c r="BR14" s="130" t="str">
        <f t="shared" si="23"/>
        <v/>
      </c>
      <c r="BS14" s="130" t="str">
        <f t="shared" si="23"/>
        <v/>
      </c>
      <c r="BT14" s="130" t="str">
        <f t="shared" si="23"/>
        <v/>
      </c>
      <c r="BU14" s="130" t="str">
        <f t="shared" si="23"/>
        <v/>
      </c>
      <c r="BV14" s="130" t="str">
        <f t="shared" si="23"/>
        <v/>
      </c>
      <c r="BW14" s="130" t="str">
        <f t="shared" si="23"/>
        <v/>
      </c>
      <c r="BX14" s="130" t="str">
        <f t="shared" si="23"/>
        <v/>
      </c>
      <c r="BY14" s="130" t="str">
        <f t="shared" si="23"/>
        <v/>
      </c>
      <c r="BZ14" s="130" t="str">
        <f t="shared" si="23"/>
        <v/>
      </c>
      <c r="CA14" s="130">
        <f t="shared" si="23"/>
        <v>4.2871315192743748E-3</v>
      </c>
      <c r="CB14" s="130">
        <f t="shared" si="23"/>
        <v>1.417233560090703E-4</v>
      </c>
      <c r="CC14" s="130" t="str">
        <f t="shared" si="23"/>
        <v/>
      </c>
      <c r="CD14" s="130" t="str">
        <f t="shared" si="23"/>
        <v/>
      </c>
      <c r="CE14" s="130" t="str">
        <f t="shared" si="23"/>
        <v/>
      </c>
      <c r="CF14" s="130" t="str">
        <f t="shared" si="23"/>
        <v/>
      </c>
      <c r="CG14" s="130" t="str">
        <f t="shared" si="23"/>
        <v/>
      </c>
      <c r="CH14" s="130" t="str">
        <f t="shared" si="23"/>
        <v/>
      </c>
      <c r="CI14" s="130" t="str">
        <f t="shared" si="23"/>
        <v/>
      </c>
      <c r="CJ14" s="130" t="str">
        <f t="shared" si="23"/>
        <v/>
      </c>
      <c r="CK14" s="130">
        <f t="shared" si="23"/>
        <v>2.2675736961451248E-3</v>
      </c>
      <c r="CL14" s="130">
        <f t="shared" si="23"/>
        <v>2.8698979591836732E-3</v>
      </c>
      <c r="CM14" s="130" t="str">
        <f t="shared" si="23"/>
        <v/>
      </c>
      <c r="CN14" s="130" t="str">
        <f t="shared" si="23"/>
        <v/>
      </c>
      <c r="CO14" s="130" t="str">
        <f t="shared" si="23"/>
        <v/>
      </c>
      <c r="CP14" s="130" t="str">
        <f t="shared" si="23"/>
        <v/>
      </c>
      <c r="CQ14" s="130">
        <f t="shared" si="23"/>
        <v>2.7777777777777783E-2</v>
      </c>
      <c r="CR14" s="130">
        <f t="shared" si="23"/>
        <v>3.5430839002267575E-5</v>
      </c>
      <c r="CS14" s="130" t="str">
        <f t="shared" si="23"/>
        <v/>
      </c>
      <c r="CT14" s="130" t="str">
        <f t="shared" si="23"/>
        <v/>
      </c>
      <c r="CU14" s="130" t="str">
        <f t="shared" si="23"/>
        <v/>
      </c>
      <c r="CV14" s="130" t="str">
        <f t="shared" ref="CV14:EA14" si="24">IF(CV8="","",(CV8*CV8)/10000)</f>
        <v/>
      </c>
      <c r="CW14" s="130" t="str">
        <f t="shared" si="24"/>
        <v/>
      </c>
      <c r="CX14" s="130" t="str">
        <f t="shared" si="24"/>
        <v/>
      </c>
      <c r="CY14" s="130" t="str">
        <f t="shared" si="24"/>
        <v/>
      </c>
      <c r="CZ14" s="130" t="str">
        <f t="shared" si="24"/>
        <v/>
      </c>
      <c r="DA14" s="130" t="str">
        <f t="shared" si="24"/>
        <v/>
      </c>
      <c r="DB14" s="130" t="str">
        <f t="shared" si="24"/>
        <v/>
      </c>
      <c r="DC14" s="130" t="str">
        <f t="shared" si="24"/>
        <v/>
      </c>
      <c r="DD14" s="130" t="str">
        <f t="shared" si="24"/>
        <v/>
      </c>
      <c r="DE14" s="130" t="str">
        <f t="shared" si="24"/>
        <v/>
      </c>
      <c r="DF14" s="130" t="str">
        <f t="shared" si="24"/>
        <v/>
      </c>
      <c r="DG14" s="130" t="str">
        <f t="shared" si="24"/>
        <v/>
      </c>
      <c r="DH14" s="130" t="str">
        <f t="shared" si="24"/>
        <v/>
      </c>
      <c r="DI14" s="130" t="str">
        <f t="shared" si="24"/>
        <v/>
      </c>
      <c r="DJ14" s="130" t="str">
        <f t="shared" si="24"/>
        <v/>
      </c>
      <c r="DK14" s="130" t="str">
        <f t="shared" si="24"/>
        <v/>
      </c>
      <c r="DL14" s="130" t="str">
        <f t="shared" si="24"/>
        <v/>
      </c>
      <c r="DM14" s="130" t="str">
        <f t="shared" si="24"/>
        <v/>
      </c>
      <c r="DN14" s="130" t="str">
        <f t="shared" si="24"/>
        <v/>
      </c>
      <c r="DO14" s="130" t="str">
        <f t="shared" si="24"/>
        <v/>
      </c>
      <c r="DP14" s="130" t="str">
        <f t="shared" si="24"/>
        <v/>
      </c>
      <c r="DQ14" s="130" t="str">
        <f t="shared" si="24"/>
        <v/>
      </c>
      <c r="DR14" s="130">
        <f t="shared" si="24"/>
        <v>3.5430839002267575E-5</v>
      </c>
      <c r="DS14" s="130" t="str">
        <f t="shared" si="24"/>
        <v/>
      </c>
      <c r="DT14" s="130" t="str">
        <f t="shared" si="24"/>
        <v/>
      </c>
      <c r="DU14" s="130" t="str">
        <f t="shared" si="24"/>
        <v/>
      </c>
      <c r="DV14" s="130" t="str">
        <f t="shared" si="24"/>
        <v/>
      </c>
      <c r="DW14" s="130" t="str">
        <f t="shared" si="24"/>
        <v/>
      </c>
      <c r="DX14" s="130" t="str">
        <f t="shared" si="24"/>
        <v/>
      </c>
      <c r="DY14" s="130" t="str">
        <f t="shared" si="24"/>
        <v/>
      </c>
      <c r="DZ14" s="130" t="str">
        <f t="shared" si="24"/>
        <v/>
      </c>
      <c r="EA14" s="130" t="str">
        <f t="shared" si="24"/>
        <v/>
      </c>
      <c r="EB14" s="130" t="str">
        <f t="shared" ref="EB14:EK14" si="25">IF(EB8="","",(EB8*EB8)/10000)</f>
        <v/>
      </c>
      <c r="EC14" s="130" t="str">
        <f t="shared" si="25"/>
        <v/>
      </c>
      <c r="ED14" s="130" t="str">
        <f t="shared" si="25"/>
        <v/>
      </c>
      <c r="EE14" s="130">
        <f t="shared" si="25"/>
        <v>3.5430839002267575E-5</v>
      </c>
      <c r="EF14" s="130" t="str">
        <f t="shared" si="25"/>
        <v/>
      </c>
      <c r="EG14" s="130" t="str">
        <f t="shared" si="25"/>
        <v/>
      </c>
      <c r="EH14" s="130" t="str">
        <f t="shared" si="25"/>
        <v/>
      </c>
      <c r="EI14" s="130" t="str">
        <f t="shared" si="25"/>
        <v/>
      </c>
      <c r="EJ14" s="130" t="str">
        <f t="shared" si="25"/>
        <v/>
      </c>
      <c r="EK14" s="130" t="str">
        <f t="shared" si="25"/>
        <v/>
      </c>
      <c r="EL14" s="130"/>
      <c r="EM14" s="130"/>
      <c r="EN14" s="130"/>
      <c r="EO14" s="130"/>
      <c r="EP14" s="130"/>
      <c r="EQ14" s="130" t="str">
        <f t="shared" ref="EQ14:EY14" si="26">IF(EQ8="","",(EQ8*EQ8)/10000)</f>
        <v/>
      </c>
      <c r="ER14" s="130" t="str">
        <f t="shared" si="26"/>
        <v/>
      </c>
      <c r="ES14" s="130" t="str">
        <f t="shared" si="26"/>
        <v/>
      </c>
      <c r="ET14" s="130" t="str">
        <f t="shared" si="26"/>
        <v/>
      </c>
      <c r="EU14" s="130" t="str">
        <f t="shared" si="26"/>
        <v/>
      </c>
      <c r="EV14" s="130" t="str">
        <f t="shared" si="26"/>
        <v/>
      </c>
      <c r="EW14" s="130" t="str">
        <f t="shared" si="26"/>
        <v/>
      </c>
      <c r="EX14" s="130" t="str">
        <f t="shared" si="26"/>
        <v/>
      </c>
      <c r="EY14" s="130" t="str">
        <f t="shared" si="26"/>
        <v/>
      </c>
    </row>
    <row r="15" spans="1:156" s="150" customFormat="1" x14ac:dyDescent="0.4"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</row>
    <row r="16" spans="1:156" ht="17.25" x14ac:dyDescent="0.45">
      <c r="B16" s="154" t="s">
        <v>24</v>
      </c>
      <c r="C16" s="155"/>
      <c r="D16" s="156"/>
      <c r="E16" s="153"/>
      <c r="F16" s="143"/>
      <c r="G16" s="143"/>
      <c r="H16" s="143"/>
      <c r="I16" s="143"/>
      <c r="J16" s="152"/>
      <c r="K16" s="152"/>
      <c r="L16" s="152"/>
      <c r="M16" s="152"/>
      <c r="N16" s="152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</row>
    <row r="17" spans="2:153" x14ac:dyDescent="0.4">
      <c r="B17" s="157" t="s">
        <v>324</v>
      </c>
      <c r="C17" s="158">
        <f>IF(SUM('ENTRY '!M2:M81)=0,"",COUNT('ENTRY '!M2:M81))</f>
        <v>80</v>
      </c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</row>
    <row r="18" spans="2:153" x14ac:dyDescent="0.4">
      <c r="B18" s="141" t="s">
        <v>53</v>
      </c>
      <c r="C18" s="158">
        <f>IF(SUM('ENTRY '!G2:G81)=0,"",COUNT('ENTRY '!G2:G81))</f>
        <v>69</v>
      </c>
      <c r="D18" s="160"/>
      <c r="E18" s="160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</row>
    <row r="19" spans="2:153" x14ac:dyDescent="0.4">
      <c r="B19" s="141" t="s">
        <v>54</v>
      </c>
      <c r="C19" s="158">
        <f>IF(SUM('ENTRY '!H2:H81)=0,"",SUM('ENTRY '!H2:H81))</f>
        <v>75</v>
      </c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</row>
    <row r="20" spans="2:153" x14ac:dyDescent="0.4">
      <c r="B20" s="134" t="s">
        <v>20</v>
      </c>
      <c r="C20" s="128">
        <f>IF(C19="","",(C18/C19)*100)</f>
        <v>92</v>
      </c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</row>
    <row r="21" spans="2:153" x14ac:dyDescent="0.4">
      <c r="B21" s="141" t="s">
        <v>3</v>
      </c>
      <c r="C21" s="128">
        <f>IF(C14="","",(1-C14))</f>
        <v>0.87542517006802723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</row>
    <row r="22" spans="2:153" ht="15" customHeight="1" x14ac:dyDescent="0.4">
      <c r="B22" s="141" t="s">
        <v>482</v>
      </c>
      <c r="C22" s="128">
        <f>IF(SUM('ENTRY '!G2:G81)=0,"",MAX('ENTRY '!G2:G81))</f>
        <v>11</v>
      </c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</row>
    <row r="23" spans="2:153" x14ac:dyDescent="0.4">
      <c r="B23" s="141" t="s">
        <v>55</v>
      </c>
      <c r="C23" s="161">
        <f>IF($C$17="","",COUNTIF('ENTRY '!O2:O81,"R"))</f>
        <v>0</v>
      </c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</row>
    <row r="24" spans="2:153" x14ac:dyDescent="0.4">
      <c r="B24" s="141" t="s">
        <v>27</v>
      </c>
      <c r="C24" s="161">
        <f>IF($C$17="","",COUNTIF('ENTRY '!O2:O81,"P"))</f>
        <v>80</v>
      </c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</row>
    <row r="25" spans="2:153" x14ac:dyDescent="0.4">
      <c r="B25" s="141" t="s">
        <v>32</v>
      </c>
      <c r="C25" s="132">
        <f>IF($C$17="","",(IF(SUM('ENTRY '!E2:E81)=0,"",AVERAGE('ENTRY '!E2:E81))))</f>
        <v>2.2400000000000002</v>
      </c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</row>
    <row r="26" spans="2:153" x14ac:dyDescent="0.4">
      <c r="B26" s="141" t="s">
        <v>56</v>
      </c>
      <c r="C26" s="132">
        <f>IF(SUM('ENTRY '!C2:C81)=0,"",AVERAGE('ENTRY '!C2:C81))</f>
        <v>2.4347826086956523</v>
      </c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</row>
    <row r="27" spans="2:153" x14ac:dyDescent="0.4">
      <c r="B27" s="141" t="s">
        <v>28</v>
      </c>
      <c r="C27" s="132">
        <f>IF(SUM('ENTRY '!F2:F81)=0,"",AVERAGE('ENTRY '!F2:F81))</f>
        <v>1.9466666666666668</v>
      </c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</row>
    <row r="28" spans="2:153" x14ac:dyDescent="0.4">
      <c r="B28" s="141" t="s">
        <v>57</v>
      </c>
      <c r="C28" s="132">
        <f>IF(SUM('ENTRY '!D2:D81)=0,"",AVERAGE('ENTRY '!D2:D81))</f>
        <v>2.1470588235294117</v>
      </c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</row>
    <row r="29" spans="2:153" x14ac:dyDescent="0.4">
      <c r="B29" s="141" t="s">
        <v>34</v>
      </c>
      <c r="C29" s="158">
        <f>IF(SUM(D9:EK9,EQ9:EY9)=0,"",COUNT(D9:EK9,EQ9:EY9))</f>
        <v>18</v>
      </c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</row>
    <row r="30" spans="2:153" x14ac:dyDescent="0.4">
      <c r="B30" s="141" t="s">
        <v>33</v>
      </c>
      <c r="C30" s="158">
        <f>IF($C$17="","",SUM((COUNTIF(D13:EK13,"present")),(COUNTIF(EQ13:EY13,"present"))))</f>
        <v>18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59"/>
      <c r="DV30" s="159"/>
      <c r="DW30" s="159"/>
      <c r="DX30" s="159"/>
      <c r="DY30" s="159"/>
      <c r="DZ30" s="159"/>
      <c r="EA30" s="159"/>
      <c r="EB30" s="159"/>
      <c r="EC30" s="159"/>
      <c r="ED30" s="159"/>
      <c r="EE30" s="159"/>
      <c r="EF30" s="159"/>
      <c r="EG30" s="159"/>
      <c r="EH30" s="159"/>
      <c r="EI30" s="159"/>
      <c r="EJ30" s="159"/>
      <c r="EK30" s="159"/>
      <c r="EL30" s="159"/>
      <c r="EM30" s="159"/>
      <c r="EN30" s="159"/>
      <c r="EO30" s="159"/>
      <c r="EP30" s="159"/>
      <c r="EQ30" s="159"/>
      <c r="ER30" s="159"/>
      <c r="ES30" s="159"/>
      <c r="ET30" s="159"/>
      <c r="EU30" s="159"/>
      <c r="EV30" s="159"/>
      <c r="EW30" s="159"/>
    </row>
    <row r="31" spans="2:153" x14ac:dyDescent="0.4">
      <c r="B31" s="141" t="s">
        <v>471</v>
      </c>
      <c r="C31" s="158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159"/>
      <c r="CB31" s="159"/>
      <c r="CC31" s="159"/>
      <c r="CD31" s="159"/>
      <c r="CE31" s="159"/>
      <c r="CF31" s="159"/>
      <c r="CG31" s="159"/>
      <c r="CH31" s="159"/>
      <c r="CI31" s="159"/>
      <c r="CJ31" s="159"/>
      <c r="CK31" s="159"/>
      <c r="CL31" s="159"/>
      <c r="CM31" s="159"/>
      <c r="CN31" s="159"/>
      <c r="CO31" s="159"/>
      <c r="CP31" s="159"/>
      <c r="CQ31" s="159"/>
      <c r="CR31" s="159"/>
      <c r="CS31" s="159"/>
      <c r="CT31" s="159"/>
      <c r="CU31" s="159"/>
      <c r="CV31" s="159"/>
      <c r="CW31" s="159"/>
      <c r="CX31" s="159"/>
      <c r="CY31" s="159"/>
      <c r="CZ31" s="159"/>
      <c r="DA31" s="159"/>
      <c r="DB31" s="159"/>
      <c r="DC31" s="159"/>
      <c r="DD31" s="159"/>
      <c r="DE31" s="159"/>
      <c r="DF31" s="159"/>
      <c r="DG31" s="159"/>
      <c r="DH31" s="159"/>
      <c r="DI31" s="159"/>
      <c r="DJ31" s="159"/>
      <c r="DK31" s="159"/>
      <c r="DL31" s="159"/>
      <c r="DM31" s="159"/>
      <c r="DN31" s="159"/>
      <c r="DO31" s="159"/>
      <c r="DP31" s="159"/>
      <c r="DQ31" s="159"/>
      <c r="DR31" s="159"/>
      <c r="DS31" s="159"/>
      <c r="DT31" s="159"/>
      <c r="DU31" s="159"/>
      <c r="DV31" s="159"/>
      <c r="DW31" s="159"/>
      <c r="DX31" s="159"/>
      <c r="DY31" s="159"/>
      <c r="DZ31" s="159"/>
      <c r="EA31" s="159"/>
      <c r="EB31" s="159"/>
      <c r="EC31" s="159"/>
      <c r="ED31" s="159"/>
      <c r="EE31" s="159"/>
      <c r="EF31" s="159"/>
      <c r="EG31" s="159"/>
      <c r="EH31" s="159"/>
      <c r="EI31" s="159"/>
      <c r="EJ31" s="159"/>
      <c r="EK31" s="159"/>
      <c r="EL31" s="159"/>
      <c r="EM31" s="159"/>
      <c r="EN31" s="159"/>
      <c r="EO31" s="159"/>
      <c r="EP31" s="159"/>
      <c r="EQ31" s="159"/>
      <c r="ER31" s="159"/>
      <c r="ES31" s="159"/>
      <c r="ET31" s="159"/>
      <c r="EU31" s="159"/>
      <c r="EV31" s="159"/>
      <c r="EW31" s="159"/>
    </row>
    <row r="32" spans="2:153" ht="15" customHeight="1" x14ac:dyDescent="0.4">
      <c r="B32" s="141" t="s">
        <v>469</v>
      </c>
      <c r="C32" s="128">
        <f>IF(SUM('ENTRY '!G2:G81)=0,"",AVERAGE('ENTRY '!G2:G81))</f>
        <v>4.8768115942028984</v>
      </c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</row>
    <row r="33" spans="2:153" ht="15" customHeight="1" x14ac:dyDescent="0.4">
      <c r="B33" s="141" t="s">
        <v>470</v>
      </c>
      <c r="C33" s="128">
        <f>IF(SUM('ENTRY '!G2:G81)=0,"",MEDIAN('ENTRY '!G2:G81))</f>
        <v>4</v>
      </c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</row>
    <row r="34" spans="2:153" x14ac:dyDescent="0.4">
      <c r="B34" s="141" t="s">
        <v>473</v>
      </c>
      <c r="C34" s="128">
        <f>IF(C17="","",AVERAGE('ENTRY '!Q2:Q103))</f>
        <v>1.4927536231884058</v>
      </c>
    </row>
    <row r="35" spans="2:153" ht="15" x14ac:dyDescent="0.4">
      <c r="B35" s="162" t="s">
        <v>483</v>
      </c>
    </row>
  </sheetData>
  <sheetProtection selectLockedCells="1" selectUnlockedCells="1"/>
  <phoneticPr fontId="11" type="noConversion"/>
  <dataValidations count="1">
    <dataValidation type="whole" allowBlank="1" showInputMessage="1" showErrorMessage="1" errorTitle="Presence/Absence Data" error="Enter 1 if present" sqref="D1:E6 F6:EP6" xr:uid="{00000000-0002-0000-0300-000000000000}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8"/>
  <sheetViews>
    <sheetView zoomScale="8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C22" sqref="C22"/>
    </sheetView>
  </sheetViews>
  <sheetFormatPr defaultColWidth="5.6640625" defaultRowHeight="13.15" x14ac:dyDescent="0.4"/>
  <cols>
    <col min="1" max="1" width="13.1328125" style="140" customWidth="1"/>
    <col min="2" max="2" width="77.1328125" style="140" bestFit="1" customWidth="1"/>
    <col min="3" max="3" width="10.33203125" style="163" bestFit="1" customWidth="1"/>
    <col min="4" max="5" width="6.6640625" style="159" customWidth="1"/>
    <col min="6" max="23" width="6.6640625" style="140" customWidth="1"/>
    <col min="24" max="16384" width="5.6640625" style="143"/>
  </cols>
  <sheetData>
    <row r="1" spans="1:25" s="115" customFormat="1" ht="138.6" customHeight="1" x14ac:dyDescent="0.65">
      <c r="A1" s="109"/>
      <c r="B1" s="110" t="s">
        <v>14</v>
      </c>
      <c r="C1" s="111" t="s">
        <v>12</v>
      </c>
      <c r="D1" s="112" t="s">
        <v>480</v>
      </c>
      <c r="E1" s="113" t="s">
        <v>481</v>
      </c>
      <c r="F1" s="114" t="s">
        <v>341</v>
      </c>
      <c r="G1" s="114" t="s">
        <v>474</v>
      </c>
      <c r="H1" s="114" t="s">
        <v>352</v>
      </c>
      <c r="I1" s="114" t="s">
        <v>358</v>
      </c>
      <c r="J1" s="114" t="s">
        <v>368</v>
      </c>
      <c r="K1" s="114" t="s">
        <v>376</v>
      </c>
      <c r="L1" s="114" t="s">
        <v>379</v>
      </c>
      <c r="M1" s="114" t="s">
        <v>388</v>
      </c>
      <c r="N1" s="114" t="s">
        <v>402</v>
      </c>
      <c r="O1" s="114" t="s">
        <v>403</v>
      </c>
      <c r="P1" s="114" t="s">
        <v>412</v>
      </c>
      <c r="Q1" s="114" t="s">
        <v>413</v>
      </c>
      <c r="R1" s="114" t="s">
        <v>418</v>
      </c>
      <c r="S1" s="114" t="s">
        <v>419</v>
      </c>
      <c r="T1" s="114" t="s">
        <v>445</v>
      </c>
      <c r="U1" s="114" t="s">
        <v>458</v>
      </c>
      <c r="V1" s="114" t="s">
        <v>477</v>
      </c>
      <c r="W1" s="114" t="s">
        <v>479</v>
      </c>
      <c r="X1" s="114"/>
      <c r="Y1" s="114"/>
    </row>
    <row r="2" spans="1:25" s="115" customFormat="1" ht="12.75" customHeight="1" x14ac:dyDescent="0.4">
      <c r="A2" s="116" t="s">
        <v>48</v>
      </c>
      <c r="B2" s="117" t="s">
        <v>512</v>
      </c>
      <c r="C2" s="118"/>
      <c r="D2" s="119"/>
      <c r="E2" s="120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21"/>
      <c r="W2" s="114"/>
      <c r="X2" s="114"/>
    </row>
    <row r="3" spans="1:25" s="115" customFormat="1" ht="12.75" customHeight="1" x14ac:dyDescent="0.4">
      <c r="A3" s="116" t="s">
        <v>25</v>
      </c>
      <c r="B3" s="117" t="s">
        <v>511</v>
      </c>
      <c r="C3" s="118"/>
      <c r="D3" s="119"/>
      <c r="E3" s="120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21"/>
      <c r="W3" s="114"/>
      <c r="X3" s="114"/>
    </row>
    <row r="4" spans="1:25" s="115" customFormat="1" ht="12.75" customHeight="1" x14ac:dyDescent="0.4">
      <c r="A4" s="116" t="s">
        <v>26</v>
      </c>
      <c r="B4" s="117">
        <v>2098200</v>
      </c>
      <c r="C4" s="118"/>
      <c r="D4" s="119"/>
      <c r="E4" s="120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21"/>
      <c r="W4" s="114"/>
      <c r="X4" s="114"/>
    </row>
    <row r="5" spans="1:25" s="115" customFormat="1" ht="12.75" customHeight="1" x14ac:dyDescent="0.4">
      <c r="A5" s="122" t="s">
        <v>39</v>
      </c>
      <c r="B5" s="123">
        <v>43255</v>
      </c>
      <c r="C5" s="118"/>
      <c r="D5" s="119"/>
      <c r="E5" s="120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21"/>
      <c r="W5" s="114"/>
      <c r="X5" s="114"/>
    </row>
    <row r="6" spans="1:25" s="115" customFormat="1" ht="15" customHeight="1" x14ac:dyDescent="0.45">
      <c r="B6" s="124" t="s">
        <v>23</v>
      </c>
      <c r="C6" s="118"/>
      <c r="D6" s="119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5"/>
      <c r="R6" s="120"/>
      <c r="S6" s="120"/>
      <c r="T6" s="120"/>
      <c r="U6" s="120"/>
      <c r="V6" s="119"/>
      <c r="W6" s="120"/>
      <c r="X6" s="126"/>
    </row>
    <row r="7" spans="1:25" x14ac:dyDescent="0.4">
      <c r="B7" s="141" t="s">
        <v>58</v>
      </c>
      <c r="C7" s="138"/>
      <c r="D7" s="142">
        <v>1</v>
      </c>
      <c r="E7" s="142">
        <v>21</v>
      </c>
      <c r="F7" s="142">
        <v>40</v>
      </c>
      <c r="G7" s="142">
        <v>1</v>
      </c>
      <c r="H7" s="142">
        <v>11</v>
      </c>
      <c r="I7" s="142">
        <v>11</v>
      </c>
      <c r="J7" s="142">
        <v>1</v>
      </c>
      <c r="K7" s="142">
        <v>8</v>
      </c>
      <c r="L7" s="142">
        <v>10</v>
      </c>
      <c r="M7" s="142">
        <v>3</v>
      </c>
      <c r="N7" s="142">
        <v>11</v>
      </c>
      <c r="O7" s="142">
        <v>2</v>
      </c>
      <c r="P7" s="142">
        <v>8</v>
      </c>
      <c r="Q7" s="142">
        <v>9</v>
      </c>
      <c r="R7" s="142">
        <v>28</v>
      </c>
      <c r="S7" s="142">
        <v>1</v>
      </c>
      <c r="T7" s="142">
        <v>1</v>
      </c>
      <c r="U7" s="142">
        <v>1</v>
      </c>
      <c r="V7" s="142">
        <v>3</v>
      </c>
      <c r="W7" s="142">
        <v>42</v>
      </c>
      <c r="X7" s="142" t="s">
        <v>488</v>
      </c>
    </row>
    <row r="8" spans="1:25" s="136" customFormat="1" ht="12.75" customHeight="1" x14ac:dyDescent="0.4">
      <c r="A8" s="133"/>
      <c r="B8" s="134" t="s">
        <v>1</v>
      </c>
      <c r="C8" s="128"/>
      <c r="D8" s="135">
        <v>0.59523809523809523</v>
      </c>
      <c r="E8" s="135">
        <v>12.5</v>
      </c>
      <c r="F8" s="135">
        <v>23.809523809523807</v>
      </c>
      <c r="G8" s="135">
        <v>0.59523809523809523</v>
      </c>
      <c r="H8" s="135">
        <v>6.5476190476190466</v>
      </c>
      <c r="I8" s="135">
        <v>6.5476190476190466</v>
      </c>
      <c r="J8" s="135">
        <v>0.59523809523809523</v>
      </c>
      <c r="K8" s="135">
        <v>4.7619047619047619</v>
      </c>
      <c r="L8" s="135">
        <v>5.9523809523809517</v>
      </c>
      <c r="M8" s="135">
        <v>1.7857142857142856</v>
      </c>
      <c r="N8" s="135">
        <v>6.5476190476190466</v>
      </c>
      <c r="O8" s="135">
        <v>1.1904761904761905</v>
      </c>
      <c r="P8" s="135">
        <v>4.7619047619047619</v>
      </c>
      <c r="Q8" s="135">
        <v>5.3571428571428568</v>
      </c>
      <c r="R8" s="135">
        <v>16.666666666666668</v>
      </c>
      <c r="S8" s="135">
        <v>0.59523809523809523</v>
      </c>
      <c r="T8" s="135">
        <v>0.59523809523809523</v>
      </c>
      <c r="U8" s="135">
        <v>0.59523809523809523</v>
      </c>
      <c r="V8" s="135"/>
      <c r="W8" s="135"/>
      <c r="X8" s="135" t="s">
        <v>488</v>
      </c>
    </row>
    <row r="9" spans="1:25" s="131" customFormat="1" ht="12.75" customHeight="1" x14ac:dyDescent="0.4">
      <c r="A9" s="127"/>
      <c r="B9" s="127" t="s">
        <v>13</v>
      </c>
      <c r="C9" s="128"/>
      <c r="D9" s="129">
        <v>1.4492753623188406</v>
      </c>
      <c r="E9" s="130">
        <v>30.434782608695656</v>
      </c>
      <c r="F9" s="130">
        <v>57.971014492753625</v>
      </c>
      <c r="G9" s="130">
        <v>1.4492753623188406</v>
      </c>
      <c r="H9" s="130">
        <v>15.942028985507244</v>
      </c>
      <c r="I9" s="130">
        <v>15.942028985507244</v>
      </c>
      <c r="J9" s="130">
        <v>1.4492753623188406</v>
      </c>
      <c r="K9" s="130">
        <v>11.594202898550725</v>
      </c>
      <c r="L9" s="130">
        <v>14.492753623188406</v>
      </c>
      <c r="M9" s="130">
        <v>4.3478260869565215</v>
      </c>
      <c r="N9" s="130">
        <v>15.942028985507244</v>
      </c>
      <c r="O9" s="130">
        <v>2.8985507246376812</v>
      </c>
      <c r="P9" s="130">
        <v>11.594202898550725</v>
      </c>
      <c r="Q9" s="130">
        <v>13.043478260869565</v>
      </c>
      <c r="R9" s="130">
        <v>40.579710144927539</v>
      </c>
      <c r="S9" s="130">
        <v>1.4492753623188406</v>
      </c>
      <c r="T9" s="130">
        <v>1.4492753623188406</v>
      </c>
      <c r="U9" s="130">
        <v>1.4492753623188406</v>
      </c>
      <c r="V9" s="130">
        <v>4.3478260869565215</v>
      </c>
      <c r="W9" s="130">
        <v>60.869565217391312</v>
      </c>
      <c r="X9" s="130" t="s">
        <v>488</v>
      </c>
    </row>
    <row r="10" spans="1:25" s="131" customFormat="1" ht="11.25" customHeight="1" x14ac:dyDescent="0.4">
      <c r="A10" s="127"/>
      <c r="B10" s="127" t="s">
        <v>20</v>
      </c>
      <c r="C10" s="132"/>
      <c r="D10" s="129">
        <v>1.3333333333333335</v>
      </c>
      <c r="E10" s="130">
        <v>28.000000000000004</v>
      </c>
      <c r="F10" s="130">
        <v>53.333333333333336</v>
      </c>
      <c r="G10" s="130">
        <v>1.3333333333333335</v>
      </c>
      <c r="H10" s="130">
        <v>14.666666666666666</v>
      </c>
      <c r="I10" s="130">
        <v>14.666666666666666</v>
      </c>
      <c r="J10" s="130">
        <v>1.3333333333333335</v>
      </c>
      <c r="K10" s="130">
        <v>10.666666666666668</v>
      </c>
      <c r="L10" s="130">
        <v>13.333333333333334</v>
      </c>
      <c r="M10" s="130">
        <v>4</v>
      </c>
      <c r="N10" s="130">
        <v>14.666666666666666</v>
      </c>
      <c r="O10" s="130">
        <v>2.666666666666667</v>
      </c>
      <c r="P10" s="130">
        <v>10.666666666666668</v>
      </c>
      <c r="Q10" s="130">
        <v>12</v>
      </c>
      <c r="R10" s="130">
        <v>37.333333333333336</v>
      </c>
      <c r="S10" s="130">
        <v>1.3333333333333335</v>
      </c>
      <c r="T10" s="130">
        <v>1.3333333333333335</v>
      </c>
      <c r="U10" s="130">
        <v>1.3333333333333335</v>
      </c>
      <c r="V10" s="130">
        <v>4</v>
      </c>
      <c r="W10" s="130">
        <v>56.000000000000007</v>
      </c>
      <c r="X10" s="130" t="s">
        <v>488</v>
      </c>
    </row>
    <row r="11" spans="1:25" s="139" customFormat="1" x14ac:dyDescent="0.4">
      <c r="A11" s="137"/>
      <c r="B11" s="127" t="s">
        <v>37</v>
      </c>
      <c r="C11" s="138">
        <v>1.4927536231884058</v>
      </c>
      <c r="D11" s="138">
        <v>1</v>
      </c>
      <c r="E11" s="138">
        <v>1.8095238095238095</v>
      </c>
      <c r="F11" s="138">
        <v>1.375</v>
      </c>
      <c r="G11" s="138">
        <v>1</v>
      </c>
      <c r="H11" s="138">
        <v>1.1818181818181819</v>
      </c>
      <c r="I11" s="138">
        <v>1.1818181818181819</v>
      </c>
      <c r="J11" s="138">
        <v>1</v>
      </c>
      <c r="K11" s="138">
        <v>1.125</v>
      </c>
      <c r="L11" s="138">
        <v>1</v>
      </c>
      <c r="M11" s="138">
        <v>1</v>
      </c>
      <c r="N11" s="138">
        <v>1.0909090909090908</v>
      </c>
      <c r="O11" s="138">
        <v>1</v>
      </c>
      <c r="P11" s="138">
        <v>1</v>
      </c>
      <c r="Q11" s="138">
        <v>1</v>
      </c>
      <c r="R11" s="138">
        <v>1.1071428571428572</v>
      </c>
      <c r="S11" s="138">
        <v>1</v>
      </c>
      <c r="T11" s="138">
        <v>1</v>
      </c>
      <c r="U11" s="138">
        <v>1</v>
      </c>
      <c r="V11" s="138">
        <v>1.6666666666666667</v>
      </c>
      <c r="W11" s="138">
        <v>1.0952380952380953</v>
      </c>
      <c r="X11" s="138" t="s">
        <v>488</v>
      </c>
    </row>
    <row r="12" spans="1:25" s="147" customFormat="1" x14ac:dyDescent="0.4">
      <c r="A12" s="144"/>
      <c r="B12" s="145" t="s">
        <v>35</v>
      </c>
      <c r="C12" s="146"/>
      <c r="D12" s="146">
        <v>13</v>
      </c>
      <c r="E12" s="146">
        <v>16</v>
      </c>
      <c r="F12" s="146" t="s">
        <v>488</v>
      </c>
      <c r="G12" s="146" t="s">
        <v>488</v>
      </c>
      <c r="H12" s="146" t="s">
        <v>488</v>
      </c>
      <c r="I12" s="146" t="s">
        <v>488</v>
      </c>
      <c r="J12" s="146" t="s">
        <v>488</v>
      </c>
      <c r="K12" s="146" t="s">
        <v>488</v>
      </c>
      <c r="L12" s="146" t="s">
        <v>488</v>
      </c>
      <c r="M12" s="146" t="s">
        <v>488</v>
      </c>
      <c r="N12" s="146" t="s">
        <v>488</v>
      </c>
      <c r="O12" s="146" t="s">
        <v>488</v>
      </c>
      <c r="P12" s="146" t="s">
        <v>488</v>
      </c>
      <c r="Q12" s="146" t="s">
        <v>488</v>
      </c>
      <c r="R12" s="146" t="s">
        <v>488</v>
      </c>
      <c r="S12" s="146" t="s">
        <v>488</v>
      </c>
      <c r="T12" s="146" t="s">
        <v>488</v>
      </c>
      <c r="U12" s="146" t="s">
        <v>488</v>
      </c>
      <c r="V12" s="146" t="s">
        <v>488</v>
      </c>
      <c r="W12" s="146" t="s">
        <v>488</v>
      </c>
      <c r="X12" s="146" t="s">
        <v>488</v>
      </c>
    </row>
    <row r="13" spans="1:25" s="147" customFormat="1" x14ac:dyDescent="0.4">
      <c r="B13" s="148" t="s">
        <v>36</v>
      </c>
      <c r="C13" s="149"/>
      <c r="D13" s="130" t="s">
        <v>489</v>
      </c>
      <c r="E13" s="130" t="s">
        <v>489</v>
      </c>
      <c r="F13" s="130" t="s">
        <v>489</v>
      </c>
      <c r="G13" s="130" t="s">
        <v>489</v>
      </c>
      <c r="H13" s="130" t="s">
        <v>489</v>
      </c>
      <c r="I13" s="130" t="s">
        <v>489</v>
      </c>
      <c r="J13" s="130" t="s">
        <v>489</v>
      </c>
      <c r="K13" s="130" t="s">
        <v>489</v>
      </c>
      <c r="L13" s="130" t="s">
        <v>489</v>
      </c>
      <c r="M13" s="130" t="s">
        <v>489</v>
      </c>
      <c r="N13" s="130" t="s">
        <v>489</v>
      </c>
      <c r="O13" s="130" t="s">
        <v>489</v>
      </c>
      <c r="P13" s="130" t="s">
        <v>489</v>
      </c>
      <c r="Q13" s="130" t="s">
        <v>489</v>
      </c>
      <c r="R13" s="130" t="s">
        <v>489</v>
      </c>
      <c r="S13" s="130" t="s">
        <v>489</v>
      </c>
      <c r="T13" s="130" t="s">
        <v>489</v>
      </c>
      <c r="U13" s="130" t="s">
        <v>489</v>
      </c>
      <c r="V13" s="130" t="s">
        <v>489</v>
      </c>
      <c r="W13" s="130" t="s">
        <v>489</v>
      </c>
      <c r="X13" s="130" t="s">
        <v>488</v>
      </c>
    </row>
    <row r="14" spans="1:25" s="139" customFormat="1" x14ac:dyDescent="0.4">
      <c r="A14" s="137"/>
      <c r="B14" s="137" t="s">
        <v>2</v>
      </c>
      <c r="C14" s="138">
        <v>0.12457482993197279</v>
      </c>
      <c r="D14" s="130">
        <v>3.5430839002267575E-5</v>
      </c>
      <c r="E14" s="130">
        <v>1.5625E-2</v>
      </c>
      <c r="F14" s="130">
        <v>5.6689342403628107E-2</v>
      </c>
      <c r="G14" s="130">
        <v>3.5430839002267575E-5</v>
      </c>
      <c r="H14" s="130">
        <v>4.2871315192743748E-3</v>
      </c>
      <c r="I14" s="130">
        <v>4.2871315192743748E-3</v>
      </c>
      <c r="J14" s="130">
        <v>3.5430839002267575E-5</v>
      </c>
      <c r="K14" s="130">
        <v>2.2675736961451248E-3</v>
      </c>
      <c r="L14" s="130">
        <v>3.5430839002267567E-3</v>
      </c>
      <c r="M14" s="130">
        <v>3.1887755102040814E-4</v>
      </c>
      <c r="N14" s="130">
        <v>4.2871315192743748E-3</v>
      </c>
      <c r="O14" s="130">
        <v>1.417233560090703E-4</v>
      </c>
      <c r="P14" s="130">
        <v>2.2675736961451248E-3</v>
      </c>
      <c r="Q14" s="130">
        <v>2.8698979591836732E-3</v>
      </c>
      <c r="R14" s="130">
        <v>2.7777777777777783E-2</v>
      </c>
      <c r="S14" s="130">
        <v>3.5430839002267575E-5</v>
      </c>
      <c r="T14" s="130">
        <v>3.5430839002267575E-5</v>
      </c>
      <c r="U14" s="130">
        <v>3.5430839002267575E-5</v>
      </c>
      <c r="V14" s="130"/>
      <c r="W14" s="130"/>
      <c r="X14" s="130" t="s">
        <v>488</v>
      </c>
    </row>
    <row r="15" spans="1:25" s="150" customFormat="1" x14ac:dyDescent="0.4">
      <c r="B15" s="151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</row>
    <row r="16" spans="1:25" ht="17.25" x14ac:dyDescent="0.45">
      <c r="B16" s="154" t="s">
        <v>24</v>
      </c>
      <c r="C16" s="155"/>
      <c r="D16" s="156"/>
      <c r="E16" s="153"/>
      <c r="F16" s="143"/>
      <c r="G16" s="143" t="s">
        <v>58</v>
      </c>
      <c r="H16" s="143" t="s">
        <v>1</v>
      </c>
      <c r="I16" s="143" t="s">
        <v>13</v>
      </c>
      <c r="J16" s="143" t="s">
        <v>20</v>
      </c>
      <c r="K16" s="143" t="s">
        <v>37</v>
      </c>
      <c r="L16" s="143" t="s">
        <v>35</v>
      </c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</row>
    <row r="17" spans="2:23" x14ac:dyDescent="0.4">
      <c r="B17" s="157" t="s">
        <v>324</v>
      </c>
      <c r="C17" s="158">
        <v>80</v>
      </c>
      <c r="E17" s="178"/>
      <c r="F17" s="140" t="s">
        <v>493</v>
      </c>
      <c r="G17" s="140">
        <v>42</v>
      </c>
      <c r="H17" s="180" t="s">
        <v>494</v>
      </c>
      <c r="I17" s="137">
        <v>60.869565217391312</v>
      </c>
      <c r="J17" s="137">
        <v>56.000000000000007</v>
      </c>
      <c r="K17" s="137">
        <v>1.0952380952380953</v>
      </c>
      <c r="L17" s="140">
        <v>0</v>
      </c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</row>
    <row r="18" spans="2:23" x14ac:dyDescent="0.4">
      <c r="B18" s="141" t="s">
        <v>53</v>
      </c>
      <c r="C18" s="158">
        <v>69</v>
      </c>
      <c r="D18" s="160"/>
      <c r="E18" s="178" t="s">
        <v>76</v>
      </c>
      <c r="F18" s="143" t="s">
        <v>77</v>
      </c>
      <c r="G18" s="143">
        <v>40</v>
      </c>
      <c r="H18" s="139">
        <v>23.809523809523807</v>
      </c>
      <c r="I18" s="139">
        <v>57.971014492753625</v>
      </c>
      <c r="J18" s="139">
        <v>53.333333333333336</v>
      </c>
      <c r="K18" s="139">
        <v>1.375</v>
      </c>
      <c r="L18" s="143">
        <v>0</v>
      </c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</row>
    <row r="19" spans="2:23" x14ac:dyDescent="0.4">
      <c r="B19" s="141" t="s">
        <v>54</v>
      </c>
      <c r="C19" s="158">
        <v>75</v>
      </c>
      <c r="E19" s="178" t="s">
        <v>190</v>
      </c>
      <c r="F19" s="159" t="s">
        <v>191</v>
      </c>
      <c r="G19" s="159">
        <v>28</v>
      </c>
      <c r="H19" s="153">
        <v>16.666666666666668</v>
      </c>
      <c r="I19" s="153">
        <v>40.579710144927539</v>
      </c>
      <c r="J19" s="153">
        <v>37.333333333333336</v>
      </c>
      <c r="K19" s="153">
        <v>1.1071428571428572</v>
      </c>
      <c r="L19" s="159">
        <v>0</v>
      </c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</row>
    <row r="20" spans="2:23" x14ac:dyDescent="0.4">
      <c r="B20" s="134" t="s">
        <v>20</v>
      </c>
      <c r="C20" s="128">
        <v>92</v>
      </c>
      <c r="E20" s="179" t="s">
        <v>490</v>
      </c>
      <c r="F20" s="143" t="s">
        <v>491</v>
      </c>
      <c r="G20" s="143">
        <v>21</v>
      </c>
      <c r="H20" s="139">
        <v>12.5</v>
      </c>
      <c r="I20" s="139">
        <v>30.434782608695656</v>
      </c>
      <c r="J20" s="139">
        <v>28.000000000000004</v>
      </c>
      <c r="K20" s="139">
        <v>1.8095238095238095</v>
      </c>
      <c r="L20" s="143">
        <v>16</v>
      </c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</row>
    <row r="21" spans="2:23" x14ac:dyDescent="0.4">
      <c r="B21" s="141" t="s">
        <v>3</v>
      </c>
      <c r="C21" s="128">
        <v>0.87542517006802723</v>
      </c>
      <c r="E21" s="178" t="s">
        <v>90</v>
      </c>
      <c r="F21" s="143" t="s">
        <v>91</v>
      </c>
      <c r="G21" s="143">
        <v>11</v>
      </c>
      <c r="H21" s="139">
        <v>6.5476190476190466</v>
      </c>
      <c r="I21" s="139">
        <v>15.942028985507244</v>
      </c>
      <c r="J21" s="139">
        <v>14.666666666666666</v>
      </c>
      <c r="K21" s="139">
        <v>1.1818181818181819</v>
      </c>
      <c r="L21" s="143">
        <v>0</v>
      </c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</row>
    <row r="22" spans="2:23" ht="15" customHeight="1" x14ac:dyDescent="0.4">
      <c r="B22" s="141" t="s">
        <v>482</v>
      </c>
      <c r="C22" s="128">
        <v>11</v>
      </c>
      <c r="E22" s="178" t="s">
        <v>101</v>
      </c>
      <c r="F22" s="143" t="s">
        <v>102</v>
      </c>
      <c r="G22" s="143">
        <v>11</v>
      </c>
      <c r="H22" s="139">
        <v>6.5476190476190466</v>
      </c>
      <c r="I22" s="139">
        <v>15.942028985507244</v>
      </c>
      <c r="J22" s="139">
        <v>14.666666666666666</v>
      </c>
      <c r="K22" s="139">
        <v>1.1818181818181819</v>
      </c>
      <c r="L22" s="143">
        <v>0</v>
      </c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</row>
    <row r="23" spans="2:23" x14ac:dyDescent="0.4">
      <c r="B23" s="141" t="s">
        <v>55</v>
      </c>
      <c r="C23" s="161">
        <v>0</v>
      </c>
      <c r="E23" s="178" t="s">
        <v>164</v>
      </c>
      <c r="F23" s="143" t="s">
        <v>305</v>
      </c>
      <c r="G23" s="143">
        <v>11</v>
      </c>
      <c r="H23" s="139">
        <v>6.5476190476190466</v>
      </c>
      <c r="I23" s="139">
        <v>15.942028985507244</v>
      </c>
      <c r="J23" s="139">
        <v>14.666666666666666</v>
      </c>
      <c r="K23" s="139">
        <v>1.0909090909090908</v>
      </c>
      <c r="L23" s="143">
        <v>0</v>
      </c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</row>
    <row r="24" spans="2:23" x14ac:dyDescent="0.4">
      <c r="B24" s="141" t="s">
        <v>27</v>
      </c>
      <c r="C24" s="161">
        <v>80</v>
      </c>
      <c r="E24" s="178" t="s">
        <v>130</v>
      </c>
      <c r="F24" s="143" t="s">
        <v>304</v>
      </c>
      <c r="G24" s="143">
        <v>10</v>
      </c>
      <c r="H24" s="139">
        <v>5.9523809523809517</v>
      </c>
      <c r="I24" s="139">
        <v>14.492753623188406</v>
      </c>
      <c r="J24" s="139">
        <v>13.333333333333334</v>
      </c>
      <c r="K24" s="139">
        <v>1</v>
      </c>
      <c r="L24" s="143">
        <v>0</v>
      </c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</row>
    <row r="25" spans="2:23" x14ac:dyDescent="0.4">
      <c r="B25" s="141" t="s">
        <v>32</v>
      </c>
      <c r="C25" s="132">
        <v>2.2400000000000002</v>
      </c>
      <c r="E25" s="178" t="s">
        <v>181</v>
      </c>
      <c r="F25" s="159" t="s">
        <v>182</v>
      </c>
      <c r="G25" s="159">
        <v>9</v>
      </c>
      <c r="H25" s="153">
        <v>5.3571428571428568</v>
      </c>
      <c r="I25" s="153">
        <v>13.043478260869565</v>
      </c>
      <c r="J25" s="153">
        <v>12</v>
      </c>
      <c r="K25" s="153">
        <v>1</v>
      </c>
      <c r="L25" s="159">
        <v>0</v>
      </c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</row>
    <row r="26" spans="2:23" x14ac:dyDescent="0.4">
      <c r="B26" s="141" t="s">
        <v>56</v>
      </c>
      <c r="C26" s="132">
        <v>2.4347826086956523</v>
      </c>
      <c r="E26" s="178" t="s">
        <v>270</v>
      </c>
      <c r="F26" s="143" t="s">
        <v>125</v>
      </c>
      <c r="G26" s="143">
        <v>8</v>
      </c>
      <c r="H26" s="139">
        <v>4.7619047619047619</v>
      </c>
      <c r="I26" s="139">
        <v>11.594202898550725</v>
      </c>
      <c r="J26" s="139">
        <v>10.666666666666668</v>
      </c>
      <c r="K26" s="139">
        <v>1.125</v>
      </c>
      <c r="L26" s="143">
        <v>0</v>
      </c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</row>
    <row r="27" spans="2:23" x14ac:dyDescent="0.4">
      <c r="B27" s="141" t="s">
        <v>28</v>
      </c>
      <c r="C27" s="132">
        <v>1.9466666666666668</v>
      </c>
      <c r="E27" s="178" t="s">
        <v>179</v>
      </c>
      <c r="F27" s="143" t="s">
        <v>180</v>
      </c>
      <c r="G27" s="143">
        <v>8</v>
      </c>
      <c r="H27" s="139">
        <v>4.7619047619047619</v>
      </c>
      <c r="I27" s="139">
        <v>11.594202898550725</v>
      </c>
      <c r="J27" s="139">
        <v>10.666666666666668</v>
      </c>
      <c r="K27" s="139">
        <v>1</v>
      </c>
      <c r="L27" s="143">
        <v>0</v>
      </c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</row>
    <row r="28" spans="2:23" x14ac:dyDescent="0.4">
      <c r="B28" s="141" t="s">
        <v>57</v>
      </c>
      <c r="C28" s="132">
        <v>2.1470588235294117</v>
      </c>
      <c r="E28" s="178" t="s">
        <v>141</v>
      </c>
      <c r="F28" s="143" t="s">
        <v>142</v>
      </c>
      <c r="G28" s="143">
        <v>3</v>
      </c>
      <c r="H28" s="139">
        <v>1.7857142857142856</v>
      </c>
      <c r="I28" s="139">
        <v>4.3478260869565215</v>
      </c>
      <c r="J28" s="139">
        <v>4</v>
      </c>
      <c r="K28" s="139">
        <v>1</v>
      </c>
      <c r="L28" s="143">
        <v>0</v>
      </c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</row>
    <row r="29" spans="2:23" x14ac:dyDescent="0.4">
      <c r="B29" s="141" t="s">
        <v>34</v>
      </c>
      <c r="C29" s="158">
        <v>18</v>
      </c>
      <c r="E29" s="178"/>
      <c r="F29" s="140" t="s">
        <v>517</v>
      </c>
      <c r="G29" s="140">
        <v>3</v>
      </c>
      <c r="H29" s="180" t="s">
        <v>494</v>
      </c>
      <c r="I29" s="137">
        <v>4.3478260869565215</v>
      </c>
      <c r="J29" s="137">
        <v>4</v>
      </c>
      <c r="K29" s="137">
        <v>1.6666666666666667</v>
      </c>
      <c r="L29" s="140">
        <v>0</v>
      </c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</row>
    <row r="30" spans="2:23" x14ac:dyDescent="0.4">
      <c r="B30" s="141" t="s">
        <v>33</v>
      </c>
      <c r="C30" s="158">
        <v>18</v>
      </c>
      <c r="E30" s="178" t="s">
        <v>165</v>
      </c>
      <c r="F30" s="143" t="s">
        <v>281</v>
      </c>
      <c r="G30" s="143">
        <v>2</v>
      </c>
      <c r="H30" s="139">
        <v>1.1904761904761905</v>
      </c>
      <c r="I30" s="139">
        <v>2.8985507246376812</v>
      </c>
      <c r="J30" s="139">
        <v>2.666666666666667</v>
      </c>
      <c r="K30" s="139">
        <v>1</v>
      </c>
      <c r="L30" s="143">
        <v>0</v>
      </c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</row>
    <row r="31" spans="2:23" x14ac:dyDescent="0.4">
      <c r="B31" s="141" t="s">
        <v>471</v>
      </c>
      <c r="C31" s="158"/>
      <c r="E31" s="178" t="s">
        <v>518</v>
      </c>
      <c r="F31" s="143" t="s">
        <v>492</v>
      </c>
      <c r="G31" s="143">
        <v>1</v>
      </c>
      <c r="H31" s="139">
        <v>0.59523809523809523</v>
      </c>
      <c r="I31" s="139">
        <v>1.4492753623188406</v>
      </c>
      <c r="J31" s="139">
        <v>1.3333333333333335</v>
      </c>
      <c r="K31" s="139">
        <v>1</v>
      </c>
      <c r="L31" s="143">
        <v>0</v>
      </c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</row>
    <row r="32" spans="2:23" ht="15" customHeight="1" x14ac:dyDescent="0.4">
      <c r="B32" s="141" t="s">
        <v>469</v>
      </c>
      <c r="C32" s="128">
        <v>4.8768115942028984</v>
      </c>
      <c r="E32" s="178" t="s">
        <v>113</v>
      </c>
      <c r="F32" s="143" t="s">
        <v>283</v>
      </c>
      <c r="G32" s="143">
        <v>1</v>
      </c>
      <c r="H32" s="139">
        <v>0.59523809523809523</v>
      </c>
      <c r="I32" s="139">
        <v>1.4492753623188406</v>
      </c>
      <c r="J32" s="139">
        <v>1.3333333333333335</v>
      </c>
      <c r="K32" s="139">
        <v>1</v>
      </c>
      <c r="L32" s="143">
        <v>0</v>
      </c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</row>
    <row r="33" spans="2:23" ht="15" customHeight="1" x14ac:dyDescent="0.4">
      <c r="B33" s="141" t="s">
        <v>470</v>
      </c>
      <c r="C33" s="128">
        <v>4</v>
      </c>
      <c r="E33" s="178" t="s">
        <v>515</v>
      </c>
      <c r="F33" s="143" t="s">
        <v>516</v>
      </c>
      <c r="G33" s="143">
        <v>1</v>
      </c>
      <c r="H33" s="139">
        <v>0.59523809523809523</v>
      </c>
      <c r="I33" s="139">
        <v>1.4492753623188406</v>
      </c>
      <c r="J33" s="139">
        <v>1.3333333333333335</v>
      </c>
      <c r="K33" s="139">
        <v>1</v>
      </c>
      <c r="L33" s="143">
        <v>13</v>
      </c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</row>
    <row r="34" spans="2:23" x14ac:dyDescent="0.4">
      <c r="B34" s="141" t="s">
        <v>473</v>
      </c>
      <c r="C34" s="128">
        <v>1.4927536231884058</v>
      </c>
      <c r="E34" s="178" t="s">
        <v>192</v>
      </c>
      <c r="F34" s="143" t="s">
        <v>308</v>
      </c>
      <c r="G34" s="143">
        <v>1</v>
      </c>
      <c r="H34" s="139">
        <v>0.59523809523809523</v>
      </c>
      <c r="I34" s="139">
        <v>1.4492753623188406</v>
      </c>
      <c r="J34" s="139">
        <v>1.3333333333333335</v>
      </c>
      <c r="K34" s="139">
        <v>1</v>
      </c>
      <c r="L34" s="143">
        <v>0</v>
      </c>
    </row>
    <row r="35" spans="2:23" ht="15" x14ac:dyDescent="0.4">
      <c r="B35" s="162" t="s">
        <v>483</v>
      </c>
      <c r="E35" s="178" t="s">
        <v>230</v>
      </c>
      <c r="F35" s="143" t="s">
        <v>264</v>
      </c>
      <c r="G35" s="143">
        <v>1</v>
      </c>
      <c r="H35" s="139">
        <v>0.59523809523809523</v>
      </c>
      <c r="I35" s="139">
        <v>1.4492753623188406</v>
      </c>
      <c r="J35" s="139">
        <v>1.3333333333333335</v>
      </c>
      <c r="K35" s="139">
        <v>1</v>
      </c>
      <c r="L35" s="143">
        <v>0</v>
      </c>
    </row>
    <row r="36" spans="2:23" x14ac:dyDescent="0.4">
      <c r="E36" s="178" t="s">
        <v>252</v>
      </c>
      <c r="F36" s="140" t="s">
        <v>253</v>
      </c>
      <c r="G36" s="140">
        <v>1</v>
      </c>
      <c r="H36" s="137">
        <v>0.59523809523809523</v>
      </c>
      <c r="I36" s="137">
        <v>1.4492753623188406</v>
      </c>
      <c r="J36" s="137">
        <v>1.3333333333333335</v>
      </c>
      <c r="K36" s="137">
        <v>1</v>
      </c>
      <c r="L36" s="140">
        <v>0</v>
      </c>
    </row>
    <row r="38" spans="2:23" x14ac:dyDescent="0.4">
      <c r="H38" s="143" t="s">
        <v>495</v>
      </c>
    </row>
  </sheetData>
  <sheetProtection selectLockedCells="1" selectUnlockedCells="1"/>
  <sortState ref="E17:L36">
    <sortCondition descending="1" ref="G17:G36"/>
    <sortCondition ref="E17:E36"/>
  </sortState>
  <dataValidations count="1">
    <dataValidation type="whole" allowBlank="1" showInputMessage="1" showErrorMessage="1" errorTitle="Presence/Absence Data" error="Enter 1 if present" sqref="D1:E6 F6:W6" xr:uid="{00000000-0002-0000-0400-000000000000}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workbookViewId="0">
      <selection activeCell="A41" sqref="A22:XFD41"/>
    </sheetView>
  </sheetViews>
  <sheetFormatPr defaultRowHeight="12.75" x14ac:dyDescent="0.35"/>
  <cols>
    <col min="1" max="1" width="14.6640625" bestFit="1" customWidth="1"/>
    <col min="2" max="2" width="19.33203125" bestFit="1" customWidth="1"/>
  </cols>
  <sheetData>
    <row r="1" spans="1:2" ht="13.15" x14ac:dyDescent="0.4">
      <c r="A1" s="1" t="s">
        <v>268</v>
      </c>
      <c r="B1" s="1" t="s">
        <v>269</v>
      </c>
    </row>
    <row r="2" spans="1:2" x14ac:dyDescent="0.35">
      <c r="A2">
        <v>1</v>
      </c>
      <c r="B2">
        <f>COUNTIF('ENTRY '!G2:G81,"&lt;=1")</f>
        <v>1</v>
      </c>
    </row>
    <row r="3" spans="1:2" x14ac:dyDescent="0.35">
      <c r="A3">
        <v>2</v>
      </c>
      <c r="B3">
        <f>COUNTIF('ENTRY '!G2:G81,"&lt;=2")-(B2)</f>
        <v>11</v>
      </c>
    </row>
    <row r="4" spans="1:2" x14ac:dyDescent="0.35">
      <c r="A4">
        <v>3</v>
      </c>
      <c r="B4">
        <f>COUNTIF('ENTRY '!G2:G81,"&lt;=3")-(B2+B3)</f>
        <v>14</v>
      </c>
    </row>
    <row r="5" spans="1:2" x14ac:dyDescent="0.35">
      <c r="A5">
        <v>4</v>
      </c>
      <c r="B5">
        <f>COUNTIF('ENTRY '!G2:G81,"&lt;=4")-(SUM(B2:B4))</f>
        <v>9</v>
      </c>
    </row>
    <row r="6" spans="1:2" x14ac:dyDescent="0.35">
      <c r="A6">
        <v>5</v>
      </c>
      <c r="B6">
        <f>COUNTIF('ENTRY '!G2:G81,"&lt;=5")-(SUM(B2:B5))</f>
        <v>6</v>
      </c>
    </row>
    <row r="7" spans="1:2" x14ac:dyDescent="0.35">
      <c r="A7">
        <v>6</v>
      </c>
      <c r="B7">
        <f>COUNTIF('ENTRY '!G2:G81,"&lt;=6")-(SUM(B2:B6))</f>
        <v>10</v>
      </c>
    </row>
    <row r="8" spans="1:2" x14ac:dyDescent="0.35">
      <c r="A8">
        <v>7</v>
      </c>
      <c r="B8">
        <f>COUNTIF('ENTRY '!G2:G81,"&lt;=7")-(SUM(B2:B7))</f>
        <v>5</v>
      </c>
    </row>
    <row r="9" spans="1:2" x14ac:dyDescent="0.35">
      <c r="A9">
        <v>8</v>
      </c>
      <c r="B9">
        <f>COUNTIF('ENTRY '!G2:G81,"&lt;=8")-(SUM(B2:B8))</f>
        <v>3</v>
      </c>
    </row>
    <row r="10" spans="1:2" x14ac:dyDescent="0.35">
      <c r="A10">
        <v>9</v>
      </c>
      <c r="B10">
        <f>COUNTIF('ENTRY '!G2:G81,"&lt;=9")-(SUM(B2:B9))</f>
        <v>3</v>
      </c>
    </row>
    <row r="11" spans="1:2" x14ac:dyDescent="0.35">
      <c r="A11">
        <v>10</v>
      </c>
      <c r="B11">
        <f>COUNTIF('ENTRY '!G2:G81,"&lt;=10")-(SUM(B2:B10))</f>
        <v>4</v>
      </c>
    </row>
    <row r="12" spans="1:2" x14ac:dyDescent="0.35">
      <c r="A12">
        <v>11</v>
      </c>
      <c r="B12">
        <f>COUNTIF('ENTRY '!G2:G81,"&lt;=11")-(SUM(B2:B11))</f>
        <v>3</v>
      </c>
    </row>
    <row r="13" spans="1:2" x14ac:dyDescent="0.35">
      <c r="A13">
        <v>12</v>
      </c>
      <c r="B13">
        <f>COUNTIF('ENTRY '!G2:G81,"&lt;=12")-(SUM(B2:B12))</f>
        <v>0</v>
      </c>
    </row>
    <row r="14" spans="1:2" x14ac:dyDescent="0.35">
      <c r="A14">
        <v>13</v>
      </c>
      <c r="B14">
        <f>COUNTIF('ENTRY '!G2:G81,"&lt;=13")-(SUM(B2:B13))</f>
        <v>0</v>
      </c>
    </row>
    <row r="15" spans="1:2" x14ac:dyDescent="0.35">
      <c r="A15">
        <v>14</v>
      </c>
      <c r="B15">
        <f>COUNTIF('ENTRY '!G2:G81,"&lt;=14")-(SUM(B2:B14))</f>
        <v>0</v>
      </c>
    </row>
    <row r="16" spans="1:2" x14ac:dyDescent="0.35">
      <c r="A16">
        <v>15</v>
      </c>
      <c r="B16">
        <f>COUNTIF('ENTRY '!G2:G81,"&lt;=15")-(SUM(B2:B15))</f>
        <v>0</v>
      </c>
    </row>
    <row r="17" spans="1:7" x14ac:dyDescent="0.35">
      <c r="A17">
        <v>16</v>
      </c>
      <c r="B17">
        <f>COUNTIF('ENTRY '!G2:G81,"&lt;=16")-(SUM(B2:B16))</f>
        <v>0</v>
      </c>
    </row>
    <row r="18" spans="1:7" x14ac:dyDescent="0.35">
      <c r="A18">
        <v>17</v>
      </c>
      <c r="B18">
        <f>COUNTIF('ENTRY '!G2:G81,"&lt;=17")-(SUM(B2:B17))</f>
        <v>0</v>
      </c>
    </row>
    <row r="19" spans="1:7" x14ac:dyDescent="0.35">
      <c r="A19">
        <v>18</v>
      </c>
      <c r="B19">
        <f>COUNTIF('ENTRY '!G2:G81,"&lt;=18")-(SUM(B2:B18))</f>
        <v>0</v>
      </c>
    </row>
    <row r="20" spans="1:7" x14ac:dyDescent="0.35">
      <c r="A20">
        <v>19</v>
      </c>
      <c r="B20">
        <f>COUNTIF('ENTRY '!G2:G81,"&lt;=19")-(SUM(B2:B19))</f>
        <v>0</v>
      </c>
    </row>
    <row r="21" spans="1:7" x14ac:dyDescent="0.35">
      <c r="A21">
        <v>20</v>
      </c>
      <c r="B21">
        <f>COUNTIF('ENTRY '!G2:G81,"&lt;=20")-(SUM(B2:B20))</f>
        <v>0</v>
      </c>
    </row>
    <row r="23" spans="1:7" ht="13.15" thickBot="1" x14ac:dyDescent="0.4">
      <c r="G23" s="32"/>
    </row>
    <row r="24" spans="1:7" ht="13.9" x14ac:dyDescent="0.4">
      <c r="A24" s="80" t="s">
        <v>323</v>
      </c>
      <c r="B24" s="81"/>
      <c r="C24" s="81"/>
      <c r="D24" s="81"/>
      <c r="E24" s="81"/>
      <c r="F24" s="82"/>
      <c r="G24" s="86"/>
    </row>
    <row r="25" spans="1:7" ht="13.9" thickBot="1" x14ac:dyDescent="0.4">
      <c r="A25" s="83" t="s">
        <v>322</v>
      </c>
      <c r="B25" s="84"/>
      <c r="C25" s="84"/>
      <c r="D25" s="84"/>
      <c r="E25" s="84"/>
      <c r="F25" s="85"/>
      <c r="G25" s="87"/>
    </row>
  </sheetData>
  <phoneticPr fontId="11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4"/>
  <sheetViews>
    <sheetView zoomScale="85" workbookViewId="0">
      <selection activeCell="B69" sqref="B69"/>
    </sheetView>
  </sheetViews>
  <sheetFormatPr defaultColWidth="23.6640625" defaultRowHeight="12.75" x14ac:dyDescent="0.35"/>
  <cols>
    <col min="1" max="1" width="37.46484375" bestFit="1" customWidth="1"/>
    <col min="2" max="2" width="29.46484375" customWidth="1"/>
    <col min="3" max="3" width="14" bestFit="1" customWidth="1"/>
    <col min="4" max="4" width="20.1328125" bestFit="1" customWidth="1"/>
    <col min="5" max="5" width="12" customWidth="1"/>
    <col min="6" max="9" width="23.6640625" customWidth="1"/>
    <col min="10" max="10" width="29.33203125" customWidth="1"/>
  </cols>
  <sheetData>
    <row r="1" spans="1:11" ht="13.9" x14ac:dyDescent="0.4">
      <c r="A1" s="36"/>
      <c r="B1" s="37"/>
      <c r="C1" s="89" t="s">
        <v>48</v>
      </c>
      <c r="D1" s="106" t="str">
        <f>IF('ENTRY '!I2="","",'ENTRY '!I2)</f>
        <v>Lower Vermillion</v>
      </c>
      <c r="E1" s="88"/>
      <c r="F1" s="15"/>
      <c r="G1" s="15"/>
      <c r="H1" s="15"/>
      <c r="I1" s="15"/>
      <c r="J1" s="15"/>
      <c r="K1" s="15"/>
    </row>
    <row r="2" spans="1:11" ht="13.9" x14ac:dyDescent="0.4">
      <c r="A2" s="36"/>
      <c r="B2" s="37"/>
      <c r="C2" s="90" t="s">
        <v>25</v>
      </c>
      <c r="D2" s="91" t="str">
        <f>IF('ENTRY '!I3="","",'ENTRY '!I3)</f>
        <v>Barron</v>
      </c>
      <c r="E2" s="88"/>
      <c r="F2" s="15"/>
      <c r="G2" s="15"/>
      <c r="H2" s="15"/>
      <c r="I2" s="15"/>
      <c r="J2" s="15"/>
      <c r="K2" s="15"/>
    </row>
    <row r="3" spans="1:11" ht="17.649999999999999" x14ac:dyDescent="0.5">
      <c r="A3" s="36"/>
      <c r="B3" s="37"/>
      <c r="C3" s="90" t="s">
        <v>46</v>
      </c>
      <c r="D3" s="105">
        <f>IF('ENTRY '!I5="","",'ENTRY '!I5)</f>
        <v>43255</v>
      </c>
      <c r="E3" s="38"/>
      <c r="F3" s="9"/>
    </row>
    <row r="4" spans="1:11" ht="15.75" customHeight="1" x14ac:dyDescent="0.4">
      <c r="A4" s="36"/>
      <c r="B4" s="37"/>
      <c r="C4" s="92" t="s">
        <v>325</v>
      </c>
      <c r="D4" s="93"/>
      <c r="E4" s="38"/>
    </row>
    <row r="5" spans="1:11" ht="13.9" x14ac:dyDescent="0.4">
      <c r="A5" s="36"/>
      <c r="B5" s="37"/>
      <c r="C5" s="92" t="s">
        <v>326</v>
      </c>
      <c r="D5" s="93"/>
      <c r="E5" s="38"/>
    </row>
    <row r="6" spans="1:11" ht="14.25" thickBot="1" x14ac:dyDescent="0.45">
      <c r="A6" s="36"/>
      <c r="B6" s="37"/>
      <c r="C6" s="94" t="s">
        <v>59</v>
      </c>
      <c r="D6" s="95"/>
      <c r="E6" s="38"/>
    </row>
    <row r="7" spans="1:11" ht="13.9" thickBot="1" x14ac:dyDescent="0.4">
      <c r="A7" s="36"/>
      <c r="B7" s="37"/>
      <c r="C7" s="36"/>
      <c r="D7" s="36"/>
      <c r="E7" s="38"/>
    </row>
    <row r="8" spans="1:11" ht="14.25" thickBot="1" x14ac:dyDescent="0.45">
      <c r="A8" s="66" t="s">
        <v>60</v>
      </c>
      <c r="B8" s="67" t="s">
        <v>61</v>
      </c>
      <c r="C8" s="74" t="s">
        <v>62</v>
      </c>
      <c r="D8" s="68" t="s">
        <v>63</v>
      </c>
      <c r="E8" s="39"/>
    </row>
    <row r="9" spans="1:11" ht="14.25" customHeight="1" thickBot="1" x14ac:dyDescent="0.45">
      <c r="A9" s="63" t="s">
        <v>295</v>
      </c>
      <c r="B9" s="64" t="s">
        <v>294</v>
      </c>
      <c r="C9" s="65">
        <v>7</v>
      </c>
      <c r="D9" s="71">
        <f>IF(STATS!F7&lt;&gt;"",1,0)</f>
        <v>0</v>
      </c>
      <c r="E9" s="69">
        <f t="shared" ref="E9:E42" si="0">C9*D9</f>
        <v>0</v>
      </c>
    </row>
    <row r="10" spans="1:11" ht="14.25" customHeight="1" x14ac:dyDescent="0.4">
      <c r="A10" s="54" t="s">
        <v>64</v>
      </c>
      <c r="B10" s="47" t="s">
        <v>276</v>
      </c>
      <c r="C10" s="55">
        <v>4</v>
      </c>
      <c r="D10" s="71">
        <f>IF(STATS!G7&lt;&gt;"",1,0)</f>
        <v>0</v>
      </c>
      <c r="E10" s="69">
        <f t="shared" si="0"/>
        <v>0</v>
      </c>
    </row>
    <row r="11" spans="1:11" ht="14.25" customHeight="1" x14ac:dyDescent="0.4">
      <c r="A11" s="56" t="s">
        <v>321</v>
      </c>
      <c r="B11" s="47" t="s">
        <v>118</v>
      </c>
      <c r="C11" s="55">
        <v>8</v>
      </c>
      <c r="D11" s="72">
        <f>IF(STATS!H7&lt;&gt;"",1,0)</f>
        <v>0</v>
      </c>
      <c r="E11" s="69">
        <f t="shared" si="0"/>
        <v>0</v>
      </c>
    </row>
    <row r="12" spans="1:11" ht="14.25" customHeight="1" x14ac:dyDescent="0.4">
      <c r="A12" s="54" t="s">
        <v>65</v>
      </c>
      <c r="B12" s="40" t="s">
        <v>277</v>
      </c>
      <c r="C12" s="55">
        <v>6</v>
      </c>
      <c r="D12" s="72">
        <f>IF(STATS!I7&lt;&gt;"",1,0)</f>
        <v>0</v>
      </c>
      <c r="E12" s="69">
        <f t="shared" si="0"/>
        <v>0</v>
      </c>
    </row>
    <row r="13" spans="1:11" ht="14.25" customHeight="1" x14ac:dyDescent="0.4">
      <c r="A13" s="56" t="s">
        <v>66</v>
      </c>
      <c r="B13" s="47" t="s">
        <v>67</v>
      </c>
      <c r="C13" s="57">
        <v>6</v>
      </c>
      <c r="D13" s="72">
        <f>IF(STATS!J7&lt;&gt;"",1,0)</f>
        <v>0</v>
      </c>
      <c r="E13" s="69">
        <f t="shared" si="0"/>
        <v>0</v>
      </c>
    </row>
    <row r="14" spans="1:11" ht="14.25" customHeight="1" x14ac:dyDescent="0.4">
      <c r="A14" s="56" t="s">
        <v>68</v>
      </c>
      <c r="B14" s="47" t="s">
        <v>278</v>
      </c>
      <c r="C14" s="57">
        <v>9</v>
      </c>
      <c r="D14" s="72">
        <f>IF(STATS!K7&lt;&gt;"",1,0)</f>
        <v>0</v>
      </c>
      <c r="E14" s="69">
        <f t="shared" si="0"/>
        <v>0</v>
      </c>
    </row>
    <row r="15" spans="1:11" ht="14.25" customHeight="1" x14ac:dyDescent="0.4">
      <c r="A15" s="54" t="s">
        <v>69</v>
      </c>
      <c r="B15" s="47" t="s">
        <v>296</v>
      </c>
      <c r="C15" s="55">
        <v>9</v>
      </c>
      <c r="D15" s="72">
        <f>IF(STATS!L7&lt;&gt;"",1,0)</f>
        <v>0</v>
      </c>
      <c r="E15" s="69">
        <f t="shared" si="0"/>
        <v>0</v>
      </c>
    </row>
    <row r="16" spans="1:11" ht="14.25" customHeight="1" x14ac:dyDescent="0.4">
      <c r="A16" s="54" t="s">
        <v>70</v>
      </c>
      <c r="B16" s="47" t="s">
        <v>297</v>
      </c>
      <c r="C16" s="55">
        <v>9</v>
      </c>
      <c r="D16" s="72">
        <f>IF(STATS!M7&lt;&gt;"",1,0)</f>
        <v>0</v>
      </c>
      <c r="E16" s="69">
        <f t="shared" si="0"/>
        <v>0</v>
      </c>
    </row>
    <row r="17" spans="1:5" ht="14.25" customHeight="1" x14ac:dyDescent="0.4">
      <c r="A17" s="56" t="s">
        <v>71</v>
      </c>
      <c r="B17" s="47" t="s">
        <v>298</v>
      </c>
      <c r="C17" s="57">
        <v>8</v>
      </c>
      <c r="D17" s="72">
        <f>IF(STATS!N7&lt;&gt;"",1,0)</f>
        <v>0</v>
      </c>
      <c r="E17" s="69">
        <f t="shared" si="0"/>
        <v>0</v>
      </c>
    </row>
    <row r="18" spans="1:5" ht="14.25" customHeight="1" x14ac:dyDescent="0.4">
      <c r="A18" s="56" t="s">
        <v>72</v>
      </c>
      <c r="B18" s="47" t="s">
        <v>73</v>
      </c>
      <c r="C18" s="57">
        <v>5</v>
      </c>
      <c r="D18" s="72">
        <f>IF(STATS!O7&lt;&gt;"",1,0)</f>
        <v>0</v>
      </c>
      <c r="E18" s="69">
        <f t="shared" si="0"/>
        <v>0</v>
      </c>
    </row>
    <row r="19" spans="1:5" ht="14.25" customHeight="1" x14ac:dyDescent="0.4">
      <c r="A19" s="56" t="s">
        <v>74</v>
      </c>
      <c r="B19" s="48" t="s">
        <v>75</v>
      </c>
      <c r="C19" s="57">
        <v>10</v>
      </c>
      <c r="D19" s="72">
        <f>IF(STATS!P7&lt;&gt;"",1,0)</f>
        <v>0</v>
      </c>
      <c r="E19" s="69">
        <f t="shared" si="0"/>
        <v>0</v>
      </c>
    </row>
    <row r="20" spans="1:5" ht="14.25" customHeight="1" x14ac:dyDescent="0.4">
      <c r="A20" s="56" t="s">
        <v>76</v>
      </c>
      <c r="B20" s="47" t="s">
        <v>77</v>
      </c>
      <c r="C20" s="57">
        <v>3</v>
      </c>
      <c r="D20" s="72">
        <f>IF(STATS!Q7&lt;&gt;"",1,0)</f>
        <v>1</v>
      </c>
      <c r="E20" s="69">
        <f t="shared" si="0"/>
        <v>3</v>
      </c>
    </row>
    <row r="21" spans="1:5" ht="14.25" customHeight="1" x14ac:dyDescent="0.4">
      <c r="A21" s="54" t="s">
        <v>78</v>
      </c>
      <c r="B21" s="47" t="s">
        <v>274</v>
      </c>
      <c r="C21" s="55">
        <v>10</v>
      </c>
      <c r="D21" s="72">
        <f>IF(STATS!R7&lt;&gt;"",1,0)</f>
        <v>0</v>
      </c>
      <c r="E21" s="69">
        <f t="shared" si="0"/>
        <v>0</v>
      </c>
    </row>
    <row r="22" spans="1:5" ht="14.25" customHeight="1" x14ac:dyDescent="0.4">
      <c r="A22" s="56" t="s">
        <v>275</v>
      </c>
      <c r="B22" s="47" t="s">
        <v>79</v>
      </c>
      <c r="C22" s="57">
        <v>7</v>
      </c>
      <c r="D22" s="72">
        <f>IF(STATS!S7&lt;&gt;"",1,0)</f>
        <v>1</v>
      </c>
      <c r="E22" s="69">
        <f t="shared" si="0"/>
        <v>7</v>
      </c>
    </row>
    <row r="23" spans="1:5" ht="14.25" customHeight="1" x14ac:dyDescent="0.4">
      <c r="A23" s="56" t="s">
        <v>80</v>
      </c>
      <c r="B23" s="49" t="s">
        <v>81</v>
      </c>
      <c r="C23" s="57">
        <v>9</v>
      </c>
      <c r="D23" s="72">
        <f>IF(STATS!V7&lt;&gt;"",1,0)</f>
        <v>0</v>
      </c>
      <c r="E23" s="69">
        <f t="shared" si="0"/>
        <v>0</v>
      </c>
    </row>
    <row r="24" spans="1:5" ht="14.25" customHeight="1" x14ac:dyDescent="0.4">
      <c r="A24" s="56" t="s">
        <v>82</v>
      </c>
      <c r="B24" s="47" t="s">
        <v>83</v>
      </c>
      <c r="C24" s="57">
        <v>9</v>
      </c>
      <c r="D24" s="72">
        <f>IF(STATS!W7&lt;&gt;"",1,0)</f>
        <v>0</v>
      </c>
      <c r="E24" s="69">
        <f t="shared" si="0"/>
        <v>0</v>
      </c>
    </row>
    <row r="25" spans="1:5" ht="14.25" customHeight="1" x14ac:dyDescent="0.4">
      <c r="A25" s="54" t="s">
        <v>84</v>
      </c>
      <c r="B25" s="47" t="s">
        <v>279</v>
      </c>
      <c r="C25" s="55">
        <v>9</v>
      </c>
      <c r="D25" s="72">
        <f>IF(STATS!X7&lt;&gt;"",1,0)</f>
        <v>0</v>
      </c>
      <c r="E25" s="69">
        <f t="shared" si="0"/>
        <v>0</v>
      </c>
    </row>
    <row r="26" spans="1:5" ht="14.25" customHeight="1" x14ac:dyDescent="0.4">
      <c r="A26" s="56" t="s">
        <v>85</v>
      </c>
      <c r="B26" s="47" t="s">
        <v>86</v>
      </c>
      <c r="C26" s="57">
        <v>5</v>
      </c>
      <c r="D26" s="72">
        <f>IF(STATS!Y7&lt;&gt;"",1,0)</f>
        <v>0</v>
      </c>
      <c r="E26" s="69">
        <f t="shared" si="0"/>
        <v>0</v>
      </c>
    </row>
    <row r="27" spans="1:5" ht="14.25" customHeight="1" x14ac:dyDescent="0.4">
      <c r="A27" s="56" t="s">
        <v>87</v>
      </c>
      <c r="B27" s="48" t="s">
        <v>280</v>
      </c>
      <c r="C27" s="57">
        <v>3</v>
      </c>
      <c r="D27" s="72">
        <f>IF(STATS!Z7&lt;&gt;"",1,0)</f>
        <v>0</v>
      </c>
      <c r="E27" s="69">
        <f t="shared" si="0"/>
        <v>0</v>
      </c>
    </row>
    <row r="28" spans="1:5" ht="14.25" customHeight="1" x14ac:dyDescent="0.4">
      <c r="A28" s="56" t="s">
        <v>88</v>
      </c>
      <c r="B28" s="47" t="s">
        <v>89</v>
      </c>
      <c r="C28" s="57">
        <v>6</v>
      </c>
      <c r="D28" s="72">
        <f>IF(STATS!AA7&lt;&gt;"",1,0)</f>
        <v>0</v>
      </c>
      <c r="E28" s="69">
        <f t="shared" si="0"/>
        <v>0</v>
      </c>
    </row>
    <row r="29" spans="1:5" ht="14.25" customHeight="1" x14ac:dyDescent="0.4">
      <c r="A29" s="56" t="s">
        <v>90</v>
      </c>
      <c r="B29" s="47" t="s">
        <v>91</v>
      </c>
      <c r="C29" s="57">
        <v>3</v>
      </c>
      <c r="D29" s="72">
        <f>IF(STATS!AC7&lt;&gt;"",1,0)</f>
        <v>1</v>
      </c>
      <c r="E29" s="69">
        <f t="shared" si="0"/>
        <v>3</v>
      </c>
    </row>
    <row r="30" spans="1:5" ht="14.25" customHeight="1" x14ac:dyDescent="0.4">
      <c r="A30" s="54" t="s">
        <v>92</v>
      </c>
      <c r="B30" s="47" t="s">
        <v>93</v>
      </c>
      <c r="C30" s="55">
        <v>7</v>
      </c>
      <c r="D30" s="72">
        <f>IF(STATS!AD7&lt;&gt;"",1,0)</f>
        <v>0</v>
      </c>
      <c r="E30" s="69">
        <f t="shared" si="0"/>
        <v>0</v>
      </c>
    </row>
    <row r="31" spans="1:5" ht="14.25" customHeight="1" x14ac:dyDescent="0.4">
      <c r="A31" s="56" t="s">
        <v>94</v>
      </c>
      <c r="B31" s="47" t="s">
        <v>95</v>
      </c>
      <c r="C31" s="57">
        <v>7</v>
      </c>
      <c r="D31" s="72">
        <f>IF(STATS!AE7&lt;&gt;"",1,0)</f>
        <v>0</v>
      </c>
      <c r="E31" s="69">
        <f t="shared" si="0"/>
        <v>0</v>
      </c>
    </row>
    <row r="32" spans="1:5" ht="14.25" customHeight="1" x14ac:dyDescent="0.4">
      <c r="A32" s="56" t="s">
        <v>96</v>
      </c>
      <c r="B32" s="47" t="s">
        <v>97</v>
      </c>
      <c r="C32" s="57">
        <v>9</v>
      </c>
      <c r="D32" s="72">
        <f>IF(STATS!AF7&lt;&gt;"",1,0)</f>
        <v>0</v>
      </c>
      <c r="E32" s="69">
        <f t="shared" si="0"/>
        <v>0</v>
      </c>
    </row>
    <row r="33" spans="1:5" ht="14.25" customHeight="1" x14ac:dyDescent="0.4">
      <c r="A33" s="54" t="s">
        <v>98</v>
      </c>
      <c r="B33" s="47" t="s">
        <v>99</v>
      </c>
      <c r="C33" s="55">
        <v>8</v>
      </c>
      <c r="D33" s="72">
        <f>IF(STATS!AG7&lt;&gt;"",1,0)</f>
        <v>0</v>
      </c>
      <c r="E33" s="69">
        <f t="shared" si="0"/>
        <v>0</v>
      </c>
    </row>
    <row r="34" spans="1:5" ht="14.25" customHeight="1" x14ac:dyDescent="0.4">
      <c r="A34" s="56" t="s">
        <v>100</v>
      </c>
      <c r="B34" s="47" t="s">
        <v>299</v>
      </c>
      <c r="C34" s="57">
        <v>10</v>
      </c>
      <c r="D34" s="72">
        <f>IF(STATS!AH7&lt;&gt;"",1,0)</f>
        <v>0</v>
      </c>
      <c r="E34" s="69">
        <f t="shared" si="0"/>
        <v>0</v>
      </c>
    </row>
    <row r="35" spans="1:5" ht="14.25" customHeight="1" x14ac:dyDescent="0.4">
      <c r="A35" s="56" t="s">
        <v>101</v>
      </c>
      <c r="B35" s="47" t="s">
        <v>102</v>
      </c>
      <c r="C35" s="57">
        <v>6</v>
      </c>
      <c r="D35" s="72">
        <f>IF(STATS!AI7&lt;&gt;"",1,0)</f>
        <v>1</v>
      </c>
      <c r="E35" s="69">
        <f t="shared" si="0"/>
        <v>6</v>
      </c>
    </row>
    <row r="36" spans="1:5" ht="14.25" customHeight="1" x14ac:dyDescent="0.4">
      <c r="A36" s="56" t="s">
        <v>103</v>
      </c>
      <c r="B36" s="47" t="s">
        <v>104</v>
      </c>
      <c r="C36" s="57">
        <v>8</v>
      </c>
      <c r="D36" s="72">
        <f>IF(STATS!AL7&lt;&gt;"",1,0)</f>
        <v>0</v>
      </c>
      <c r="E36" s="69">
        <f t="shared" si="0"/>
        <v>0</v>
      </c>
    </row>
    <row r="37" spans="1:5" ht="14.25" customHeight="1" x14ac:dyDescent="0.4">
      <c r="A37" s="56" t="s">
        <v>105</v>
      </c>
      <c r="B37" s="47" t="s">
        <v>300</v>
      </c>
      <c r="C37" s="57">
        <v>8</v>
      </c>
      <c r="D37" s="72">
        <f>IF(STATS!AM7&lt;&gt;"",1,0)</f>
        <v>0</v>
      </c>
      <c r="E37" s="69">
        <f t="shared" si="0"/>
        <v>0</v>
      </c>
    </row>
    <row r="38" spans="1:5" ht="14.25" customHeight="1" x14ac:dyDescent="0.4">
      <c r="A38" s="56" t="s">
        <v>318</v>
      </c>
      <c r="B38" s="47" t="s">
        <v>319</v>
      </c>
      <c r="C38" s="57">
        <v>8</v>
      </c>
      <c r="D38" s="72">
        <f>IF(STATS!AN7&lt;&gt;"",1,0)</f>
        <v>0</v>
      </c>
      <c r="E38" s="69">
        <f t="shared" si="0"/>
        <v>0</v>
      </c>
    </row>
    <row r="39" spans="1:5" ht="14.25" customHeight="1" x14ac:dyDescent="0.4">
      <c r="A39" s="56" t="s">
        <v>266</v>
      </c>
      <c r="B39" s="47" t="s">
        <v>106</v>
      </c>
      <c r="C39" s="57">
        <v>8</v>
      </c>
      <c r="D39" s="72">
        <f>IF(STATS!AO7&lt;&gt;"",1,0)</f>
        <v>0</v>
      </c>
      <c r="E39" s="69">
        <f t="shared" si="0"/>
        <v>0</v>
      </c>
    </row>
    <row r="40" spans="1:5" ht="14.25" customHeight="1" x14ac:dyDescent="0.4">
      <c r="A40" s="56" t="s">
        <v>107</v>
      </c>
      <c r="B40" s="48" t="s">
        <v>108</v>
      </c>
      <c r="C40" s="57">
        <v>4</v>
      </c>
      <c r="D40" s="72">
        <f>IF(STATS!AP7&lt;&gt;"",1,0)</f>
        <v>0</v>
      </c>
      <c r="E40" s="69">
        <f t="shared" si="0"/>
        <v>0</v>
      </c>
    </row>
    <row r="41" spans="1:5" ht="14.25" customHeight="1" x14ac:dyDescent="0.4">
      <c r="A41" s="54" t="s">
        <v>109</v>
      </c>
      <c r="B41" s="47" t="s">
        <v>110</v>
      </c>
      <c r="C41" s="55">
        <v>4</v>
      </c>
      <c r="D41" s="72">
        <f>IF(STATS!AQ7&lt;&gt;"",1,0)</f>
        <v>0</v>
      </c>
      <c r="E41" s="69">
        <f t="shared" si="0"/>
        <v>0</v>
      </c>
    </row>
    <row r="42" spans="1:5" ht="14.25" customHeight="1" x14ac:dyDescent="0.4">
      <c r="A42" s="54" t="s">
        <v>111</v>
      </c>
      <c r="B42" s="50" t="s">
        <v>112</v>
      </c>
      <c r="C42" s="55">
        <v>10</v>
      </c>
      <c r="D42" s="72">
        <f>IF(STATS!AR7&lt;&gt;"",1,0)</f>
        <v>0</v>
      </c>
      <c r="E42" s="69">
        <f t="shared" si="0"/>
        <v>0</v>
      </c>
    </row>
    <row r="43" spans="1:5" ht="14.25" customHeight="1" x14ac:dyDescent="0.4">
      <c r="A43" s="54" t="s">
        <v>113</v>
      </c>
      <c r="B43" s="47" t="s">
        <v>283</v>
      </c>
      <c r="C43" s="55">
        <v>6</v>
      </c>
      <c r="D43" s="72">
        <f>IF(STATS!AS7&lt;&gt;"",1,0)</f>
        <v>1</v>
      </c>
      <c r="E43" s="69">
        <f t="shared" ref="E43:E74" si="1">C43*D43</f>
        <v>6</v>
      </c>
    </row>
    <row r="44" spans="1:5" ht="14.25" customHeight="1" x14ac:dyDescent="0.4">
      <c r="A44" s="54" t="s">
        <v>301</v>
      </c>
      <c r="B44" s="47" t="s">
        <v>114</v>
      </c>
      <c r="C44" s="55">
        <v>10</v>
      </c>
      <c r="D44" s="72">
        <f>IF(STATS!AT7&lt;&gt;"",1,0)</f>
        <v>0</v>
      </c>
      <c r="E44" s="69">
        <f t="shared" si="1"/>
        <v>0</v>
      </c>
    </row>
    <row r="45" spans="1:5" ht="14.25" customHeight="1" x14ac:dyDescent="0.4">
      <c r="A45" s="56" t="s">
        <v>115</v>
      </c>
      <c r="B45" s="47" t="s">
        <v>116</v>
      </c>
      <c r="C45" s="57">
        <v>10</v>
      </c>
      <c r="D45" s="72">
        <f>IF(STATS!AU7&lt;&gt;"",1,0)</f>
        <v>0</v>
      </c>
      <c r="E45" s="69">
        <f t="shared" si="1"/>
        <v>0</v>
      </c>
    </row>
    <row r="46" spans="1:5" ht="14.25" customHeight="1" x14ac:dyDescent="0.4">
      <c r="A46" s="56" t="s">
        <v>117</v>
      </c>
      <c r="B46" s="50" t="s">
        <v>284</v>
      </c>
      <c r="C46" s="57">
        <v>4</v>
      </c>
      <c r="D46" s="72">
        <f>IF(STATS!AV7&lt;&gt;"",1,0)</f>
        <v>0</v>
      </c>
      <c r="E46" s="69">
        <f t="shared" si="1"/>
        <v>0</v>
      </c>
    </row>
    <row r="47" spans="1:5" ht="14.25" customHeight="1" x14ac:dyDescent="0.4">
      <c r="A47" s="54" t="s">
        <v>119</v>
      </c>
      <c r="B47" s="47" t="s">
        <v>120</v>
      </c>
      <c r="C47" s="55">
        <v>10</v>
      </c>
      <c r="D47" s="72">
        <f>IF(STATS!AX7&lt;&gt;"",1,0)</f>
        <v>0</v>
      </c>
      <c r="E47" s="69">
        <f t="shared" si="1"/>
        <v>0</v>
      </c>
    </row>
    <row r="48" spans="1:5" ht="14.25" customHeight="1" x14ac:dyDescent="0.4">
      <c r="A48" s="56" t="s">
        <v>121</v>
      </c>
      <c r="B48" s="47" t="s">
        <v>122</v>
      </c>
      <c r="C48" s="57">
        <v>8</v>
      </c>
      <c r="D48" s="72">
        <f>IF(STATS!AY7&lt;&gt;"",1,0)</f>
        <v>0</v>
      </c>
      <c r="E48" s="69">
        <f t="shared" si="1"/>
        <v>0</v>
      </c>
    </row>
    <row r="49" spans="1:5" ht="14.25" customHeight="1" x14ac:dyDescent="0.4">
      <c r="A49" s="54" t="s">
        <v>123</v>
      </c>
      <c r="B49" s="47" t="s">
        <v>124</v>
      </c>
      <c r="C49" s="55">
        <v>7</v>
      </c>
      <c r="D49" s="72">
        <f>IF(STATS!AZ7&lt;&gt;"",1,0)</f>
        <v>0</v>
      </c>
      <c r="E49" s="69">
        <f t="shared" si="1"/>
        <v>0</v>
      </c>
    </row>
    <row r="50" spans="1:5" ht="14.25" customHeight="1" x14ac:dyDescent="0.4">
      <c r="A50" s="54" t="s">
        <v>270</v>
      </c>
      <c r="B50" s="47" t="s">
        <v>125</v>
      </c>
      <c r="C50" s="55">
        <v>6</v>
      </c>
      <c r="D50" s="72">
        <f>IF(STATS!BA7&lt;&gt;"",1,0)</f>
        <v>1</v>
      </c>
      <c r="E50" s="69">
        <f t="shared" si="1"/>
        <v>6</v>
      </c>
    </row>
    <row r="51" spans="1:5" ht="14.25" customHeight="1" x14ac:dyDescent="0.4">
      <c r="A51" s="56" t="s">
        <v>126</v>
      </c>
      <c r="B51" s="47" t="s">
        <v>127</v>
      </c>
      <c r="C51" s="57">
        <v>10</v>
      </c>
      <c r="D51" s="72">
        <f>IF(STATS!BB7&lt;&gt;"",1,0)</f>
        <v>0</v>
      </c>
      <c r="E51" s="69">
        <f t="shared" si="1"/>
        <v>0</v>
      </c>
    </row>
    <row r="52" spans="1:5" ht="14.25" customHeight="1" x14ac:dyDescent="0.4">
      <c r="A52" s="56" t="s">
        <v>128</v>
      </c>
      <c r="B52" s="47" t="s">
        <v>129</v>
      </c>
      <c r="C52" s="57">
        <v>8</v>
      </c>
      <c r="D52" s="72">
        <f>IF(STATS!BC7&lt;&gt;"",1,0)</f>
        <v>0</v>
      </c>
      <c r="E52" s="69">
        <f t="shared" si="1"/>
        <v>0</v>
      </c>
    </row>
    <row r="53" spans="1:5" ht="14.25" customHeight="1" x14ac:dyDescent="0.4">
      <c r="A53" s="56" t="s">
        <v>130</v>
      </c>
      <c r="B53" s="47" t="s">
        <v>304</v>
      </c>
      <c r="C53" s="57">
        <v>6</v>
      </c>
      <c r="D53" s="72">
        <f>IF(STATS!BD7&lt;&gt;"",1,0)</f>
        <v>1</v>
      </c>
      <c r="E53" s="69">
        <f t="shared" si="1"/>
        <v>6</v>
      </c>
    </row>
    <row r="54" spans="1:5" ht="14.25" customHeight="1" x14ac:dyDescent="0.4">
      <c r="A54" s="56" t="s">
        <v>131</v>
      </c>
      <c r="B54" s="48" t="s">
        <v>303</v>
      </c>
      <c r="C54" s="57">
        <v>7</v>
      </c>
      <c r="D54" s="72">
        <f>IF(STATS!BE7&lt;&gt;"",1,0)</f>
        <v>0</v>
      </c>
      <c r="E54" s="69">
        <f t="shared" si="1"/>
        <v>0</v>
      </c>
    </row>
    <row r="55" spans="1:5" ht="14.25" customHeight="1" x14ac:dyDescent="0.4">
      <c r="A55" s="56" t="s">
        <v>132</v>
      </c>
      <c r="B55" s="48" t="s">
        <v>302</v>
      </c>
      <c r="C55" s="57">
        <v>8</v>
      </c>
      <c r="D55" s="72">
        <f>IF(STATS!BF7&lt;&gt;"",1,0)</f>
        <v>0</v>
      </c>
      <c r="E55" s="69">
        <f t="shared" si="1"/>
        <v>0</v>
      </c>
    </row>
    <row r="56" spans="1:5" ht="14.25" customHeight="1" x14ac:dyDescent="0.4">
      <c r="A56" s="54" t="s">
        <v>133</v>
      </c>
      <c r="B56" s="50" t="s">
        <v>285</v>
      </c>
      <c r="C56" s="55">
        <v>7</v>
      </c>
      <c r="D56" s="72">
        <f>IF(STATS!BH7&lt;&gt;"",1,0)</f>
        <v>0</v>
      </c>
      <c r="E56" s="69">
        <f t="shared" si="1"/>
        <v>0</v>
      </c>
    </row>
    <row r="57" spans="1:5" ht="14.25" customHeight="1" x14ac:dyDescent="0.4">
      <c r="A57" s="56" t="s">
        <v>134</v>
      </c>
      <c r="B57" s="47" t="s">
        <v>135</v>
      </c>
      <c r="C57" s="57">
        <v>7</v>
      </c>
      <c r="D57" s="72">
        <f>IF(STATS!BI7&lt;&gt;"",1,0)</f>
        <v>0</v>
      </c>
      <c r="E57" s="69">
        <f t="shared" si="1"/>
        <v>0</v>
      </c>
    </row>
    <row r="58" spans="1:5" ht="14.25" customHeight="1" x14ac:dyDescent="0.4">
      <c r="A58" s="54" t="s">
        <v>136</v>
      </c>
      <c r="B58" s="47" t="s">
        <v>137</v>
      </c>
      <c r="C58" s="55">
        <v>8</v>
      </c>
      <c r="D58" s="72">
        <f>IF(STATS!BJ7&lt;&gt;"",1,0)</f>
        <v>0</v>
      </c>
      <c r="E58" s="69">
        <f t="shared" si="1"/>
        <v>0</v>
      </c>
    </row>
    <row r="59" spans="1:5" ht="14.25" customHeight="1" x14ac:dyDescent="0.4">
      <c r="A59" s="56" t="s">
        <v>138</v>
      </c>
      <c r="B59" s="47" t="s">
        <v>139</v>
      </c>
      <c r="C59" s="57">
        <v>9</v>
      </c>
      <c r="D59" s="72">
        <f>IF(STATS!BK7&lt;&gt;"",1,0)</f>
        <v>0</v>
      </c>
      <c r="E59" s="69">
        <f t="shared" si="1"/>
        <v>0</v>
      </c>
    </row>
    <row r="60" spans="1:5" ht="14.25" customHeight="1" x14ac:dyDescent="0.4">
      <c r="A60" s="56" t="s">
        <v>286</v>
      </c>
      <c r="B60" s="47" t="s">
        <v>140</v>
      </c>
      <c r="C60" s="57">
        <v>9</v>
      </c>
      <c r="D60" s="72">
        <f>IF(STATS!BL7&lt;&gt;"",1,0)</f>
        <v>0</v>
      </c>
      <c r="E60" s="69">
        <f t="shared" si="1"/>
        <v>0</v>
      </c>
    </row>
    <row r="61" spans="1:5" ht="14.25" customHeight="1" x14ac:dyDescent="0.4">
      <c r="A61" s="56" t="s">
        <v>141</v>
      </c>
      <c r="B61" s="47" t="s">
        <v>142</v>
      </c>
      <c r="C61" s="57">
        <v>6</v>
      </c>
      <c r="D61" s="72">
        <f>IF(STATS!BM7&lt;&gt;"",1,0)</f>
        <v>1</v>
      </c>
      <c r="E61" s="69">
        <f t="shared" si="1"/>
        <v>6</v>
      </c>
    </row>
    <row r="62" spans="1:5" ht="14.25" customHeight="1" x14ac:dyDescent="0.4">
      <c r="A62" s="56" t="s">
        <v>143</v>
      </c>
      <c r="B62" s="47" t="s">
        <v>144</v>
      </c>
      <c r="C62" s="57">
        <v>6</v>
      </c>
      <c r="D62" s="72">
        <f>IF(STATS!BN7&lt;&gt;"",1,0)</f>
        <v>0</v>
      </c>
      <c r="E62" s="69">
        <f t="shared" si="1"/>
        <v>0</v>
      </c>
    </row>
    <row r="63" spans="1:5" ht="14.25" customHeight="1" x14ac:dyDescent="0.4">
      <c r="A63" s="54" t="s">
        <v>145</v>
      </c>
      <c r="B63" s="47" t="s">
        <v>146</v>
      </c>
      <c r="C63" s="55">
        <v>1</v>
      </c>
      <c r="D63" s="72">
        <f>IF(STATS!BP7&lt;&gt;"",1,0)</f>
        <v>0</v>
      </c>
      <c r="E63" s="69">
        <f t="shared" si="1"/>
        <v>0</v>
      </c>
    </row>
    <row r="64" spans="1:5" ht="14.25" customHeight="1" x14ac:dyDescent="0.4">
      <c r="A64" s="56" t="s">
        <v>147</v>
      </c>
      <c r="B64" s="47" t="s">
        <v>148</v>
      </c>
      <c r="C64" s="57">
        <v>5</v>
      </c>
      <c r="D64" s="72">
        <f>IF(STATS!BQ7&lt;&gt;"",1,0)</f>
        <v>0</v>
      </c>
      <c r="E64" s="69">
        <f t="shared" si="1"/>
        <v>0</v>
      </c>
    </row>
    <row r="65" spans="1:5" ht="14.25" customHeight="1" x14ac:dyDescent="0.4">
      <c r="A65" s="56" t="s">
        <v>149</v>
      </c>
      <c r="B65" s="48" t="s">
        <v>150</v>
      </c>
      <c r="C65" s="57">
        <v>5</v>
      </c>
      <c r="D65" s="72">
        <f>IF(STATS!BR7&lt;&gt;"",1,0)</f>
        <v>0</v>
      </c>
      <c r="E65" s="69">
        <f t="shared" si="1"/>
        <v>0</v>
      </c>
    </row>
    <row r="66" spans="1:5" ht="14.25" customHeight="1" x14ac:dyDescent="0.4">
      <c r="A66" s="56" t="s">
        <v>151</v>
      </c>
      <c r="B66" s="47" t="s">
        <v>152</v>
      </c>
      <c r="C66" s="57">
        <v>8</v>
      </c>
      <c r="D66" s="72">
        <f>IF(STATS!BS7&lt;&gt;"",1,0)</f>
        <v>0</v>
      </c>
      <c r="E66" s="69">
        <f t="shared" si="1"/>
        <v>0</v>
      </c>
    </row>
    <row r="67" spans="1:5" ht="14.25" customHeight="1" x14ac:dyDescent="0.4">
      <c r="A67" s="56" t="s">
        <v>153</v>
      </c>
      <c r="B67" s="47" t="s">
        <v>154</v>
      </c>
      <c r="C67" s="57">
        <v>9</v>
      </c>
      <c r="D67" s="72">
        <f>IF(STATS!BT7&lt;&gt;"",1,0)</f>
        <v>0</v>
      </c>
      <c r="E67" s="69">
        <f t="shared" si="1"/>
        <v>0</v>
      </c>
    </row>
    <row r="68" spans="1:5" ht="14.25" customHeight="1" x14ac:dyDescent="0.4">
      <c r="A68" s="56" t="s">
        <v>155</v>
      </c>
      <c r="B68" s="47" t="s">
        <v>156</v>
      </c>
      <c r="C68" s="57">
        <v>7</v>
      </c>
      <c r="D68" s="72">
        <f>IF(STATS!BU7&lt;&gt;"",1,0)</f>
        <v>0</v>
      </c>
      <c r="E68" s="69">
        <f t="shared" si="1"/>
        <v>0</v>
      </c>
    </row>
    <row r="69" spans="1:5" ht="14.25" customHeight="1" x14ac:dyDescent="0.4">
      <c r="A69" s="56" t="s">
        <v>287</v>
      </c>
      <c r="B69" s="47" t="s">
        <v>476</v>
      </c>
      <c r="C69" s="57">
        <v>9</v>
      </c>
      <c r="D69" s="72">
        <f>IF(STATS!BV7&lt;&gt;"",1,0)</f>
        <v>0</v>
      </c>
      <c r="E69" s="69">
        <f t="shared" si="1"/>
        <v>0</v>
      </c>
    </row>
    <row r="70" spans="1:5" ht="14.25" customHeight="1" x14ac:dyDescent="0.4">
      <c r="A70" s="56" t="s">
        <v>157</v>
      </c>
      <c r="B70" s="47" t="s">
        <v>158</v>
      </c>
      <c r="C70" s="57">
        <v>10</v>
      </c>
      <c r="D70" s="72">
        <f>IF(STATS!BW7&lt;&gt;"",1,0)</f>
        <v>0</v>
      </c>
      <c r="E70" s="69">
        <f t="shared" si="1"/>
        <v>0</v>
      </c>
    </row>
    <row r="71" spans="1:5" ht="14.25" customHeight="1" x14ac:dyDescent="0.4">
      <c r="A71" s="54" t="s">
        <v>159</v>
      </c>
      <c r="B71" s="48" t="s">
        <v>288</v>
      </c>
      <c r="C71" s="55">
        <v>8</v>
      </c>
      <c r="D71" s="72">
        <f>IF(STATS!BX7&lt;&gt;"",1,0)</f>
        <v>0</v>
      </c>
      <c r="E71" s="69">
        <f t="shared" si="1"/>
        <v>0</v>
      </c>
    </row>
    <row r="72" spans="1:5" ht="14.25" customHeight="1" x14ac:dyDescent="0.4">
      <c r="A72" s="56" t="s">
        <v>160</v>
      </c>
      <c r="B72" s="47" t="s">
        <v>161</v>
      </c>
      <c r="C72" s="57">
        <v>8</v>
      </c>
      <c r="D72" s="72">
        <f>IF(STATS!BY7&lt;&gt;"",1,0)</f>
        <v>0</v>
      </c>
      <c r="E72" s="69">
        <f t="shared" si="1"/>
        <v>0</v>
      </c>
    </row>
    <row r="73" spans="1:5" ht="14.25" customHeight="1" x14ac:dyDescent="0.4">
      <c r="A73" s="54" t="s">
        <v>162</v>
      </c>
      <c r="B73" s="47" t="s">
        <v>163</v>
      </c>
      <c r="C73" s="55">
        <v>6</v>
      </c>
      <c r="D73" s="72">
        <f>IF(STATS!BZ7&lt;&gt;"",1,0)</f>
        <v>0</v>
      </c>
      <c r="E73" s="69">
        <f t="shared" si="1"/>
        <v>0</v>
      </c>
    </row>
    <row r="74" spans="1:5" ht="14.25" customHeight="1" x14ac:dyDescent="0.4">
      <c r="A74" s="54" t="s">
        <v>164</v>
      </c>
      <c r="B74" s="47" t="s">
        <v>305</v>
      </c>
      <c r="C74" s="55">
        <v>8</v>
      </c>
      <c r="D74" s="72">
        <f>IF(STATS!CA7&lt;&gt;"",1,0)</f>
        <v>1</v>
      </c>
      <c r="E74" s="69">
        <f t="shared" si="1"/>
        <v>8</v>
      </c>
    </row>
    <row r="75" spans="1:5" ht="14.25" customHeight="1" x14ac:dyDescent="0.4">
      <c r="A75" s="56" t="s">
        <v>165</v>
      </c>
      <c r="B75" s="47" t="s">
        <v>281</v>
      </c>
      <c r="C75" s="57">
        <v>7</v>
      </c>
      <c r="D75" s="72">
        <f>IF(STATS!CB7&lt;&gt;"",1,0)</f>
        <v>1</v>
      </c>
      <c r="E75" s="69">
        <f t="shared" ref="E75:E107" si="2">C75*D75</f>
        <v>7</v>
      </c>
    </row>
    <row r="76" spans="1:5" ht="14.25" customHeight="1" x14ac:dyDescent="0.4">
      <c r="A76" s="54" t="s">
        <v>166</v>
      </c>
      <c r="B76" s="47" t="s">
        <v>167</v>
      </c>
      <c r="C76" s="55">
        <v>9</v>
      </c>
      <c r="D76" s="72">
        <f>IF(STATS!CC7&lt;&gt;"",1,0)</f>
        <v>0</v>
      </c>
      <c r="E76" s="69">
        <f t="shared" si="2"/>
        <v>0</v>
      </c>
    </row>
    <row r="77" spans="1:5" ht="14.25" customHeight="1" x14ac:dyDescent="0.4">
      <c r="A77" s="54" t="s">
        <v>168</v>
      </c>
      <c r="B77" s="47" t="s">
        <v>169</v>
      </c>
      <c r="C77" s="55">
        <v>6</v>
      </c>
      <c r="D77" s="72">
        <f>IF(STATS!CD7&lt;&gt;"",1,0)</f>
        <v>0</v>
      </c>
      <c r="E77" s="69">
        <f t="shared" si="2"/>
        <v>0</v>
      </c>
    </row>
    <row r="78" spans="1:5" ht="14.25" customHeight="1" x14ac:dyDescent="0.4">
      <c r="A78" s="56" t="s">
        <v>170</v>
      </c>
      <c r="B78" s="47" t="s">
        <v>289</v>
      </c>
      <c r="C78" s="57">
        <v>5</v>
      </c>
      <c r="D78" s="72">
        <f>IF(STATS!CE7&lt;&gt;"",1,0)</f>
        <v>0</v>
      </c>
      <c r="E78" s="69">
        <f t="shared" si="2"/>
        <v>0</v>
      </c>
    </row>
    <row r="79" spans="1:5" ht="14.25" customHeight="1" x14ac:dyDescent="0.4">
      <c r="A79" s="54" t="s">
        <v>171</v>
      </c>
      <c r="B79" s="47" t="s">
        <v>172</v>
      </c>
      <c r="C79" s="55">
        <v>7</v>
      </c>
      <c r="D79" s="72">
        <f>IF(STATS!CF7&lt;&gt;"",1,0)</f>
        <v>0</v>
      </c>
      <c r="E79" s="69">
        <f t="shared" si="2"/>
        <v>0</v>
      </c>
    </row>
    <row r="80" spans="1:5" ht="14.25" customHeight="1" x14ac:dyDescent="0.4">
      <c r="A80" s="56" t="s">
        <v>173</v>
      </c>
      <c r="B80" s="47" t="s">
        <v>306</v>
      </c>
      <c r="C80" s="57">
        <v>10</v>
      </c>
      <c r="D80" s="72">
        <f>IF(STATS!CG7&lt;&gt;"",1,0)</f>
        <v>0</v>
      </c>
      <c r="E80" s="69">
        <f t="shared" si="2"/>
        <v>0</v>
      </c>
    </row>
    <row r="81" spans="1:5" ht="14.25" customHeight="1" x14ac:dyDescent="0.4">
      <c r="A81" s="54" t="s">
        <v>174</v>
      </c>
      <c r="B81" s="47" t="s">
        <v>175</v>
      </c>
      <c r="C81" s="55">
        <v>9</v>
      </c>
      <c r="D81" s="72">
        <f>IF(STATS!CH7&lt;&gt;"",1,0)</f>
        <v>0</v>
      </c>
      <c r="E81" s="69">
        <f t="shared" si="2"/>
        <v>0</v>
      </c>
    </row>
    <row r="82" spans="1:5" ht="14.25" customHeight="1" x14ac:dyDescent="0.4">
      <c r="A82" s="56" t="s">
        <v>265</v>
      </c>
      <c r="B82" s="47" t="s">
        <v>176</v>
      </c>
      <c r="C82" s="57">
        <v>8</v>
      </c>
      <c r="D82" s="72">
        <f>IF(STATS!CI7&lt;&gt;"",1,0)</f>
        <v>0</v>
      </c>
      <c r="E82" s="69">
        <f t="shared" si="2"/>
        <v>0</v>
      </c>
    </row>
    <row r="83" spans="1:5" ht="14.25" customHeight="1" x14ac:dyDescent="0.4">
      <c r="A83" s="54" t="s">
        <v>177</v>
      </c>
      <c r="B83" s="47" t="s">
        <v>178</v>
      </c>
      <c r="C83" s="55">
        <v>10</v>
      </c>
      <c r="D83" s="72">
        <f>IF(STATS!CJ7&lt;&gt;"",1,0)</f>
        <v>0</v>
      </c>
      <c r="E83" s="69">
        <f t="shared" si="2"/>
        <v>0</v>
      </c>
    </row>
    <row r="84" spans="1:5" ht="14.25" customHeight="1" x14ac:dyDescent="0.4">
      <c r="A84" s="56" t="s">
        <v>179</v>
      </c>
      <c r="B84" s="47" t="s">
        <v>180</v>
      </c>
      <c r="C84" s="57">
        <v>7</v>
      </c>
      <c r="D84" s="72">
        <f>IF(STATS!CK7&lt;&gt;"",1,0)</f>
        <v>1</v>
      </c>
      <c r="E84" s="69">
        <f t="shared" si="2"/>
        <v>7</v>
      </c>
    </row>
    <row r="85" spans="1:5" ht="14.25" customHeight="1" x14ac:dyDescent="0.4">
      <c r="A85" s="56" t="s">
        <v>181</v>
      </c>
      <c r="B85" s="47" t="s">
        <v>182</v>
      </c>
      <c r="C85" s="57">
        <v>5</v>
      </c>
      <c r="D85" s="72">
        <f>IF(STATS!CL7&lt;&gt;"",1,0)</f>
        <v>1</v>
      </c>
      <c r="E85" s="69">
        <f t="shared" si="2"/>
        <v>5</v>
      </c>
    </row>
    <row r="86" spans="1:5" ht="14.25" customHeight="1" x14ac:dyDescent="0.4">
      <c r="A86" s="56" t="s">
        <v>183</v>
      </c>
      <c r="B86" s="47" t="s">
        <v>307</v>
      </c>
      <c r="C86" s="57">
        <v>8</v>
      </c>
      <c r="D86" s="72">
        <f>IF(STATS!CM7&lt;&gt;"",1,0)</f>
        <v>0</v>
      </c>
      <c r="E86" s="69">
        <f t="shared" si="2"/>
        <v>0</v>
      </c>
    </row>
    <row r="87" spans="1:5" ht="14.25" customHeight="1" x14ac:dyDescent="0.4">
      <c r="A87" s="56" t="s">
        <v>184</v>
      </c>
      <c r="B87" s="47" t="s">
        <v>185</v>
      </c>
      <c r="C87" s="57">
        <v>8</v>
      </c>
      <c r="D87" s="72">
        <f>IF(STATS!CN7&lt;&gt;"",1,0)</f>
        <v>0</v>
      </c>
      <c r="E87" s="69">
        <f t="shared" si="2"/>
        <v>0</v>
      </c>
    </row>
    <row r="88" spans="1:5" ht="14.25" customHeight="1" x14ac:dyDescent="0.4">
      <c r="A88" s="54" t="s">
        <v>186</v>
      </c>
      <c r="B88" s="47" t="s">
        <v>187</v>
      </c>
      <c r="C88" s="55">
        <v>8</v>
      </c>
      <c r="D88" s="72">
        <f>IF(STATS!CO7&lt;&gt;"",1,0)</f>
        <v>0</v>
      </c>
      <c r="E88" s="69">
        <f t="shared" si="2"/>
        <v>0</v>
      </c>
    </row>
    <row r="89" spans="1:5" ht="14.25" customHeight="1" x14ac:dyDescent="0.4">
      <c r="A89" s="54" t="s">
        <v>188</v>
      </c>
      <c r="B89" s="47" t="s">
        <v>189</v>
      </c>
      <c r="C89" s="55">
        <v>10</v>
      </c>
      <c r="D89" s="72">
        <f>IF(STATS!CP7&lt;&gt;"",1,0)</f>
        <v>0</v>
      </c>
      <c r="E89" s="69">
        <f t="shared" si="2"/>
        <v>0</v>
      </c>
    </row>
    <row r="90" spans="1:5" ht="14.25" customHeight="1" x14ac:dyDescent="0.4">
      <c r="A90" s="56" t="s">
        <v>190</v>
      </c>
      <c r="B90" s="47" t="s">
        <v>191</v>
      </c>
      <c r="C90" s="57">
        <v>6</v>
      </c>
      <c r="D90" s="72">
        <f>IF(STATS!CQ7&lt;&gt;"",1,0)</f>
        <v>1</v>
      </c>
      <c r="E90" s="69">
        <f t="shared" si="2"/>
        <v>6</v>
      </c>
    </row>
    <row r="91" spans="1:5" ht="14.25" customHeight="1" x14ac:dyDescent="0.4">
      <c r="A91" s="56" t="s">
        <v>192</v>
      </c>
      <c r="B91" s="47" t="s">
        <v>308</v>
      </c>
      <c r="C91" s="57">
        <v>8</v>
      </c>
      <c r="D91" s="72">
        <f>IF(STATS!CR7&lt;&gt;"",1,0)</f>
        <v>1</v>
      </c>
      <c r="E91" s="69">
        <f t="shared" si="2"/>
        <v>8</v>
      </c>
    </row>
    <row r="92" spans="1:5" ht="14.25" customHeight="1" x14ac:dyDescent="0.4">
      <c r="A92" s="56" t="s">
        <v>193</v>
      </c>
      <c r="B92" s="48" t="s">
        <v>309</v>
      </c>
      <c r="C92" s="57">
        <v>8</v>
      </c>
      <c r="D92" s="72">
        <f>IF(STATS!CS7&lt;&gt;"",1,0)</f>
        <v>0</v>
      </c>
      <c r="E92" s="69">
        <f t="shared" si="2"/>
        <v>0</v>
      </c>
    </row>
    <row r="93" spans="1:5" ht="14.25" customHeight="1" x14ac:dyDescent="0.4">
      <c r="A93" s="56" t="s">
        <v>194</v>
      </c>
      <c r="B93" s="47" t="s">
        <v>195</v>
      </c>
      <c r="C93" s="57">
        <v>9</v>
      </c>
      <c r="D93" s="72">
        <f>IF(STATS!CT7&lt;&gt;"",1,0)</f>
        <v>0</v>
      </c>
      <c r="E93" s="69">
        <f t="shared" si="2"/>
        <v>0</v>
      </c>
    </row>
    <row r="94" spans="1:5" ht="14.25" customHeight="1" x14ac:dyDescent="0.4">
      <c r="A94" s="54" t="s">
        <v>196</v>
      </c>
      <c r="B94" s="47" t="s">
        <v>197</v>
      </c>
      <c r="C94" s="55">
        <v>7</v>
      </c>
      <c r="D94" s="72">
        <f>IF(STATS!EO7&lt;&gt;"",1,0)</f>
        <v>0</v>
      </c>
      <c r="E94" s="69">
        <f t="shared" si="2"/>
        <v>0</v>
      </c>
    </row>
    <row r="95" spans="1:5" ht="14.25" customHeight="1" x14ac:dyDescent="0.4">
      <c r="A95" s="54" t="s">
        <v>262</v>
      </c>
      <c r="B95" s="47" t="s">
        <v>198</v>
      </c>
      <c r="C95" s="55">
        <v>8</v>
      </c>
      <c r="D95" s="72">
        <f>IF(STATS!CU7&lt;&gt;"",1,0)</f>
        <v>0</v>
      </c>
      <c r="E95" s="69">
        <f t="shared" si="2"/>
        <v>0</v>
      </c>
    </row>
    <row r="96" spans="1:5" ht="14.25" customHeight="1" x14ac:dyDescent="0.4">
      <c r="A96" s="54" t="s">
        <v>310</v>
      </c>
      <c r="B96" s="47" t="s">
        <v>201</v>
      </c>
      <c r="C96" s="55">
        <v>9</v>
      </c>
      <c r="D96" s="72">
        <f>IF(STATS!CV7&lt;&gt;"",1,0)</f>
        <v>0</v>
      </c>
      <c r="E96" s="69">
        <f t="shared" si="2"/>
        <v>0</v>
      </c>
    </row>
    <row r="97" spans="1:5" ht="14.25" customHeight="1" x14ac:dyDescent="0.4">
      <c r="A97" s="54" t="s">
        <v>467</v>
      </c>
      <c r="B97" s="47" t="s">
        <v>468</v>
      </c>
      <c r="C97" s="55">
        <v>9</v>
      </c>
      <c r="D97" s="72">
        <f>IF(STATS!CW14&lt;&gt;"",1,0)</f>
        <v>0</v>
      </c>
      <c r="E97" s="69">
        <f t="shared" si="2"/>
        <v>0</v>
      </c>
    </row>
    <row r="98" spans="1:5" ht="14.25" customHeight="1" x14ac:dyDescent="0.4">
      <c r="A98" s="54" t="s">
        <v>200</v>
      </c>
      <c r="B98" s="47" t="s">
        <v>199</v>
      </c>
      <c r="C98" s="55">
        <v>7</v>
      </c>
      <c r="D98" s="72">
        <f>IF(STATS!CX7&lt;&gt;"",1,0)</f>
        <v>0</v>
      </c>
      <c r="E98" s="69">
        <f t="shared" si="2"/>
        <v>0</v>
      </c>
    </row>
    <row r="99" spans="1:5" ht="14.25" customHeight="1" x14ac:dyDescent="0.4">
      <c r="A99" s="56" t="s">
        <v>202</v>
      </c>
      <c r="B99" s="47" t="s">
        <v>292</v>
      </c>
      <c r="C99" s="57">
        <v>9</v>
      </c>
      <c r="D99" s="72">
        <f>IF(STATS!CY7&lt;&gt;"",1,0)</f>
        <v>0</v>
      </c>
      <c r="E99" s="69">
        <f t="shared" si="2"/>
        <v>0</v>
      </c>
    </row>
    <row r="100" spans="1:5" ht="14.25" customHeight="1" x14ac:dyDescent="0.4">
      <c r="A100" s="56" t="s">
        <v>203</v>
      </c>
      <c r="B100" s="47" t="s">
        <v>204</v>
      </c>
      <c r="C100" s="57">
        <v>3</v>
      </c>
      <c r="D100" s="72">
        <f>IF(STATS!CZ7&lt;&gt;"",1,0)</f>
        <v>0</v>
      </c>
      <c r="E100" s="69">
        <f t="shared" si="2"/>
        <v>0</v>
      </c>
    </row>
    <row r="101" spans="1:5" ht="14.25" customHeight="1" x14ac:dyDescent="0.4">
      <c r="A101" s="56" t="s">
        <v>205</v>
      </c>
      <c r="B101" s="47" t="s">
        <v>293</v>
      </c>
      <c r="C101" s="57">
        <v>8</v>
      </c>
      <c r="D101" s="72">
        <f>IF(STATS!DA7&lt;&gt;"",1,0)</f>
        <v>0</v>
      </c>
      <c r="E101" s="69">
        <f t="shared" si="2"/>
        <v>0</v>
      </c>
    </row>
    <row r="102" spans="1:5" ht="14.25" customHeight="1" x14ac:dyDescent="0.4">
      <c r="A102" s="54" t="s">
        <v>206</v>
      </c>
      <c r="B102" s="47" t="s">
        <v>207</v>
      </c>
      <c r="C102" s="55">
        <v>6</v>
      </c>
      <c r="D102" s="72">
        <f>IF(STATS!DC7&lt;&gt;"",1,0)</f>
        <v>0</v>
      </c>
      <c r="E102" s="69">
        <f t="shared" si="2"/>
        <v>0</v>
      </c>
    </row>
    <row r="103" spans="1:5" ht="14.25" customHeight="1" x14ac:dyDescent="0.4">
      <c r="A103" s="54" t="s">
        <v>208</v>
      </c>
      <c r="B103" s="48" t="s">
        <v>209</v>
      </c>
      <c r="C103" s="55">
        <v>10</v>
      </c>
      <c r="D103" s="72">
        <f>IF(STATS!DD7&lt;&gt;"",1,0)</f>
        <v>0</v>
      </c>
      <c r="E103" s="69">
        <f t="shared" si="2"/>
        <v>0</v>
      </c>
    </row>
    <row r="104" spans="1:5" ht="14.25" customHeight="1" x14ac:dyDescent="0.4">
      <c r="A104" s="54" t="s">
        <v>210</v>
      </c>
      <c r="B104" s="47" t="s">
        <v>313</v>
      </c>
      <c r="C104" s="55">
        <v>5</v>
      </c>
      <c r="D104" s="72">
        <f>IF(STATS!DE7&lt;&gt;"",1,0)</f>
        <v>0</v>
      </c>
      <c r="E104" s="69">
        <f t="shared" si="2"/>
        <v>0</v>
      </c>
    </row>
    <row r="105" spans="1:5" ht="14.25" customHeight="1" x14ac:dyDescent="0.4">
      <c r="A105" s="56" t="s">
        <v>211</v>
      </c>
      <c r="B105" s="47" t="s">
        <v>212</v>
      </c>
      <c r="C105" s="57">
        <v>9</v>
      </c>
      <c r="D105" s="72">
        <f>IF(STATS!DF7&lt;&gt;"",1,0)</f>
        <v>0</v>
      </c>
      <c r="E105" s="69">
        <f t="shared" si="2"/>
        <v>0</v>
      </c>
    </row>
    <row r="106" spans="1:5" ht="14.25" customHeight="1" x14ac:dyDescent="0.4">
      <c r="A106" s="56" t="s">
        <v>213</v>
      </c>
      <c r="B106" s="47" t="s">
        <v>214</v>
      </c>
      <c r="C106" s="57">
        <v>4</v>
      </c>
      <c r="D106" s="72">
        <f>IF(STATS!DG7&lt;&gt;"",1,0)</f>
        <v>0</v>
      </c>
      <c r="E106" s="69">
        <f t="shared" si="2"/>
        <v>0</v>
      </c>
    </row>
    <row r="107" spans="1:5" ht="14.25" customHeight="1" x14ac:dyDescent="0.4">
      <c r="A107" s="56" t="s">
        <v>215</v>
      </c>
      <c r="B107" s="50" t="s">
        <v>216</v>
      </c>
      <c r="C107" s="57">
        <v>8</v>
      </c>
      <c r="D107" s="72">
        <f>IF(STATS!DH7&lt;&gt;"",1,0)</f>
        <v>0</v>
      </c>
      <c r="E107" s="69">
        <f t="shared" si="2"/>
        <v>0</v>
      </c>
    </row>
    <row r="108" spans="1:5" ht="14.25" customHeight="1" x14ac:dyDescent="0.4">
      <c r="A108" s="54" t="s">
        <v>217</v>
      </c>
      <c r="B108" s="50" t="s">
        <v>218</v>
      </c>
      <c r="C108" s="55">
        <v>8</v>
      </c>
      <c r="D108" s="72">
        <f>IF(STATS!DI7&lt;&gt;"",1,0)</f>
        <v>0</v>
      </c>
      <c r="E108" s="69">
        <f t="shared" ref="E108:E135" si="3">C108*D108</f>
        <v>0</v>
      </c>
    </row>
    <row r="109" spans="1:5" ht="14.25" customHeight="1" x14ac:dyDescent="0.4">
      <c r="A109" s="56" t="s">
        <v>219</v>
      </c>
      <c r="B109" s="51" t="s">
        <v>220</v>
      </c>
      <c r="C109" s="57">
        <v>9</v>
      </c>
      <c r="D109" s="72">
        <f>IF(STATS!DJ7&lt;&gt;"",1,0)</f>
        <v>0</v>
      </c>
      <c r="E109" s="69">
        <f t="shared" si="3"/>
        <v>0</v>
      </c>
    </row>
    <row r="110" spans="1:5" ht="14.25" customHeight="1" x14ac:dyDescent="0.4">
      <c r="A110" s="54" t="s">
        <v>221</v>
      </c>
      <c r="B110" s="50" t="s">
        <v>222</v>
      </c>
      <c r="C110" s="55">
        <v>8</v>
      </c>
      <c r="D110" s="72">
        <f>IF(STATS!DK7&lt;&gt;"",1,0)</f>
        <v>0</v>
      </c>
      <c r="E110" s="69">
        <f t="shared" si="3"/>
        <v>0</v>
      </c>
    </row>
    <row r="111" spans="1:5" ht="14.25" customHeight="1" x14ac:dyDescent="0.4">
      <c r="A111" s="54" t="s">
        <v>223</v>
      </c>
      <c r="B111" s="47" t="s">
        <v>224</v>
      </c>
      <c r="C111" s="55">
        <v>5</v>
      </c>
      <c r="D111" s="72">
        <f>IF(STATS!DL7&lt;&gt;"",1,0)</f>
        <v>0</v>
      </c>
      <c r="E111" s="69">
        <f t="shared" si="3"/>
        <v>0</v>
      </c>
    </row>
    <row r="112" spans="1:5" ht="14.25" customHeight="1" x14ac:dyDescent="0.4">
      <c r="A112" s="56" t="s">
        <v>225</v>
      </c>
      <c r="B112" s="49" t="s">
        <v>312</v>
      </c>
      <c r="C112" s="57">
        <v>10</v>
      </c>
      <c r="D112" s="72">
        <f>IF(STATS!DM7&lt;&gt;"",1,0)</f>
        <v>0</v>
      </c>
      <c r="E112" s="69">
        <f t="shared" si="3"/>
        <v>0</v>
      </c>
    </row>
    <row r="113" spans="1:5" s="34" customFormat="1" ht="14.25" customHeight="1" x14ac:dyDescent="0.4">
      <c r="A113" s="58" t="s">
        <v>226</v>
      </c>
      <c r="B113" s="52" t="s">
        <v>227</v>
      </c>
      <c r="C113" s="59">
        <v>9</v>
      </c>
      <c r="D113" s="72">
        <f>IF(STATS!DN7&lt;&gt;"",1,0)</f>
        <v>0</v>
      </c>
      <c r="E113" s="69">
        <f t="shared" si="3"/>
        <v>0</v>
      </c>
    </row>
    <row r="114" spans="1:5" ht="14.25" customHeight="1" x14ac:dyDescent="0.4">
      <c r="A114" s="56" t="s">
        <v>228</v>
      </c>
      <c r="B114" s="47" t="s">
        <v>291</v>
      </c>
      <c r="C114" s="57">
        <v>5</v>
      </c>
      <c r="D114" s="72">
        <f>IF(STATS!DP7&lt;&gt;"",1,0)</f>
        <v>0</v>
      </c>
      <c r="E114" s="69">
        <f t="shared" si="3"/>
        <v>0</v>
      </c>
    </row>
    <row r="115" spans="1:5" ht="14.25" customHeight="1" x14ac:dyDescent="0.4">
      <c r="A115" s="54" t="s">
        <v>229</v>
      </c>
      <c r="B115" s="47" t="s">
        <v>290</v>
      </c>
      <c r="C115" s="55">
        <v>8</v>
      </c>
      <c r="D115" s="72">
        <f>IF(STATS!DQ7&lt;&gt;"",1,0)</f>
        <v>0</v>
      </c>
      <c r="E115" s="69">
        <f t="shared" si="3"/>
        <v>0</v>
      </c>
    </row>
    <row r="116" spans="1:5" ht="14.25" customHeight="1" x14ac:dyDescent="0.4">
      <c r="A116" s="56" t="s">
        <v>230</v>
      </c>
      <c r="B116" s="47" t="s">
        <v>264</v>
      </c>
      <c r="C116" s="57">
        <v>3</v>
      </c>
      <c r="D116" s="72">
        <f>IF(STATS!DR7&lt;&gt;"",1,0)</f>
        <v>1</v>
      </c>
      <c r="E116" s="69">
        <f t="shared" si="3"/>
        <v>3</v>
      </c>
    </row>
    <row r="117" spans="1:5" ht="14.25" customHeight="1" x14ac:dyDescent="0.4">
      <c r="A117" s="54" t="s">
        <v>231</v>
      </c>
      <c r="B117" s="47" t="s">
        <v>232</v>
      </c>
      <c r="C117" s="55">
        <v>9</v>
      </c>
      <c r="D117" s="72">
        <f>IF(STATS!DS7&lt;&gt;"",1,0)</f>
        <v>0</v>
      </c>
      <c r="E117" s="69">
        <f t="shared" si="3"/>
        <v>0</v>
      </c>
    </row>
    <row r="118" spans="1:5" ht="14.25" customHeight="1" x14ac:dyDescent="0.4">
      <c r="A118" s="54" t="s">
        <v>233</v>
      </c>
      <c r="B118" s="47" t="s">
        <v>234</v>
      </c>
      <c r="C118" s="55">
        <v>1</v>
      </c>
      <c r="D118" s="72">
        <f>IF(STATS!DT7&lt;&gt;"",1,0)</f>
        <v>0</v>
      </c>
      <c r="E118" s="69">
        <f t="shared" si="3"/>
        <v>0</v>
      </c>
    </row>
    <row r="119" spans="1:5" ht="14.25" customHeight="1" x14ac:dyDescent="0.4">
      <c r="A119" s="56" t="s">
        <v>235</v>
      </c>
      <c r="B119" s="47" t="s">
        <v>236</v>
      </c>
      <c r="C119" s="57">
        <v>1</v>
      </c>
      <c r="D119" s="72">
        <f>IF(STATS!DU7&lt;&gt;"",1,0)</f>
        <v>0</v>
      </c>
      <c r="E119" s="69">
        <f t="shared" si="3"/>
        <v>0</v>
      </c>
    </row>
    <row r="120" spans="1:5" ht="14.25" customHeight="1" x14ac:dyDescent="0.4">
      <c r="A120" s="56" t="s">
        <v>316</v>
      </c>
      <c r="B120" s="47" t="s">
        <v>317</v>
      </c>
      <c r="C120" s="57">
        <v>1</v>
      </c>
      <c r="D120" s="72">
        <f>IF(STATS!DV7&lt;&gt;"",1,0)</f>
        <v>0</v>
      </c>
      <c r="E120" s="69">
        <f t="shared" si="3"/>
        <v>0</v>
      </c>
    </row>
    <row r="121" spans="1:5" ht="14.25" customHeight="1" x14ac:dyDescent="0.4">
      <c r="A121" s="56" t="s">
        <v>237</v>
      </c>
      <c r="B121" s="47" t="s">
        <v>238</v>
      </c>
      <c r="C121" s="57">
        <v>10</v>
      </c>
      <c r="D121" s="72">
        <f>IF(STATS!DW7&lt;&gt;"",1,0)</f>
        <v>0</v>
      </c>
      <c r="E121" s="69">
        <f t="shared" si="3"/>
        <v>0</v>
      </c>
    </row>
    <row r="122" spans="1:5" ht="14.25" customHeight="1" x14ac:dyDescent="0.4">
      <c r="A122" s="56" t="s">
        <v>239</v>
      </c>
      <c r="B122" s="47" t="s">
        <v>240</v>
      </c>
      <c r="C122" s="57">
        <v>9</v>
      </c>
      <c r="D122" s="72">
        <f>IF(STATS!DX7&lt;&gt;"",1,0)</f>
        <v>0</v>
      </c>
      <c r="E122" s="69">
        <f t="shared" si="3"/>
        <v>0</v>
      </c>
    </row>
    <row r="123" spans="1:5" ht="14.25" customHeight="1" x14ac:dyDescent="0.4">
      <c r="A123" s="56" t="s">
        <v>241</v>
      </c>
      <c r="B123" s="47" t="s">
        <v>242</v>
      </c>
      <c r="C123" s="57">
        <v>9</v>
      </c>
      <c r="D123" s="72">
        <f>IF(STATS!DY7&lt;&gt;"",1,0)</f>
        <v>0</v>
      </c>
      <c r="E123" s="69">
        <f t="shared" si="3"/>
        <v>0</v>
      </c>
    </row>
    <row r="124" spans="1:5" ht="14.25" customHeight="1" x14ac:dyDescent="0.4">
      <c r="A124" s="56" t="s">
        <v>243</v>
      </c>
      <c r="B124" s="47" t="s">
        <v>244</v>
      </c>
      <c r="C124" s="57">
        <v>9</v>
      </c>
      <c r="D124" s="72">
        <f>IF(STATS!DZ7&lt;&gt;"",1,0)</f>
        <v>0</v>
      </c>
      <c r="E124" s="69">
        <f t="shared" si="3"/>
        <v>0</v>
      </c>
    </row>
    <row r="125" spans="1:5" ht="14.25" customHeight="1" x14ac:dyDescent="0.4">
      <c r="A125" s="54" t="s">
        <v>245</v>
      </c>
      <c r="B125" s="47" t="s">
        <v>282</v>
      </c>
      <c r="C125" s="55">
        <v>10</v>
      </c>
      <c r="D125" s="72">
        <f>IF(STATS!EA7&lt;&gt;"",1,0)</f>
        <v>0</v>
      </c>
      <c r="E125" s="69">
        <f t="shared" si="3"/>
        <v>0</v>
      </c>
    </row>
    <row r="126" spans="1:5" ht="14.25" customHeight="1" x14ac:dyDescent="0.4">
      <c r="A126" s="56" t="s">
        <v>246</v>
      </c>
      <c r="B126" s="47" t="s">
        <v>247</v>
      </c>
      <c r="C126" s="57">
        <v>9</v>
      </c>
      <c r="D126" s="72">
        <f>IF(STATS!EB7&lt;&gt;"",1,0)</f>
        <v>0</v>
      </c>
      <c r="E126" s="69">
        <f t="shared" si="3"/>
        <v>0</v>
      </c>
    </row>
    <row r="127" spans="1:5" ht="14.25" customHeight="1" x14ac:dyDescent="0.4">
      <c r="A127" s="56" t="s">
        <v>248</v>
      </c>
      <c r="B127" s="47" t="s">
        <v>249</v>
      </c>
      <c r="C127" s="57">
        <v>9</v>
      </c>
      <c r="D127" s="72">
        <f>IF(STATS!EC7&lt;&gt;"",1,0)</f>
        <v>0</v>
      </c>
      <c r="E127" s="69">
        <f t="shared" si="3"/>
        <v>0</v>
      </c>
    </row>
    <row r="128" spans="1:5" ht="14.25" customHeight="1" x14ac:dyDescent="0.4">
      <c r="A128" s="56" t="s">
        <v>250</v>
      </c>
      <c r="B128" s="47" t="s">
        <v>251</v>
      </c>
      <c r="C128" s="57">
        <v>7</v>
      </c>
      <c r="D128" s="72">
        <f>IF(STATS!ED7&lt;&gt;"",1,0)</f>
        <v>0</v>
      </c>
      <c r="E128" s="69">
        <f t="shared" si="3"/>
        <v>0</v>
      </c>
    </row>
    <row r="129" spans="1:5" ht="14.25" customHeight="1" x14ac:dyDescent="0.4">
      <c r="A129" s="56" t="s">
        <v>252</v>
      </c>
      <c r="B129" s="47" t="s">
        <v>253</v>
      </c>
      <c r="C129" s="57">
        <v>6</v>
      </c>
      <c r="D129" s="72">
        <f>IF(STATS!EE7&lt;&gt;"",1,0)</f>
        <v>1</v>
      </c>
      <c r="E129" s="69">
        <f t="shared" si="3"/>
        <v>6</v>
      </c>
    </row>
    <row r="130" spans="1:5" ht="14.25" customHeight="1" x14ac:dyDescent="0.4">
      <c r="A130" s="54" t="s">
        <v>320</v>
      </c>
      <c r="B130" s="47" t="s">
        <v>273</v>
      </c>
      <c r="C130" s="55">
        <v>6</v>
      </c>
      <c r="D130" s="72">
        <f>IF(STATS!EF7&lt;&gt;"",1,0)</f>
        <v>0</v>
      </c>
      <c r="E130" s="69">
        <f t="shared" si="3"/>
        <v>0</v>
      </c>
    </row>
    <row r="131" spans="1:5" ht="14.25" customHeight="1" x14ac:dyDescent="0.4">
      <c r="A131" s="54" t="s">
        <v>254</v>
      </c>
      <c r="B131" s="50" t="s">
        <v>255</v>
      </c>
      <c r="C131" s="55">
        <v>5</v>
      </c>
      <c r="D131" s="72">
        <f>IF(STATS!EG7&lt;&gt;"",1,0)</f>
        <v>0</v>
      </c>
      <c r="E131" s="69">
        <f t="shared" si="3"/>
        <v>0</v>
      </c>
    </row>
    <row r="132" spans="1:5" ht="14.25" customHeight="1" x14ac:dyDescent="0.4">
      <c r="A132" s="54" t="s">
        <v>256</v>
      </c>
      <c r="B132" s="50" t="s">
        <v>263</v>
      </c>
      <c r="C132" s="55">
        <v>7</v>
      </c>
      <c r="D132" s="72">
        <f>IF(STATS!EH7&lt;&gt;"",1,0)</f>
        <v>0</v>
      </c>
      <c r="E132" s="69">
        <f t="shared" si="3"/>
        <v>0</v>
      </c>
    </row>
    <row r="133" spans="1:5" ht="14.25" customHeight="1" x14ac:dyDescent="0.4">
      <c r="A133" s="56" t="s">
        <v>257</v>
      </c>
      <c r="B133" s="49" t="s">
        <v>267</v>
      </c>
      <c r="C133" s="55">
        <v>8</v>
      </c>
      <c r="D133" s="72">
        <f>IF(STATS!EI7&lt;&gt;"",1,0)</f>
        <v>0</v>
      </c>
      <c r="E133" s="69">
        <f t="shared" si="3"/>
        <v>0</v>
      </c>
    </row>
    <row r="134" spans="1:5" ht="14.25" customHeight="1" x14ac:dyDescent="0.4">
      <c r="A134" s="56" t="s">
        <v>258</v>
      </c>
      <c r="B134" s="47" t="s">
        <v>259</v>
      </c>
      <c r="C134" s="57">
        <v>8</v>
      </c>
      <c r="D134" s="72">
        <f>IF(STATS!EJ7&lt;&gt;"",1,0)</f>
        <v>0</v>
      </c>
      <c r="E134" s="69">
        <f t="shared" si="3"/>
        <v>0</v>
      </c>
    </row>
    <row r="135" spans="1:5" ht="14.25" customHeight="1" thickBot="1" x14ac:dyDescent="0.45">
      <c r="A135" s="60" t="s">
        <v>314</v>
      </c>
      <c r="B135" s="61" t="s">
        <v>315</v>
      </c>
      <c r="C135" s="62">
        <v>8</v>
      </c>
      <c r="D135" s="73">
        <f>IF(STATS!EK7&lt;&gt;"",1,0)</f>
        <v>0</v>
      </c>
      <c r="E135" s="69">
        <f t="shared" si="3"/>
        <v>0</v>
      </c>
    </row>
    <row r="136" spans="1:5" ht="13.5" x14ac:dyDescent="0.35">
      <c r="A136" s="41"/>
      <c r="B136" s="41"/>
      <c r="C136" s="42"/>
      <c r="D136" s="70"/>
      <c r="E136" s="43"/>
    </row>
    <row r="137" spans="1:5" ht="13.9" x14ac:dyDescent="0.4">
      <c r="A137" s="78" t="s">
        <v>260</v>
      </c>
      <c r="B137" s="41"/>
      <c r="C137" s="36"/>
      <c r="D137" s="44">
        <f>SUM(D9:D135)</f>
        <v>16</v>
      </c>
      <c r="E137" s="45"/>
    </row>
    <row r="138" spans="1:5" ht="14.25" thickBot="1" x14ac:dyDescent="0.45">
      <c r="A138" s="78" t="s">
        <v>261</v>
      </c>
      <c r="B138" s="41"/>
      <c r="C138" s="46"/>
      <c r="D138" s="36"/>
      <c r="E138" s="107">
        <f>(SUM(E9:E135)/D137)</f>
        <v>5.8125</v>
      </c>
    </row>
    <row r="139" spans="1:5" ht="14.25" thickBot="1" x14ac:dyDescent="0.45">
      <c r="A139" s="79" t="s">
        <v>272</v>
      </c>
      <c r="B139" s="75"/>
      <c r="C139" s="76"/>
      <c r="D139" s="77"/>
      <c r="E139" s="108">
        <f>(SUM(E9:E135)/D137)*SQRT(D137)</f>
        <v>23.25</v>
      </c>
    </row>
    <row r="141" spans="1:5" x14ac:dyDescent="0.35">
      <c r="A141" s="35"/>
      <c r="B141" s="35"/>
      <c r="C141" s="33"/>
    </row>
    <row r="142" spans="1:5" ht="51" customHeight="1" x14ac:dyDescent="0.4">
      <c r="A142" s="181" t="s">
        <v>271</v>
      </c>
      <c r="B142" s="181"/>
      <c r="C142" s="181"/>
      <c r="D142" s="181"/>
      <c r="E142" s="181"/>
    </row>
    <row r="143" spans="1:5" x14ac:dyDescent="0.35">
      <c r="A143" s="35"/>
      <c r="B143" s="35"/>
      <c r="C143" s="33"/>
    </row>
    <row r="144" spans="1:5" ht="51" customHeight="1" x14ac:dyDescent="0.4">
      <c r="A144" s="181" t="s">
        <v>311</v>
      </c>
      <c r="B144" s="181"/>
      <c r="C144" s="181"/>
      <c r="D144" s="181"/>
      <c r="E144" s="181"/>
    </row>
  </sheetData>
  <protectedRanges>
    <protectedRange sqref="D8:D135" name="number of species"/>
  </protectedRanges>
  <mergeCells count="2">
    <mergeCell ref="A142:E142"/>
    <mergeCell ref="A144:E144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4"/>
  <sheetViews>
    <sheetView zoomScale="85" workbookViewId="0">
      <selection activeCell="F1" sqref="F1"/>
    </sheetView>
  </sheetViews>
  <sheetFormatPr defaultColWidth="23.6640625" defaultRowHeight="12.75" x14ac:dyDescent="0.35"/>
  <cols>
    <col min="1" max="1" width="37.46484375" bestFit="1" customWidth="1"/>
    <col min="2" max="2" width="29.46484375" customWidth="1"/>
    <col min="3" max="3" width="14" bestFit="1" customWidth="1"/>
    <col min="4" max="4" width="20.1328125" bestFit="1" customWidth="1"/>
    <col min="5" max="5" width="12" customWidth="1"/>
    <col min="6" max="9" width="23.6640625" customWidth="1"/>
    <col min="10" max="10" width="29.33203125" customWidth="1"/>
  </cols>
  <sheetData>
    <row r="1" spans="1:11" ht="13.9" x14ac:dyDescent="0.4">
      <c r="A1" s="36"/>
      <c r="B1" s="37"/>
      <c r="C1" s="89" t="s">
        <v>48</v>
      </c>
      <c r="D1" s="106" t="str">
        <f>IF('ENTRY '!I2="","",'ENTRY '!I2)</f>
        <v>Lower Vermillion</v>
      </c>
      <c r="E1" s="88"/>
      <c r="F1" s="15"/>
      <c r="G1" s="15"/>
      <c r="H1" s="15"/>
      <c r="I1" s="15"/>
      <c r="J1" s="15"/>
      <c r="K1" s="15"/>
    </row>
    <row r="2" spans="1:11" ht="13.9" x14ac:dyDescent="0.4">
      <c r="A2" s="36"/>
      <c r="B2" s="37"/>
      <c r="C2" s="90" t="s">
        <v>25</v>
      </c>
      <c r="D2" s="91" t="str">
        <f>IF('ENTRY '!I3="","",'ENTRY '!I3)</f>
        <v>Barron</v>
      </c>
      <c r="E2" s="88"/>
      <c r="F2" s="15"/>
      <c r="G2" s="15"/>
      <c r="H2" s="15"/>
      <c r="I2" s="15"/>
      <c r="J2" s="15"/>
      <c r="K2" s="15"/>
    </row>
    <row r="3" spans="1:11" ht="17.649999999999999" x14ac:dyDescent="0.5">
      <c r="A3" s="36"/>
      <c r="B3" s="37"/>
      <c r="C3" s="90" t="s">
        <v>46</v>
      </c>
      <c r="D3" s="105">
        <f>IF('ENTRY '!I5="","",'ENTRY '!I5)</f>
        <v>43255</v>
      </c>
      <c r="E3" s="38"/>
      <c r="F3" s="9"/>
    </row>
    <row r="4" spans="1:11" ht="15.75" customHeight="1" x14ac:dyDescent="0.4">
      <c r="A4" s="36"/>
      <c r="B4" s="37"/>
      <c r="C4" s="92" t="s">
        <v>325</v>
      </c>
      <c r="D4" s="93"/>
      <c r="E4" s="38"/>
    </row>
    <row r="5" spans="1:11" ht="13.9" x14ac:dyDescent="0.4">
      <c r="A5" s="36"/>
      <c r="B5" s="37"/>
      <c r="C5" s="92" t="s">
        <v>326</v>
      </c>
      <c r="D5" s="93"/>
      <c r="E5" s="38"/>
    </row>
    <row r="6" spans="1:11" ht="14.25" thickBot="1" x14ac:dyDescent="0.45">
      <c r="A6" s="36"/>
      <c r="B6" s="37"/>
      <c r="C6" s="94" t="s">
        <v>59</v>
      </c>
      <c r="D6" s="95"/>
      <c r="E6" s="38"/>
    </row>
    <row r="7" spans="1:11" ht="13.9" thickBot="1" x14ac:dyDescent="0.4">
      <c r="A7" s="36"/>
      <c r="B7" s="37"/>
      <c r="C7" s="36"/>
      <c r="D7" s="36"/>
      <c r="E7" s="38"/>
    </row>
    <row r="8" spans="1:11" ht="14.25" thickBot="1" x14ac:dyDescent="0.45">
      <c r="A8" s="66" t="s">
        <v>60</v>
      </c>
      <c r="B8" s="67" t="s">
        <v>61</v>
      </c>
      <c r="C8" s="74" t="s">
        <v>62</v>
      </c>
      <c r="D8" s="68" t="s">
        <v>63</v>
      </c>
      <c r="E8" s="39"/>
    </row>
    <row r="9" spans="1:11" ht="14.25" customHeight="1" thickBot="1" x14ac:dyDescent="0.45">
      <c r="A9" s="174" t="s">
        <v>76</v>
      </c>
      <c r="B9" s="175" t="s">
        <v>77</v>
      </c>
      <c r="C9" s="176">
        <v>3</v>
      </c>
      <c r="D9" s="71">
        <f>IF(STATS!Q7&lt;&gt;"",1,0)</f>
        <v>1</v>
      </c>
      <c r="E9" s="69">
        <f t="shared" ref="E9:E24" si="0">C9*D9</f>
        <v>3</v>
      </c>
    </row>
    <row r="10" spans="1:11" ht="14.25" customHeight="1" x14ac:dyDescent="0.4">
      <c r="A10" s="56" t="s">
        <v>275</v>
      </c>
      <c r="B10" s="47" t="s">
        <v>79</v>
      </c>
      <c r="C10" s="57">
        <v>7</v>
      </c>
      <c r="D10" s="71">
        <f>IF(STATS!S7&lt;&gt;"",1,0)</f>
        <v>1</v>
      </c>
      <c r="E10" s="69">
        <f t="shared" si="0"/>
        <v>7</v>
      </c>
    </row>
    <row r="11" spans="1:11" ht="14.25" customHeight="1" x14ac:dyDescent="0.4">
      <c r="A11" s="56" t="s">
        <v>90</v>
      </c>
      <c r="B11" s="47" t="s">
        <v>91</v>
      </c>
      <c r="C11" s="57">
        <v>3</v>
      </c>
      <c r="D11" s="72">
        <f>IF(STATS!AC7&lt;&gt;"",1,0)</f>
        <v>1</v>
      </c>
      <c r="E11" s="69">
        <f t="shared" si="0"/>
        <v>3</v>
      </c>
    </row>
    <row r="12" spans="1:11" ht="14.25" customHeight="1" x14ac:dyDescent="0.4">
      <c r="A12" s="56" t="s">
        <v>101</v>
      </c>
      <c r="B12" s="47" t="s">
        <v>102</v>
      </c>
      <c r="C12" s="57">
        <v>6</v>
      </c>
      <c r="D12" s="72">
        <f>IF(STATS!AI7&lt;&gt;"",1,0)</f>
        <v>1</v>
      </c>
      <c r="E12" s="69">
        <f t="shared" si="0"/>
        <v>6</v>
      </c>
    </row>
    <row r="13" spans="1:11" ht="14.25" customHeight="1" x14ac:dyDescent="0.4">
      <c r="A13" s="54" t="s">
        <v>113</v>
      </c>
      <c r="B13" s="47" t="s">
        <v>283</v>
      </c>
      <c r="C13" s="55">
        <v>6</v>
      </c>
      <c r="D13" s="72">
        <f>IF(STATS!AS7&lt;&gt;"",1,0)</f>
        <v>1</v>
      </c>
      <c r="E13" s="69">
        <f t="shared" si="0"/>
        <v>6</v>
      </c>
    </row>
    <row r="14" spans="1:11" ht="14.25" customHeight="1" x14ac:dyDescent="0.4">
      <c r="A14" s="54" t="s">
        <v>270</v>
      </c>
      <c r="B14" s="47" t="s">
        <v>125</v>
      </c>
      <c r="C14" s="55">
        <v>6</v>
      </c>
      <c r="D14" s="72">
        <f>IF(STATS!BA7&lt;&gt;"",1,0)</f>
        <v>1</v>
      </c>
      <c r="E14" s="69">
        <f t="shared" si="0"/>
        <v>6</v>
      </c>
    </row>
    <row r="15" spans="1:11" ht="14.25" customHeight="1" x14ac:dyDescent="0.4">
      <c r="A15" s="56" t="s">
        <v>130</v>
      </c>
      <c r="B15" s="47" t="s">
        <v>304</v>
      </c>
      <c r="C15" s="57">
        <v>6</v>
      </c>
      <c r="D15" s="72">
        <f>IF(STATS!BD7&lt;&gt;"",1,0)</f>
        <v>1</v>
      </c>
      <c r="E15" s="69">
        <f t="shared" si="0"/>
        <v>6</v>
      </c>
    </row>
    <row r="16" spans="1:11" ht="14.25" customHeight="1" x14ac:dyDescent="0.4">
      <c r="A16" s="56" t="s">
        <v>141</v>
      </c>
      <c r="B16" s="47" t="s">
        <v>142</v>
      </c>
      <c r="C16" s="57">
        <v>6</v>
      </c>
      <c r="D16" s="72">
        <f>IF(STATS!BM7&lt;&gt;"",1,0)</f>
        <v>1</v>
      </c>
      <c r="E16" s="69">
        <f t="shared" si="0"/>
        <v>6</v>
      </c>
    </row>
    <row r="17" spans="1:5" ht="14.25" customHeight="1" x14ac:dyDescent="0.4">
      <c r="A17" s="54" t="s">
        <v>164</v>
      </c>
      <c r="B17" s="47" t="s">
        <v>305</v>
      </c>
      <c r="C17" s="55">
        <v>8</v>
      </c>
      <c r="D17" s="72">
        <f>IF(STATS!CA7&lt;&gt;"",1,0)</f>
        <v>1</v>
      </c>
      <c r="E17" s="69">
        <f t="shared" si="0"/>
        <v>8</v>
      </c>
    </row>
    <row r="18" spans="1:5" ht="14.25" customHeight="1" x14ac:dyDescent="0.4">
      <c r="A18" s="56" t="s">
        <v>165</v>
      </c>
      <c r="B18" s="47" t="s">
        <v>281</v>
      </c>
      <c r="C18" s="57">
        <v>7</v>
      </c>
      <c r="D18" s="72">
        <f>IF(STATS!CB7&lt;&gt;"",1,0)</f>
        <v>1</v>
      </c>
      <c r="E18" s="69">
        <f t="shared" si="0"/>
        <v>7</v>
      </c>
    </row>
    <row r="19" spans="1:5" ht="14.25" customHeight="1" x14ac:dyDescent="0.4">
      <c r="A19" s="56" t="s">
        <v>179</v>
      </c>
      <c r="B19" s="47" t="s">
        <v>180</v>
      </c>
      <c r="C19" s="57">
        <v>7</v>
      </c>
      <c r="D19" s="72">
        <f>IF(STATS!CK7&lt;&gt;"",1,0)</f>
        <v>1</v>
      </c>
      <c r="E19" s="69">
        <f t="shared" si="0"/>
        <v>7</v>
      </c>
    </row>
    <row r="20" spans="1:5" ht="14.25" customHeight="1" x14ac:dyDescent="0.4">
      <c r="A20" s="56" t="s">
        <v>181</v>
      </c>
      <c r="B20" s="47" t="s">
        <v>182</v>
      </c>
      <c r="C20" s="57">
        <v>5</v>
      </c>
      <c r="D20" s="72">
        <f>IF(STATS!CL7&lt;&gt;"",1,0)</f>
        <v>1</v>
      </c>
      <c r="E20" s="69">
        <f t="shared" si="0"/>
        <v>5</v>
      </c>
    </row>
    <row r="21" spans="1:5" ht="14.25" customHeight="1" x14ac:dyDescent="0.4">
      <c r="A21" s="56" t="s">
        <v>190</v>
      </c>
      <c r="B21" s="47" t="s">
        <v>191</v>
      </c>
      <c r="C21" s="57">
        <v>6</v>
      </c>
      <c r="D21" s="72">
        <f>IF(STATS!CQ7&lt;&gt;"",1,0)</f>
        <v>1</v>
      </c>
      <c r="E21" s="69">
        <f t="shared" si="0"/>
        <v>6</v>
      </c>
    </row>
    <row r="22" spans="1:5" ht="14.25" customHeight="1" x14ac:dyDescent="0.4">
      <c r="A22" s="56" t="s">
        <v>192</v>
      </c>
      <c r="B22" s="47" t="s">
        <v>308</v>
      </c>
      <c r="C22" s="57">
        <v>8</v>
      </c>
      <c r="D22" s="72">
        <f>IF(STATS!CR7&lt;&gt;"",1,0)</f>
        <v>1</v>
      </c>
      <c r="E22" s="69">
        <f t="shared" si="0"/>
        <v>8</v>
      </c>
    </row>
    <row r="23" spans="1:5" ht="14.25" customHeight="1" x14ac:dyDescent="0.4">
      <c r="A23" s="56" t="s">
        <v>230</v>
      </c>
      <c r="B23" s="47" t="s">
        <v>264</v>
      </c>
      <c r="C23" s="57">
        <v>3</v>
      </c>
      <c r="D23" s="72">
        <f>IF(STATS!DR7&lt;&gt;"",1,0)</f>
        <v>1</v>
      </c>
      <c r="E23" s="69">
        <f t="shared" si="0"/>
        <v>3</v>
      </c>
    </row>
    <row r="24" spans="1:5" ht="14.25" customHeight="1" x14ac:dyDescent="0.4">
      <c r="A24" s="56" t="s">
        <v>252</v>
      </c>
      <c r="B24" s="47" t="s">
        <v>253</v>
      </c>
      <c r="C24" s="57">
        <v>6</v>
      </c>
      <c r="D24" s="72">
        <f>IF(STATS!EE7&lt;&gt;"",1,0)</f>
        <v>1</v>
      </c>
      <c r="E24" s="69">
        <f t="shared" si="0"/>
        <v>6</v>
      </c>
    </row>
    <row r="25" spans="1:5" ht="14.25" customHeight="1" x14ac:dyDescent="0.35">
      <c r="A25" s="41"/>
      <c r="B25" s="41"/>
      <c r="C25" s="42"/>
      <c r="D25" s="70"/>
      <c r="E25" s="43"/>
    </row>
    <row r="26" spans="1:5" ht="14.25" customHeight="1" x14ac:dyDescent="0.4">
      <c r="A26" s="78" t="s">
        <v>260</v>
      </c>
      <c r="B26" s="41"/>
      <c r="C26" s="36"/>
      <c r="D26" s="44">
        <f>SUM(D9:D24)</f>
        <v>16</v>
      </c>
      <c r="E26" s="45"/>
    </row>
    <row r="27" spans="1:5" ht="14.25" customHeight="1" thickBot="1" x14ac:dyDescent="0.45">
      <c r="A27" s="78" t="s">
        <v>261</v>
      </c>
      <c r="B27" s="41"/>
      <c r="C27" s="46"/>
      <c r="D27" s="36"/>
      <c r="E27" s="107">
        <f>(SUM(E9:E24)/D26)</f>
        <v>5.8125</v>
      </c>
    </row>
    <row r="28" spans="1:5" ht="14.25" customHeight="1" thickBot="1" x14ac:dyDescent="0.45">
      <c r="A28" s="79" t="s">
        <v>272</v>
      </c>
      <c r="B28" s="75"/>
      <c r="C28" s="76"/>
      <c r="D28" s="77"/>
      <c r="E28" s="108">
        <f>(SUM(E9:E24)/D26)*SQRT(D26)</f>
        <v>23.25</v>
      </c>
    </row>
    <row r="29" spans="1:5" ht="14.25" customHeight="1" x14ac:dyDescent="0.35"/>
    <row r="30" spans="1:5" ht="14.25" customHeight="1" x14ac:dyDescent="0.35">
      <c r="A30" s="35"/>
      <c r="B30" s="35"/>
      <c r="C30" s="33"/>
    </row>
    <row r="31" spans="1:5" ht="14.25" customHeight="1" x14ac:dyDescent="0.4">
      <c r="A31" s="181" t="s">
        <v>271</v>
      </c>
      <c r="B31" s="181"/>
      <c r="C31" s="181"/>
      <c r="D31" s="181"/>
      <c r="E31" s="181"/>
    </row>
    <row r="32" spans="1:5" ht="14.25" customHeight="1" x14ac:dyDescent="0.35">
      <c r="A32" s="35"/>
      <c r="B32" s="35"/>
      <c r="C32" s="33"/>
    </row>
    <row r="33" spans="1:5" ht="14.25" customHeight="1" x14ac:dyDescent="0.4">
      <c r="A33" s="181" t="s">
        <v>311</v>
      </c>
      <c r="B33" s="181"/>
      <c r="C33" s="181"/>
      <c r="D33" s="181"/>
      <c r="E33" s="181"/>
    </row>
    <row r="34" spans="1:5" ht="14.25" customHeight="1" x14ac:dyDescent="0.35"/>
    <row r="35" spans="1:5" ht="14.25" customHeight="1" x14ac:dyDescent="0.35"/>
    <row r="36" spans="1:5" ht="14.25" customHeight="1" x14ac:dyDescent="0.35"/>
    <row r="37" spans="1:5" ht="14.25" customHeight="1" x14ac:dyDescent="0.35"/>
    <row r="38" spans="1:5" ht="14.25" customHeight="1" x14ac:dyDescent="0.35"/>
    <row r="39" spans="1:5" ht="14.25" customHeight="1" x14ac:dyDescent="0.35"/>
    <row r="40" spans="1:5" ht="14.25" customHeight="1" x14ac:dyDescent="0.35"/>
    <row r="41" spans="1:5" ht="14.25" customHeight="1" x14ac:dyDescent="0.35"/>
    <row r="42" spans="1:5" ht="14.25" customHeight="1" x14ac:dyDescent="0.35"/>
    <row r="43" spans="1:5" ht="14.25" customHeight="1" x14ac:dyDescent="0.35"/>
    <row r="44" spans="1:5" ht="14.25" customHeight="1" x14ac:dyDescent="0.35"/>
    <row r="45" spans="1:5" ht="14.25" customHeight="1" x14ac:dyDescent="0.35"/>
    <row r="46" spans="1:5" ht="14.25" customHeight="1" x14ac:dyDescent="0.35"/>
    <row r="47" spans="1:5" ht="14.25" customHeight="1" x14ac:dyDescent="0.35"/>
    <row r="48" spans="1:5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spans="1:5" s="34" customFormat="1" ht="14.25" customHeight="1" x14ac:dyDescent="0.4">
      <c r="A113"/>
      <c r="B113"/>
      <c r="C113"/>
      <c r="D113"/>
      <c r="E113"/>
    </row>
    <row r="114" spans="1:5" ht="14.25" customHeight="1" x14ac:dyDescent="0.35"/>
    <row r="115" spans="1:5" ht="14.25" customHeight="1" x14ac:dyDescent="0.35"/>
    <row r="116" spans="1:5" ht="14.25" customHeight="1" x14ac:dyDescent="0.35"/>
    <row r="117" spans="1:5" ht="14.25" customHeight="1" x14ac:dyDescent="0.35"/>
    <row r="118" spans="1:5" ht="14.25" customHeight="1" x14ac:dyDescent="0.35"/>
    <row r="119" spans="1:5" ht="14.25" customHeight="1" x14ac:dyDescent="0.35"/>
    <row r="120" spans="1:5" ht="14.25" customHeight="1" x14ac:dyDescent="0.35"/>
    <row r="121" spans="1:5" ht="14.25" customHeight="1" x14ac:dyDescent="0.35"/>
    <row r="122" spans="1:5" ht="14.25" customHeight="1" x14ac:dyDescent="0.35"/>
    <row r="123" spans="1:5" ht="14.25" customHeight="1" x14ac:dyDescent="0.35"/>
    <row r="124" spans="1:5" ht="14.25" customHeight="1" x14ac:dyDescent="0.35"/>
    <row r="125" spans="1:5" ht="14.25" customHeight="1" x14ac:dyDescent="0.35"/>
    <row r="126" spans="1:5" ht="14.25" customHeight="1" x14ac:dyDescent="0.35"/>
    <row r="127" spans="1:5" ht="14.25" customHeight="1" x14ac:dyDescent="0.35"/>
    <row r="128" spans="1:5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42" ht="51" customHeight="1" x14ac:dyDescent="0.35"/>
    <row r="144" ht="51" customHeight="1" x14ac:dyDescent="0.35"/>
  </sheetData>
  <protectedRanges>
    <protectedRange sqref="D8:D24" name="number of species"/>
  </protectedRanges>
  <sortState ref="A9:E135">
    <sortCondition descending="1" ref="D9:D135"/>
    <sortCondition ref="A9:A135"/>
  </sortState>
  <mergeCells count="2">
    <mergeCell ref="A31:E31"/>
    <mergeCell ref="A33:E33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2018 Pretreatment Mapping Data</vt:lpstr>
      <vt:lpstr>ENTRY </vt:lpstr>
      <vt:lpstr>BOAT SURVEY</vt:lpstr>
      <vt:lpstr>STATS</vt:lpstr>
      <vt:lpstr>2018 Pretreatment STATS Summary</vt:lpstr>
      <vt:lpstr>MAX DEPTH GRAPH</vt:lpstr>
      <vt:lpstr>CALCULATE FQI</vt:lpstr>
      <vt:lpstr>2018 Pretreatment Edited FQI</vt:lpstr>
      <vt:lpstr>'2018 Pretreatment Mapping Data'!Print_Area</vt:lpstr>
      <vt:lpstr>'2018 Pretreatment STATS Summary'!Print_Area</vt:lpstr>
      <vt:lpstr>'BOAT SURVEY'!Print_Area</vt:lpstr>
      <vt:lpstr>'ENTRY '!Print_Area</vt:lpstr>
      <vt:lpstr>STATS!Print_Area</vt:lpstr>
    </vt:vector>
  </TitlesOfParts>
  <Company>University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</dc:creator>
  <cp:lastModifiedBy>Matthew Berg</cp:lastModifiedBy>
  <cp:lastPrinted>2009-11-02T19:37:36Z</cp:lastPrinted>
  <dcterms:created xsi:type="dcterms:W3CDTF">2004-09-23T19:27:36Z</dcterms:created>
  <dcterms:modified xsi:type="dcterms:W3CDTF">2018-06-06T00:23:56Z</dcterms:modified>
</cp:coreProperties>
</file>