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0" windowWidth="19095" windowHeight="8865" tabRatio="630" firstSheet="6" activeTab="6"/>
  </bookViews>
  <sheets>
    <sheet name="2017 Mapping Data" sheetId="1" r:id="rId1"/>
    <sheet name="2012 Mapping Data" sheetId="2" r:id="rId2"/>
    <sheet name="READ ME" sheetId="3" r:id="rId3"/>
    <sheet name="ENTRY " sheetId="4" r:id="rId4"/>
    <sheet name="BOAT SURVEY" sheetId="5" r:id="rId5"/>
    <sheet name="STATS" sheetId="6" r:id="rId6"/>
    <sheet name="2017 Stats Summary" sheetId="7" r:id="rId7"/>
    <sheet name="2012 Stats Summary" sheetId="8" r:id="rId8"/>
    <sheet name="MAX DEPTH GRAPH" sheetId="9" r:id="rId9"/>
    <sheet name="CALCULATE FQI" sheetId="10" r:id="rId10"/>
    <sheet name="2017 Edited FQI" sheetId="11" r:id="rId11"/>
    <sheet name="2012 Edited FQI" sheetId="12" r:id="rId12"/>
  </sheets>
  <definedNames>
    <definedName name="_xlnm.Print_Area" localSheetId="1">'2012 Mapping Data'!$A$1:$M$24</definedName>
    <definedName name="_xlnm.Print_Area" localSheetId="7">'2012 Stats Summary'!$B$1:$G$35</definedName>
    <definedName name="_xlnm.Print_Area" localSheetId="0">'2017 Mapping Data'!$A$1:$M$24</definedName>
    <definedName name="_xlnm.Print_Area" localSheetId="6">'2017 Stats Summary'!$B$1:$G$35</definedName>
    <definedName name="_xlnm.Print_Area" localSheetId="4">'BOAT SURVEY'!$A$1:$C$15</definedName>
    <definedName name="_xlnm.Print_Area" localSheetId="3">'ENTRY '!$A$1:$AJ$24</definedName>
    <definedName name="_xlnm.Print_Area" localSheetId="5">'STATS'!$B$1:$U$35</definedName>
  </definedNames>
  <calcPr fullCalcOnLoad="1"/>
</workbook>
</file>

<file path=xl/comments10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comments11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comments12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<sst xmlns="http://schemas.openxmlformats.org/spreadsheetml/2006/main" count="2520" uniqueCount="657">
  <si>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</si>
  <si>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</si>
  <si>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</si>
  <si>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</si>
  <si>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</si>
  <si>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</si>
  <si>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</si>
  <si>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</si>
  <si>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</si>
  <si>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</si>
  <si>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</si>
  <si>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</si>
  <si>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The statistics:</t>
  </si>
  <si>
    <t>Instructions: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</si>
  <si>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</si>
  <si>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</si>
  <si>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</si>
  <si>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</si>
  <si>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</si>
  <si>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</si>
  <si>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</si>
  <si>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</si>
  <si>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</si>
  <si>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</si>
  <si>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</si>
  <si>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</si>
  <si>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</si>
  <si>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</si>
  <si>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</si>
  <si>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</si>
  <si>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</si>
  <si>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</si>
  <si>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</si>
  <si>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</si>
  <si>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</si>
  <si>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</si>
  <si>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</si>
  <si>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</si>
  <si>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</si>
  <si>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</si>
  <si>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</si>
  <si>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</si>
  <si>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</si>
  <si>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</si>
  <si>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</si>
  <si>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</si>
  <si>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</si>
  <si>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</si>
  <si>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</si>
  <si>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</si>
  <si>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</si>
  <si>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</si>
  <si>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</si>
  <si>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</si>
  <si>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</si>
  <si>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</si>
  <si>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</si>
  <si>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</si>
  <si>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</si>
  <si>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</si>
  <si>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</si>
  <si>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</si>
  <si>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</si>
  <si>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</si>
  <si>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</si>
  <si>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</si>
  <si>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</si>
  <si>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</si>
  <si>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</si>
  <si>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</si>
  <si>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</si>
  <si>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</si>
  <si>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</si>
  <si>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</si>
  <si>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</si>
  <si>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</si>
  <si>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</si>
  <si>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</si>
  <si>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</si>
  <si>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</si>
  <si>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</si>
  <si>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</si>
  <si>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</si>
  <si>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</si>
  <si>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</si>
  <si>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</si>
  <si>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</si>
  <si>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</si>
  <si>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Latitiude (need electronic copy of site locations)</t>
  </si>
  <si>
    <t>Species seen, habitat information</t>
  </si>
  <si>
    <t>Name</t>
  </si>
  <si>
    <t>Date</t>
  </si>
  <si>
    <t>Field Crew</t>
  </si>
  <si>
    <t>Lake</t>
  </si>
  <si>
    <t xml:space="preserve">WBIC 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</si>
  <si>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</si>
  <si>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</si>
  <si>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</si>
  <si>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</si>
  <si>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</si>
  <si>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</si>
  <si>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</si>
  <si>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</si>
  <si>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Total Rake Fullness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</si>
  <si>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</si>
  <si>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</si>
  <si>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</si>
  <si>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</si>
  <si>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</si>
  <si>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</si>
  <si>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</si>
  <si>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</si>
  <si>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</si>
  <si>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</si>
  <si>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</si>
  <si>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</si>
  <si>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</si>
  <si>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</si>
  <si>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</si>
  <si>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</si>
  <si>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</si>
  <si>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</si>
  <si>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</si>
  <si>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</si>
  <si>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</si>
  <si>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</si>
  <si>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</si>
  <si>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</si>
  <si>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</si>
  <si>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</si>
  <si>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</si>
  <si>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</si>
  <si>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</si>
  <si>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</si>
  <si>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</si>
  <si>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</si>
  <si>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</si>
  <si>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</si>
  <si>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</si>
  <si>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</si>
  <si>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</si>
  <si>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</si>
  <si>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</si>
  <si>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</si>
  <si>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</si>
  <si>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</si>
  <si>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</si>
  <si>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</si>
  <si>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</si>
  <si>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</si>
  <si>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</si>
  <si>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</si>
  <si>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</si>
  <si>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</si>
  <si>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</si>
  <si>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</si>
  <si>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</si>
  <si>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</si>
  <si>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</si>
  <si>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</si>
  <si>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</si>
  <si>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</si>
  <si>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</si>
  <si>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</si>
  <si>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</si>
  <si>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</si>
  <si>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</si>
  <si>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</si>
  <si>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</si>
  <si>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</si>
  <si>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</si>
  <si>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</si>
  <si>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</si>
  <si>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</si>
  <si>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</si>
  <si>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</si>
  <si>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</si>
  <si>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</si>
  <si>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</si>
  <si>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</si>
  <si>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</si>
  <si>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</si>
  <si>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</si>
  <si>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</si>
  <si>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</si>
  <si>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</si>
  <si>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</si>
  <si>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</si>
  <si>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</si>
  <si>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</si>
  <si>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</si>
  <si>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</si>
  <si>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</si>
  <si>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</si>
  <si>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</si>
  <si>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</si>
  <si>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</si>
  <si>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</si>
  <si>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</si>
  <si>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</si>
  <si>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</si>
  <si>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</si>
  <si>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</si>
  <si>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</si>
  <si>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</si>
  <si>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</si>
  <si>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</si>
  <si>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</si>
  <si>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</si>
  <si>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</si>
  <si>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</si>
  <si>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</si>
  <si>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</si>
  <si>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</si>
  <si>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</si>
  <si>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</si>
  <si>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</si>
  <si>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</si>
  <si>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</si>
  <si>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</si>
  <si>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</si>
  <si>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</si>
  <si>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</si>
  <si>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</si>
  <si>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</si>
  <si>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</si>
  <si>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</si>
  <si>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</si>
  <si>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</si>
  <si>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</si>
  <si>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</si>
  <si>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</si>
  <si>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</si>
  <si>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</si>
  <si>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</si>
  <si>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</si>
  <si>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</si>
  <si>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</si>
  <si>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</si>
  <si>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</si>
  <si>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</si>
  <si>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</si>
  <si>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</si>
  <si>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</si>
  <si>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</si>
  <si>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</si>
  <si>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</si>
  <si>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</si>
  <si>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</si>
  <si>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</si>
  <si>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</si>
  <si>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</si>
  <si>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</si>
  <si>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</si>
  <si>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</si>
  <si>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</si>
  <si>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</si>
  <si>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</si>
  <si>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</si>
  <si>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</si>
  <si>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</si>
  <si>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</si>
  <si>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</si>
  <si>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</si>
  <si>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</si>
  <si>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</si>
  <si>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</si>
  <si>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</si>
  <si>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</si>
  <si>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</si>
  <si>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</si>
  <si>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</si>
  <si>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</si>
  <si>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</si>
  <si>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</si>
  <si>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</si>
  <si>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</si>
  <si>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</si>
  <si>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</si>
  <si>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</si>
  <si>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</si>
  <si>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</si>
  <si>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</si>
  <si>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</si>
  <si>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</si>
  <si>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</si>
  <si>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</si>
  <si>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</si>
  <si>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</si>
  <si>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</si>
  <si>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</si>
  <si>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</si>
  <si>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</si>
  <si>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</si>
  <si>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</si>
  <si>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</si>
  <si>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</si>
  <si>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</si>
  <si>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</si>
  <si>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</si>
  <si>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</si>
  <si>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</si>
  <si>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</si>
  <si>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</si>
  <si>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</si>
  <si>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</si>
  <si>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</si>
  <si>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</si>
  <si>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</si>
  <si>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</si>
  <si>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</si>
  <si>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</si>
  <si>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</si>
  <si>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</si>
  <si>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</si>
  <si>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</si>
  <si>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</si>
  <si>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</si>
  <si>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</si>
  <si>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</si>
  <si>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</si>
  <si>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</si>
  <si>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</si>
  <si>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</si>
  <si>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</si>
  <si>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</si>
  <si>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</si>
  <si>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</si>
  <si>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DEPTH BIN (FT)</t>
  </si>
  <si>
    <t># SITES (NO ENTRY)</t>
  </si>
  <si>
    <t>Myriophyllum sibiricum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</si>
  <si>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</si>
  <si>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</si>
  <si>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</si>
  <si>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</si>
  <si>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</si>
  <si>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</si>
  <si>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</si>
  <si>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</si>
  <si>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</si>
  <si>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</si>
  <si>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</si>
  <si>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</si>
  <si>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</si>
  <si>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</si>
  <si>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</si>
  <si>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</si>
  <si>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t>Potamogeton bicupulatus</t>
  </si>
  <si>
    <t>Snail-seed pondwwed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</si>
  <si>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</si>
  <si>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</si>
  <si>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</si>
  <si>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</si>
  <si>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</si>
  <si>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</si>
  <si>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</si>
  <si>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</si>
  <si>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</si>
  <si>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</si>
  <si>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</si>
  <si>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</si>
  <si>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</si>
  <si>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</si>
  <si>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</si>
  <si>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</si>
  <si>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</si>
  <si>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</si>
  <si>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</si>
  <si>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</si>
  <si>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</si>
  <si>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</si>
  <si>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</si>
  <si>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</si>
  <si>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</si>
  <si>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</si>
  <si>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t>Wild rice</t>
  </si>
  <si>
    <t>Cattail</t>
  </si>
  <si>
    <t>Quillwort</t>
  </si>
  <si>
    <t>Wolffia borealis</t>
  </si>
  <si>
    <t>Bidens beckii</t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</si>
  <si>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</si>
  <si>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</si>
  <si>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</si>
  <si>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</si>
  <si>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</si>
  <si>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</si>
  <si>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</si>
  <si>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</si>
  <si>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</si>
  <si>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</si>
  <si>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</si>
  <si>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</si>
  <si>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</si>
  <si>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</si>
  <si>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</si>
  <si>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</si>
  <si>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</si>
  <si>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</si>
  <si>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</si>
  <si>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</si>
  <si>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</si>
  <si>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Filamentous algae</t>
  </si>
  <si>
    <t>Aquatic moss</t>
  </si>
  <si>
    <t>Freshwater sponge</t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</si>
  <si>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</si>
  <si>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</si>
  <si>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</si>
  <si>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</si>
  <si>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</si>
  <si>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</si>
  <si>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</si>
  <si>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</si>
  <si>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</si>
  <si>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</si>
  <si>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</si>
  <si>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</si>
  <si>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</si>
  <si>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</si>
  <si>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</si>
  <si>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</si>
  <si>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</si>
  <si>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</si>
  <si>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</si>
  <si>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</si>
  <si>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</si>
  <si>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</si>
  <si>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</si>
  <si>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</si>
  <si>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</si>
  <si>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</si>
  <si>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</si>
  <si>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</si>
  <si>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</si>
  <si>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</si>
  <si>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</si>
  <si>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</si>
  <si>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</si>
  <si>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</si>
  <si>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</si>
  <si>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</si>
  <si>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</si>
  <si>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</si>
  <si>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</si>
  <si>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</si>
  <si>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</si>
  <si>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</si>
  <si>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</si>
  <si>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</si>
  <si>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</si>
  <si>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</si>
  <si>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</si>
  <si>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</si>
  <si>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</si>
  <si>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</si>
  <si>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</si>
  <si>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</si>
  <si>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</si>
  <si>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</si>
  <si>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</si>
  <si>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</si>
  <si>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</si>
  <si>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</si>
  <si>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</si>
  <si>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</si>
  <si>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</si>
  <si>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</si>
  <si>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</si>
  <si>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</si>
  <si>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</si>
  <si>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</si>
  <si>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</si>
  <si>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</si>
  <si>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</si>
  <si>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</si>
  <si>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</si>
  <si>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</si>
  <si>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</si>
  <si>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</si>
  <si>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</si>
  <si>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</si>
  <si>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</si>
  <si>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</si>
  <si>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</si>
  <si>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</si>
  <si>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</si>
  <si>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</si>
  <si>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</si>
  <si>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</si>
  <si>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</si>
  <si>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</si>
  <si>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</si>
  <si>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</si>
  <si>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</si>
  <si>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</si>
  <si>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</si>
  <si>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</si>
  <si>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</si>
  <si>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</si>
  <si>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</si>
  <si>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</si>
  <si>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</si>
  <si>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</si>
  <si>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</si>
  <si>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</si>
  <si>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</si>
  <si>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</si>
  <si>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</si>
  <si>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</si>
  <si>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</si>
  <si>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</si>
  <si>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</si>
  <si>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</si>
  <si>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</si>
  <si>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</si>
  <si>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</si>
  <si>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</si>
  <si>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</si>
  <si>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</si>
  <si>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</si>
  <si>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</si>
  <si>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</si>
  <si>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</si>
  <si>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</si>
  <si>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</si>
  <si>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</si>
  <si>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</si>
  <si>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</si>
  <si>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</si>
  <si>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</si>
  <si>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</si>
  <si>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</si>
  <si>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</si>
  <si>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</si>
  <si>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</si>
  <si>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</si>
  <si>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</si>
  <si>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</si>
  <si>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</si>
  <si>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</si>
  <si>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</si>
  <si>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</si>
  <si>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</si>
  <si>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</si>
  <si>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</si>
  <si>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</si>
  <si>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</si>
  <si>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</si>
  <si>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</si>
  <si>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</si>
  <si>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</si>
  <si>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</si>
  <si>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</si>
  <si>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</si>
  <si>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</si>
  <si>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</si>
  <si>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Noah M. Berg</t>
  </si>
  <si>
    <t>Bidens beckii,Water marigold</t>
  </si>
  <si>
    <t>Mean rake fullness (veg. sites only)</t>
  </si>
  <si>
    <t>Chara sp.,Muskgrass</t>
  </si>
  <si>
    <t>Total_Rake_Fullness</t>
  </si>
  <si>
    <t>North Lake (Spider Chain)</t>
  </si>
  <si>
    <t>Sawyer Co.</t>
  </si>
  <si>
    <t>8 7,11, 2012</t>
  </si>
  <si>
    <t>M</t>
  </si>
  <si>
    <t>S</t>
  </si>
  <si>
    <t>R</t>
  </si>
  <si>
    <t>V</t>
  </si>
  <si>
    <t>Muskgrass</t>
  </si>
  <si>
    <t>Short-stemmed bur-reed</t>
  </si>
  <si>
    <t>*</t>
  </si>
  <si>
    <t>Carex lasiocarpa</t>
  </si>
  <si>
    <t>Narrow-leaved woolly sedge</t>
  </si>
  <si>
    <t>***</t>
  </si>
  <si>
    <t>* Excluded from relative frequency analysis</t>
  </si>
  <si>
    <t>*** Boat survey only</t>
  </si>
  <si>
    <t>Chara sp.</t>
  </si>
  <si>
    <t>ID</t>
  </si>
  <si>
    <t>Latitude</t>
  </si>
  <si>
    <t>Longitude</t>
  </si>
  <si>
    <t>Depth</t>
  </si>
  <si>
    <t>Sediment</t>
  </si>
  <si>
    <t>Littoral_Zone</t>
  </si>
  <si>
    <t>Littoral_Zone_with_Plants</t>
  </si>
  <si>
    <t>Native_Species_Richness</t>
  </si>
  <si>
    <t>Bidens_beckii_Water_marigold</t>
  </si>
  <si>
    <t>Brasenia_schreberi_Watershield</t>
  </si>
  <si>
    <t>Ceratophyllum_demersum_Coontail</t>
  </si>
  <si>
    <t>Eleocharis_acicularis_Needle_spikerush</t>
  </si>
  <si>
    <t>Eleocharis_palustris_Creeping_spikerush</t>
  </si>
  <si>
    <t>Elodea_canadensis_Common_waterweed</t>
  </si>
  <si>
    <t>Heteranthera_dubia_Water_star_grass</t>
  </si>
  <si>
    <t>Myriophyllum_sibiricum_Northern_water_milfoil</t>
  </si>
  <si>
    <t>Myriophyllum_verticillatum_Whorled_water_milfoil</t>
  </si>
  <si>
    <t>Najas_flexilis_Slender_naiad</t>
  </si>
  <si>
    <t>Nuphar_variegata_Spatterdock</t>
  </si>
  <si>
    <t>Nymphaea_odorata_White_water_lily</t>
  </si>
  <si>
    <t>Pontederia_cordata_Pickerelweed</t>
  </si>
  <si>
    <t>Potamogeton_amplifolius_Large_leaf_pondweed</t>
  </si>
  <si>
    <t>Potamogeton_epihydrus_Ribbon_leaf_pondweed</t>
  </si>
  <si>
    <t>Potamogeton_gramineus_Variable_pondweed</t>
  </si>
  <si>
    <t>Potamogeton_natans_Floating_leaf_pondweed</t>
  </si>
  <si>
    <t>Potamogeton_praelongus_White_stem_pondweed</t>
  </si>
  <si>
    <t>Potamogeton_pusillus_Small_pondweed</t>
  </si>
  <si>
    <t>Potamogeton_richardsonii_Clasping_leaf_pondweed</t>
  </si>
  <si>
    <t>Potamogeton_robbinsii_Fern_pondweed</t>
  </si>
  <si>
    <t>Potamogeton_zosteriformis_Flat_stem_pondweed</t>
  </si>
  <si>
    <t>Schoenoplectus_acutus_Hardstem_bulrush</t>
  </si>
  <si>
    <t>Schoenoplectus_subterminalis_Water_bulrush</t>
  </si>
  <si>
    <t>Sparganium_emersum_Short_stemmed_bur_reed</t>
  </si>
  <si>
    <t>Utricularia_gibba_Creeping_bladderwort</t>
  </si>
  <si>
    <t>Utricularia_intermedia_Flat_leaf_bladderwort</t>
  </si>
  <si>
    <t>Utricularia_minor_Small_bladderwort</t>
  </si>
  <si>
    <t>Utricularia_vulgaris_Common_bladderwort</t>
  </si>
  <si>
    <t>Vallisneria_americana_Wild_celery</t>
  </si>
  <si>
    <t>Zizania_palustris_Northern_wild_rice</t>
  </si>
  <si>
    <t>Filamentous_algae</t>
  </si>
  <si>
    <t>Potamogeton_friesii_Fries_pondweed</t>
  </si>
  <si>
    <t>Chara_sp_Muskgrass</t>
  </si>
  <si>
    <t>Nitella_sp_Nitella</t>
  </si>
  <si>
    <r>
      <t xml:space="preserve">Chara </t>
    </r>
    <r>
      <rPr>
        <sz val="10"/>
        <rFont val="Times New Roman"/>
        <family val="1"/>
      </rPr>
      <t>sp.</t>
    </r>
  </si>
  <si>
    <r>
      <t xml:space="preserve">Nitella </t>
    </r>
    <r>
      <rPr>
        <sz val="10"/>
        <rFont val="Times New Roman"/>
        <family val="1"/>
      </rPr>
      <t>sp.</t>
    </r>
  </si>
  <si>
    <t>Depth at 334 and 355 not a mistake - small "hump" in otherwise deep area</t>
  </si>
  <si>
    <t/>
  </si>
  <si>
    <t>present</t>
  </si>
  <si>
    <t>8 1, 2017</t>
  </si>
  <si>
    <t>**</t>
  </si>
  <si>
    <t>** Visuals only</t>
  </si>
  <si>
    <t>Substrate</t>
  </si>
  <si>
    <t>Polygonum_amphibium_Water_smartweed</t>
  </si>
  <si>
    <t>Potamogeton_foliosus_Leafy_pondweed</t>
  </si>
  <si>
    <t>Potamogeton_friesii_Fries__pondweed</t>
  </si>
  <si>
    <t>Potamogeton_illinoensis_Illinois_pondweed</t>
  </si>
  <si>
    <t>Sagittaria_cristata_Crested_arrowhead</t>
  </si>
  <si>
    <t>Stuckenia_pectinata_Sago_pondweed</t>
  </si>
  <si>
    <t>Chara_sp__Muskgrass</t>
  </si>
  <si>
    <t>Nitella_sp__Nitella</t>
  </si>
  <si>
    <t>Zizania_palustris__Northern_Wild_rice</t>
  </si>
  <si>
    <t>Only rice on the lake occurred at the mapped point - no more than 6 plants total!</t>
  </si>
  <si>
    <t>Iris pseudacorus</t>
  </si>
  <si>
    <t>Yellow iris</t>
  </si>
  <si>
    <t>Broad-leaved cattail (Typha latifolia)</t>
  </si>
  <si>
    <t>Softstem bulrush (Schoenoplectus tabernaemontani)</t>
  </si>
  <si>
    <t>Water horsetail (Equisetum fluviatile)</t>
  </si>
  <si>
    <t>Narrow-leaved woolly sedge (Carex lasiocarpa)</t>
  </si>
  <si>
    <t>Spiny-spored quillwort (Isoetes echinospora)</t>
  </si>
  <si>
    <t>Yellow iris (Iris pseudacorus)</t>
  </si>
  <si>
    <t>Needle spikerush (Eleocharis acicularis)</t>
  </si>
  <si>
    <t>Bottle brush sedge (Carex comosa)</t>
  </si>
  <si>
    <t>P</t>
  </si>
  <si>
    <r>
      <t xml:space="preserve">Isoetes </t>
    </r>
    <r>
      <rPr>
        <sz val="11"/>
        <color indexed="8"/>
        <rFont val="Times New Roman"/>
        <family val="1"/>
      </rPr>
      <t>sp.</t>
    </r>
  </si>
  <si>
    <r>
      <t xml:space="preserve">Nuphar </t>
    </r>
    <r>
      <rPr>
        <sz val="11"/>
        <color indexed="8"/>
        <rFont val="Times New Roman"/>
        <family val="1"/>
      </rPr>
      <t xml:space="preserve">X </t>
    </r>
    <r>
      <rPr>
        <i/>
        <sz val="11"/>
        <color indexed="8"/>
        <rFont val="Times New Roman"/>
        <family val="1"/>
      </rPr>
      <t>rubrodisca</t>
    </r>
  </si>
  <si>
    <r>
      <t xml:space="preserve">Typha </t>
    </r>
    <r>
      <rPr>
        <sz val="11"/>
        <color indexed="8"/>
        <rFont val="Times New Roman"/>
        <family val="1"/>
      </rPr>
      <t>sp.</t>
    </r>
  </si>
  <si>
    <r>
      <t xml:space="preserve">Zizania </t>
    </r>
    <r>
      <rPr>
        <sz val="11"/>
        <color indexed="8"/>
        <rFont val="Times New Roman"/>
        <family val="1"/>
      </rPr>
      <t>sp.</t>
    </r>
  </si>
  <si>
    <r>
      <t xml:space="preserve">CITATION: </t>
    </r>
    <r>
      <rPr>
        <b/>
        <sz val="12"/>
        <color indexed="8"/>
        <rFont val="Times New Roman"/>
        <family val="1"/>
      </rPr>
      <t xml:space="preserve">Nichols, SA. 1999. Floristic Quality Assessment of Wisconsin Lake Plant Communities with Example Applications. Journal of Lake and Reservoir Management, 15(2):133-141. </t>
    </r>
  </si>
  <si>
    <r>
      <t xml:space="preserve">CITATION: </t>
    </r>
    <r>
      <rPr>
        <b/>
        <sz val="12"/>
        <color indexed="8"/>
        <rFont val="Times New Roman"/>
        <family val="1"/>
      </rPr>
      <t>University of Wisconsin-Madison, 2001. Wisconsin Floristic Quality Assessment (WFQA). Retrived October 27, 2009 from: http://www.botany.wisc.edu/WFQA.asp</t>
    </r>
  </si>
  <si>
    <r>
      <t xml:space="preserve">Nitella </t>
    </r>
    <r>
      <rPr>
        <sz val="11"/>
        <color indexed="8"/>
        <rFont val="Times New Roman"/>
        <family val="1"/>
      </rPr>
      <t>sp.</t>
    </r>
  </si>
  <si>
    <r>
      <t xml:space="preserve">Chara </t>
    </r>
    <r>
      <rPr>
        <sz val="11"/>
        <color indexed="8"/>
        <rFont val="Times New Roman"/>
        <family val="1"/>
      </rPr>
      <t>sp.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</si>
</sst>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  <numFmt numFmtId="172" formatCode="[$€-2]\ #,##0.00_);[Red]\([$€-2]\ #,##0.00\)"/>
    <numFmt numFmtId="173" formatCode="0.00000"/>
  </numFmts>
  <fonts count="8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4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5"/>
      <color indexed="8"/>
      <name val="Arial"/>
      <family val="2"/>
    </font>
    <font>
      <b/>
      <sz val="17.5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22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11" xfId="0" applyBorder="1" applyAlignment="1" applyProtection="1">
      <alignment textRotation="45"/>
      <protection locked="0"/>
    </xf>
    <xf numFmtId="0" fontId="10" fillId="0" borderId="10" xfId="0" applyFont="1" applyBorder="1" applyAlignment="1" applyProtection="1">
      <alignment textRotation="45"/>
      <protection locked="0"/>
    </xf>
    <xf numFmtId="0" fontId="0" fillId="0" borderId="12" xfId="0" applyBorder="1" applyAlignment="1" applyProtection="1">
      <alignment textRotation="45"/>
      <protection locked="0"/>
    </xf>
    <xf numFmtId="0" fontId="0" fillId="33" borderId="10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33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1" fontId="1" fillId="0" borderId="0" xfId="0" applyNumberFormat="1" applyFont="1" applyAlignment="1">
      <alignment/>
    </xf>
    <xf numFmtId="0" fontId="14" fillId="33" borderId="10" xfId="0" applyFont="1" applyFill="1" applyBorder="1" applyAlignment="1" applyProtection="1">
      <alignment textRotation="45" wrapText="1"/>
      <protection locked="0"/>
    </xf>
    <xf numFmtId="2" fontId="0" fillId="0" borderId="0" xfId="0" applyNumberFormat="1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3" xfId="0" applyBorder="1" applyAlignment="1" applyProtection="1">
      <alignment textRotation="45"/>
      <protection locked="0"/>
    </xf>
    <xf numFmtId="0" fontId="0" fillId="34" borderId="10" xfId="0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0" xfId="0" applyFont="1" applyFill="1" applyBorder="1" applyAlignment="1" applyProtection="1">
      <alignment textRotation="45"/>
      <protection locked="0"/>
    </xf>
    <xf numFmtId="0" fontId="0" fillId="0" borderId="10" xfId="0" applyFill="1" applyBorder="1" applyAlignment="1" applyProtection="1">
      <alignment textRotation="45"/>
      <protection locked="0"/>
    </xf>
    <xf numFmtId="0" fontId="0" fillId="0" borderId="10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 applyProtection="1">
      <alignment textRotation="45"/>
      <protection locked="0"/>
    </xf>
    <xf numFmtId="0" fontId="0" fillId="33" borderId="11" xfId="0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textRotation="45"/>
    </xf>
    <xf numFmtId="0" fontId="8" fillId="0" borderId="12" xfId="0" applyFont="1" applyBorder="1" applyAlignment="1">
      <alignment/>
    </xf>
    <xf numFmtId="2" fontId="0" fillId="0" borderId="10" xfId="0" applyNumberFormat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33" borderId="11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15" fillId="0" borderId="11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12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5" borderId="10" xfId="0" applyFont="1" applyFill="1" applyBorder="1" applyAlignment="1" applyProtection="1">
      <alignment textRotation="45" wrapText="1"/>
      <protection hidden="1"/>
    </xf>
    <xf numFmtId="0" fontId="5" fillId="35" borderId="10" xfId="0" applyFont="1" applyFill="1" applyBorder="1" applyAlignment="1" applyProtection="1">
      <alignment textRotation="45" wrapText="1"/>
      <protection hidden="1"/>
    </xf>
    <xf numFmtId="0" fontId="0" fillId="35" borderId="10" xfId="0" applyFill="1" applyBorder="1" applyAlignment="1" applyProtection="1">
      <alignment textRotation="45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4" fillId="0" borderId="0" xfId="59" applyFont="1" applyFill="1" applyBorder="1" applyAlignment="1">
      <alignment horizontal="left" wrapText="1"/>
      <protection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59" applyFont="1" applyFill="1" applyBorder="1" applyAlignment="1">
      <alignment horizontal="center"/>
      <protection/>
    </xf>
    <xf numFmtId="0" fontId="21" fillId="0" borderId="0" xfId="58" applyFont="1" applyFill="1" applyBorder="1" applyAlignment="1">
      <alignment horizontal="center"/>
      <protection/>
    </xf>
    <xf numFmtId="0" fontId="21" fillId="0" borderId="0" xfId="58" applyFont="1" applyFill="1" applyBorder="1" applyAlignment="1">
      <alignment/>
      <protection/>
    </xf>
    <xf numFmtId="0" fontId="21" fillId="0" borderId="0" xfId="59" applyFont="1" applyFill="1" applyBorder="1" applyAlignment="1">
      <alignment horizontal="left" wrapText="1"/>
      <protection/>
    </xf>
    <xf numFmtId="1" fontId="21" fillId="0" borderId="0" xfId="59" applyNumberFormat="1" applyFont="1" applyFill="1" applyBorder="1" applyAlignment="1">
      <alignment wrapText="1"/>
      <protection/>
    </xf>
    <xf numFmtId="0" fontId="20" fillId="0" borderId="0" xfId="0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4" fillId="0" borderId="10" xfId="0" applyFont="1" applyFill="1" applyBorder="1" applyAlignment="1" applyProtection="1">
      <alignment textRotation="45" wrapText="1"/>
      <protection locked="0"/>
    </xf>
    <xf numFmtId="0" fontId="22" fillId="0" borderId="15" xfId="59" applyFont="1" applyFill="1" applyBorder="1" applyAlignment="1">
      <alignment horizontal="center"/>
      <protection/>
    </xf>
    <xf numFmtId="0" fontId="22" fillId="0" borderId="16" xfId="59" applyFont="1" applyFill="1" applyBorder="1" applyAlignment="1">
      <alignment horizontal="center"/>
      <protection/>
    </xf>
    <xf numFmtId="0" fontId="22" fillId="0" borderId="17" xfId="58" applyFont="1" applyFill="1" applyBorder="1" applyAlignment="1">
      <alignment horizontal="center"/>
      <protection/>
    </xf>
    <xf numFmtId="0" fontId="20" fillId="0" borderId="18" xfId="0" applyFont="1" applyBorder="1" applyAlignment="1">
      <alignment/>
    </xf>
    <xf numFmtId="1" fontId="21" fillId="0" borderId="19" xfId="58" applyNumberFormat="1" applyFont="1" applyFill="1" applyBorder="1" applyAlignment="1">
      <alignment wrapText="1"/>
      <protection/>
    </xf>
    <xf numFmtId="1" fontId="21" fillId="0" borderId="20" xfId="58" applyNumberFormat="1" applyFont="1" applyFill="1" applyBorder="1" applyAlignment="1">
      <alignment wrapText="1"/>
      <protection/>
    </xf>
    <xf numFmtId="1" fontId="21" fillId="0" borderId="21" xfId="58" applyNumberFormat="1" applyFont="1" applyFill="1" applyBorder="1" applyAlignment="1">
      <alignment wrapText="1"/>
      <protection/>
    </xf>
    <xf numFmtId="0" fontId="22" fillId="0" borderId="22" xfId="59" applyFont="1" applyFill="1" applyBorder="1" applyAlignment="1">
      <alignment horizontal="center"/>
      <protection/>
    </xf>
    <xf numFmtId="0" fontId="21" fillId="36" borderId="23" xfId="59" applyFont="1" applyFill="1" applyBorder="1" applyAlignment="1">
      <alignment horizontal="left" wrapText="1"/>
      <protection/>
    </xf>
    <xf numFmtId="0" fontId="20" fillId="37" borderId="23" xfId="0" applyFont="1" applyFill="1" applyBorder="1" applyAlignment="1">
      <alignment/>
    </xf>
    <xf numFmtId="0" fontId="20" fillId="37" borderId="23" xfId="0" applyFont="1" applyFill="1" applyBorder="1" applyAlignment="1">
      <alignment/>
    </xf>
    <xf numFmtId="0" fontId="22" fillId="0" borderId="0" xfId="59" applyFont="1" applyFill="1" applyBorder="1" applyAlignment="1">
      <alignment horizontal="left" wrapText="1"/>
      <protection/>
    </xf>
    <xf numFmtId="0" fontId="22" fillId="36" borderId="24" xfId="59" applyFont="1" applyFill="1" applyBorder="1" applyAlignment="1">
      <alignment horizontal="left" wrapText="1"/>
      <protection/>
    </xf>
    <xf numFmtId="0" fontId="27" fillId="0" borderId="0" xfId="0" applyFont="1" applyAlignment="1">
      <alignment/>
    </xf>
    <xf numFmtId="0" fontId="23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32" xfId="59" applyFont="1" applyFill="1" applyBorder="1" applyAlignment="1">
      <alignment horizontal="center"/>
      <protection/>
    </xf>
    <xf numFmtId="0" fontId="22" fillId="0" borderId="33" xfId="59" applyFont="1" applyFill="1" applyBorder="1" applyAlignment="1">
      <alignment horizontal="center"/>
      <protection/>
    </xf>
    <xf numFmtId="0" fontId="21" fillId="0" borderId="34" xfId="58" applyFont="1" applyFill="1" applyBorder="1" applyAlignment="1">
      <alignment horizontal="center"/>
      <protection/>
    </xf>
    <xf numFmtId="0" fontId="22" fillId="0" borderId="35" xfId="59" applyFont="1" applyFill="1" applyBorder="1" applyAlignment="1">
      <alignment horizontal="center"/>
      <protection/>
    </xf>
    <xf numFmtId="0" fontId="21" fillId="0" borderId="36" xfId="58" applyFont="1" applyFill="1" applyBorder="1" applyAlignment="1">
      <alignment horizontal="center"/>
      <protection/>
    </xf>
    <xf numFmtId="0" fontId="22" fillId="0" borderId="28" xfId="59" applyFont="1" applyFill="1" applyBorder="1" applyAlignment="1">
      <alignment horizontal="center"/>
      <protection/>
    </xf>
    <xf numFmtId="0" fontId="21" fillId="0" borderId="29" xfId="58" applyFont="1" applyFill="1" applyBorder="1" applyAlignment="1">
      <alignment horizontal="center"/>
      <protection/>
    </xf>
    <xf numFmtId="0" fontId="15" fillId="37" borderId="13" xfId="0" applyFont="1" applyFill="1" applyBorder="1" applyAlignment="1" applyProtection="1">
      <alignment textRotation="45" wrapText="1"/>
      <protection locked="0"/>
    </xf>
    <xf numFmtId="0" fontId="0" fillId="37" borderId="13" xfId="0" applyFont="1" applyFill="1" applyBorder="1" applyAlignment="1" applyProtection="1">
      <alignment textRotation="45"/>
      <protection locked="0"/>
    </xf>
    <xf numFmtId="0" fontId="10" fillId="37" borderId="13" xfId="0" applyFont="1" applyFill="1" applyBorder="1" applyAlignment="1" applyProtection="1">
      <alignment textRotation="45"/>
      <protection locked="0"/>
    </xf>
    <xf numFmtId="0" fontId="0" fillId="37" borderId="3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 textRotation="45"/>
      <protection hidden="1"/>
    </xf>
    <xf numFmtId="0" fontId="0" fillId="35" borderId="12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 textRotation="45"/>
      <protection locked="0"/>
    </xf>
    <xf numFmtId="0" fontId="0" fillId="0" borderId="0" xfId="0" applyFont="1" applyFill="1" applyBorder="1" applyAlignment="1" applyProtection="1">
      <alignment/>
      <protection locked="0"/>
    </xf>
    <xf numFmtId="171" fontId="21" fillId="0" borderId="34" xfId="58" applyNumberFormat="1" applyFont="1" applyFill="1" applyBorder="1" applyAlignment="1">
      <alignment horizontal="center"/>
      <protection/>
    </xf>
    <xf numFmtId="0" fontId="20" fillId="0" borderId="38" xfId="0" applyFont="1" applyBorder="1" applyAlignment="1">
      <alignment horizontal="center"/>
    </xf>
    <xf numFmtId="2" fontId="15" fillId="0" borderId="10" xfId="0" applyNumberFormat="1" applyFont="1" applyBorder="1" applyAlignment="1">
      <alignment textRotation="45"/>
    </xf>
    <xf numFmtId="0" fontId="14" fillId="0" borderId="11" xfId="0" applyFont="1" applyFill="1" applyBorder="1" applyAlignment="1" applyProtection="1">
      <alignment textRotation="45"/>
      <protection locked="0"/>
    </xf>
    <xf numFmtId="0" fontId="14" fillId="0" borderId="10" xfId="0" applyFont="1" applyFill="1" applyBorder="1" applyAlignment="1" applyProtection="1">
      <alignment textRotation="45"/>
      <protection locked="0"/>
    </xf>
    <xf numFmtId="0" fontId="15" fillId="0" borderId="10" xfId="0" applyFont="1" applyFill="1" applyBorder="1" applyAlignment="1" applyProtection="1">
      <alignment textRotation="45" wrapText="1"/>
      <protection locked="0"/>
    </xf>
    <xf numFmtId="0" fontId="0" fillId="38" borderId="10" xfId="0" applyFill="1" applyBorder="1" applyAlignment="1" applyProtection="1">
      <alignment/>
      <protection locked="0"/>
    </xf>
    <xf numFmtId="171" fontId="0" fillId="38" borderId="10" xfId="0" applyNumberFormat="1" applyFont="1" applyFill="1" applyBorder="1" applyAlignment="1" applyProtection="1">
      <alignment horizontal="left"/>
      <protection locked="0"/>
    </xf>
    <xf numFmtId="0" fontId="0" fillId="0" borderId="10" xfId="57" applyBorder="1">
      <alignment/>
      <protection/>
    </xf>
    <xf numFmtId="0" fontId="0" fillId="0" borderId="0" xfId="0" applyBorder="1" applyAlignment="1" applyProtection="1">
      <alignment/>
      <protection locked="0"/>
    </xf>
    <xf numFmtId="168" fontId="20" fillId="0" borderId="0" xfId="0" applyNumberFormat="1" applyFont="1" applyAlignment="1">
      <alignment/>
    </xf>
    <xf numFmtId="168" fontId="20" fillId="37" borderId="17" xfId="0" applyNumberFormat="1" applyFont="1" applyFill="1" applyBorder="1" applyAlignment="1">
      <alignment/>
    </xf>
    <xf numFmtId="0" fontId="0" fillId="38" borderId="10" xfId="0" applyFont="1" applyFill="1" applyBorder="1" applyAlignment="1" applyProtection="1">
      <alignment horizontal="left"/>
      <protection locked="0"/>
    </xf>
    <xf numFmtId="173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34" borderId="11" xfId="0" applyFont="1" applyFill="1" applyBorder="1" applyAlignment="1" applyProtection="1">
      <alignment textRotation="45"/>
      <protection locked="0"/>
    </xf>
    <xf numFmtId="0" fontId="0" fillId="0" borderId="11" xfId="0" applyFont="1" applyBorder="1" applyAlignment="1" applyProtection="1">
      <alignment textRotation="45"/>
      <protection locked="0"/>
    </xf>
    <xf numFmtId="0" fontId="0" fillId="0" borderId="10" xfId="0" applyFont="1" applyBorder="1" applyAlignment="1" applyProtection="1">
      <alignment textRotation="45"/>
      <protection locked="0"/>
    </xf>
    <xf numFmtId="0" fontId="0" fillId="0" borderId="13" xfId="0" applyFont="1" applyBorder="1" applyAlignment="1" applyProtection="1">
      <alignment textRotation="45"/>
      <protection locked="0"/>
    </xf>
    <xf numFmtId="0" fontId="0" fillId="35" borderId="12" xfId="0" applyFont="1" applyFill="1" applyBorder="1" applyAlignment="1" applyProtection="1">
      <alignment textRotation="45"/>
      <protection hidden="1"/>
    </xf>
    <xf numFmtId="0" fontId="29" fillId="0" borderId="0" xfId="0" applyFont="1" applyAlignment="1">
      <alignment wrapText="1"/>
    </xf>
    <xf numFmtId="0" fontId="0" fillId="39" borderId="0" xfId="0" applyFill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2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8" fillId="0" borderId="0" xfId="59" applyFont="1" applyFill="1" applyBorder="1" applyAlignment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0" fontId="28" fillId="0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59" applyFont="1" applyFill="1" applyBorder="1" applyAlignment="1">
      <alignment horizontal="center"/>
      <protection/>
    </xf>
    <xf numFmtId="0" fontId="53" fillId="0" borderId="32" xfId="59" applyFont="1" applyFill="1" applyBorder="1" applyAlignment="1">
      <alignment horizontal="center"/>
      <protection/>
    </xf>
    <xf numFmtId="0" fontId="51" fillId="0" borderId="38" xfId="0" applyFont="1" applyBorder="1" applyAlignment="1">
      <alignment horizontal="center"/>
    </xf>
    <xf numFmtId="0" fontId="54" fillId="0" borderId="0" xfId="0" applyFont="1" applyFill="1" applyBorder="1" applyAlignment="1">
      <alignment/>
    </xf>
    <xf numFmtId="0" fontId="53" fillId="0" borderId="33" xfId="59" applyFont="1" applyFill="1" applyBorder="1" applyAlignment="1">
      <alignment horizontal="center"/>
      <protection/>
    </xf>
    <xf numFmtId="0" fontId="52" fillId="0" borderId="34" xfId="58" applyFont="1" applyFill="1" applyBorder="1" applyAlignment="1">
      <alignment horizontal="center"/>
      <protection/>
    </xf>
    <xf numFmtId="171" fontId="52" fillId="0" borderId="34" xfId="58" applyNumberFormat="1" applyFont="1" applyFill="1" applyBorder="1" applyAlignment="1">
      <alignment horizontal="center"/>
      <protection/>
    </xf>
    <xf numFmtId="0" fontId="52" fillId="0" borderId="0" xfId="58" applyFont="1" applyFill="1" applyBorder="1" applyAlignment="1">
      <alignment horizontal="center"/>
      <protection/>
    </xf>
    <xf numFmtId="0" fontId="55" fillId="0" borderId="0" xfId="0" applyFont="1" applyAlignment="1">
      <alignment/>
    </xf>
    <xf numFmtId="0" fontId="53" fillId="0" borderId="35" xfId="59" applyFont="1" applyFill="1" applyBorder="1" applyAlignment="1">
      <alignment horizontal="center"/>
      <protection/>
    </xf>
    <xf numFmtId="0" fontId="52" fillId="0" borderId="36" xfId="58" applyFont="1" applyFill="1" applyBorder="1" applyAlignment="1">
      <alignment horizontal="center"/>
      <protection/>
    </xf>
    <xf numFmtId="0" fontId="53" fillId="0" borderId="28" xfId="59" applyFont="1" applyFill="1" applyBorder="1" applyAlignment="1">
      <alignment horizontal="center"/>
      <protection/>
    </xf>
    <xf numFmtId="0" fontId="52" fillId="0" borderId="29" xfId="58" applyFont="1" applyFill="1" applyBorder="1" applyAlignment="1">
      <alignment horizontal="center"/>
      <protection/>
    </xf>
    <xf numFmtId="0" fontId="53" fillId="0" borderId="15" xfId="59" applyFont="1" applyFill="1" applyBorder="1" applyAlignment="1">
      <alignment horizontal="center"/>
      <protection/>
    </xf>
    <xf numFmtId="0" fontId="53" fillId="0" borderId="16" xfId="59" applyFont="1" applyFill="1" applyBorder="1" applyAlignment="1">
      <alignment horizontal="center"/>
      <protection/>
    </xf>
    <xf numFmtId="0" fontId="53" fillId="0" borderId="22" xfId="59" applyFont="1" applyFill="1" applyBorder="1" applyAlignment="1">
      <alignment horizontal="center"/>
      <protection/>
    </xf>
    <xf numFmtId="0" fontId="53" fillId="0" borderId="17" xfId="58" applyFont="1" applyFill="1" applyBorder="1" applyAlignment="1">
      <alignment horizontal="center"/>
      <protection/>
    </xf>
    <xf numFmtId="0" fontId="52" fillId="0" borderId="0" xfId="58" applyFont="1" applyFill="1" applyBorder="1" applyAlignment="1">
      <alignment/>
      <protection/>
    </xf>
    <xf numFmtId="0" fontId="56" fillId="0" borderId="39" xfId="58" applyFont="1" applyFill="1" applyBorder="1" applyAlignment="1">
      <alignment horizontal="left" wrapText="1"/>
      <protection/>
    </xf>
    <xf numFmtId="0" fontId="52" fillId="0" borderId="40" xfId="58" applyFont="1" applyFill="1" applyBorder="1" applyAlignment="1">
      <alignment horizontal="left" wrapText="1"/>
      <protection/>
    </xf>
    <xf numFmtId="1" fontId="52" fillId="0" borderId="41" xfId="58" applyNumberFormat="1" applyFont="1" applyFill="1" applyBorder="1" applyAlignment="1">
      <alignment wrapText="1"/>
      <protection/>
    </xf>
    <xf numFmtId="1" fontId="52" fillId="0" borderId="20" xfId="58" applyNumberFormat="1" applyFont="1" applyFill="1" applyBorder="1" applyAlignment="1">
      <alignment wrapText="1"/>
      <protection/>
    </xf>
    <xf numFmtId="0" fontId="51" fillId="0" borderId="18" xfId="0" applyFont="1" applyBorder="1" applyAlignment="1">
      <alignment/>
    </xf>
    <xf numFmtId="0" fontId="56" fillId="0" borderId="42" xfId="58" applyFont="1" applyFill="1" applyBorder="1" applyAlignment="1">
      <alignment horizontal="left" wrapText="1"/>
      <protection/>
    </xf>
    <xf numFmtId="0" fontId="51" fillId="0" borderId="10" xfId="0" applyFont="1" applyBorder="1" applyAlignment="1">
      <alignment/>
    </xf>
    <xf numFmtId="1" fontId="52" fillId="0" borderId="43" xfId="58" applyNumberFormat="1" applyFont="1" applyFill="1" applyBorder="1" applyAlignment="1">
      <alignment wrapText="1"/>
      <protection/>
    </xf>
    <xf numFmtId="0" fontId="56" fillId="0" borderId="42" xfId="59" applyFont="1" applyFill="1" applyBorder="1" applyAlignment="1">
      <alignment horizontal="left" wrapText="1"/>
      <protection/>
    </xf>
    <xf numFmtId="1" fontId="52" fillId="0" borderId="21" xfId="58" applyNumberFormat="1" applyFont="1" applyFill="1" applyBorder="1" applyAlignment="1">
      <alignment wrapText="1"/>
      <protection/>
    </xf>
    <xf numFmtId="0" fontId="52" fillId="0" borderId="10" xfId="58" applyFont="1" applyFill="1" applyBorder="1" applyAlignment="1">
      <alignment horizontal="left" wrapText="1"/>
      <protection/>
    </xf>
    <xf numFmtId="1" fontId="52" fillId="0" borderId="43" xfId="59" applyNumberFormat="1" applyFont="1" applyFill="1" applyBorder="1" applyAlignment="1">
      <alignment wrapText="1"/>
      <protection/>
    </xf>
    <xf numFmtId="0" fontId="52" fillId="0" borderId="10" xfId="0" applyFont="1" applyBorder="1" applyAlignment="1">
      <alignment horizontal="left" vertical="top" wrapText="1"/>
    </xf>
    <xf numFmtId="0" fontId="52" fillId="0" borderId="10" xfId="59" applyFont="1" applyFill="1" applyBorder="1" applyAlignment="1">
      <alignment horizontal="left" wrapText="1"/>
      <protection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 horizontal="left" wrapText="1"/>
    </xf>
    <xf numFmtId="0" fontId="57" fillId="0" borderId="42" xfId="59" applyFont="1" applyFill="1" applyBorder="1" applyAlignment="1">
      <alignment horizontal="left" wrapText="1"/>
      <protection/>
    </xf>
    <xf numFmtId="0" fontId="51" fillId="0" borderId="10" xfId="59" applyFont="1" applyFill="1" applyBorder="1" applyAlignment="1">
      <alignment horizontal="left" wrapText="1"/>
      <protection/>
    </xf>
    <xf numFmtId="1" fontId="51" fillId="0" borderId="43" xfId="59" applyNumberFormat="1" applyFont="1" applyFill="1" applyBorder="1" applyAlignment="1">
      <alignment wrapText="1"/>
      <protection/>
    </xf>
    <xf numFmtId="0" fontId="58" fillId="0" borderId="0" xfId="0" applyFont="1" applyAlignment="1">
      <alignment/>
    </xf>
    <xf numFmtId="0" fontId="56" fillId="0" borderId="44" xfId="59" applyFont="1" applyFill="1" applyBorder="1" applyAlignment="1">
      <alignment horizontal="left" wrapText="1"/>
      <protection/>
    </xf>
    <xf numFmtId="0" fontId="51" fillId="0" borderId="45" xfId="0" applyFont="1" applyBorder="1" applyAlignment="1">
      <alignment/>
    </xf>
    <xf numFmtId="1" fontId="52" fillId="0" borderId="46" xfId="59" applyNumberFormat="1" applyFont="1" applyFill="1" applyBorder="1" applyAlignment="1">
      <alignment wrapText="1"/>
      <protection/>
    </xf>
    <xf numFmtId="1" fontId="52" fillId="0" borderId="47" xfId="58" applyNumberFormat="1" applyFont="1" applyFill="1" applyBorder="1" applyAlignment="1">
      <alignment wrapText="1"/>
      <protection/>
    </xf>
    <xf numFmtId="0" fontId="52" fillId="0" borderId="0" xfId="59" applyFont="1" applyFill="1" applyBorder="1" applyAlignment="1">
      <alignment horizontal="left" wrapText="1"/>
      <protection/>
    </xf>
    <xf numFmtId="1" fontId="52" fillId="0" borderId="0" xfId="59" applyNumberFormat="1" applyFont="1" applyFill="1" applyBorder="1" applyAlignment="1">
      <alignment wrapText="1"/>
      <protection/>
    </xf>
    <xf numFmtId="1" fontId="52" fillId="0" borderId="19" xfId="58" applyNumberFormat="1" applyFont="1" applyFill="1" applyBorder="1" applyAlignment="1">
      <alignment wrapText="1"/>
      <protection/>
    </xf>
    <xf numFmtId="0" fontId="51" fillId="0" borderId="0" xfId="0" applyFont="1" applyBorder="1" applyAlignment="1">
      <alignment/>
    </xf>
    <xf numFmtId="0" fontId="53" fillId="0" borderId="0" xfId="59" applyFont="1" applyFill="1" applyBorder="1" applyAlignment="1">
      <alignment horizontal="left" wrapText="1"/>
      <protection/>
    </xf>
    <xf numFmtId="1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168" fontId="51" fillId="0" borderId="0" xfId="0" applyNumberFormat="1" applyFont="1" applyAlignment="1">
      <alignment/>
    </xf>
    <xf numFmtId="0" fontId="53" fillId="36" borderId="24" xfId="59" applyFont="1" applyFill="1" applyBorder="1" applyAlignment="1">
      <alignment horizontal="left" wrapText="1"/>
      <protection/>
    </xf>
    <xf numFmtId="0" fontId="52" fillId="36" borderId="23" xfId="59" applyFont="1" applyFill="1" applyBorder="1" applyAlignment="1">
      <alignment horizontal="left" wrapText="1"/>
      <protection/>
    </xf>
    <xf numFmtId="0" fontId="51" fillId="37" borderId="23" xfId="0" applyFont="1" applyFill="1" applyBorder="1" applyAlignment="1">
      <alignment/>
    </xf>
    <xf numFmtId="0" fontId="51" fillId="37" borderId="23" xfId="0" applyFont="1" applyFill="1" applyBorder="1" applyAlignment="1">
      <alignment/>
    </xf>
    <xf numFmtId="168" fontId="51" fillId="37" borderId="17" xfId="0" applyNumberFormat="1" applyFont="1" applyFill="1" applyBorder="1" applyAlignment="1">
      <alignment/>
    </xf>
    <xf numFmtId="0" fontId="59" fillId="0" borderId="0" xfId="59" applyFont="1" applyFill="1" applyBorder="1" applyAlignment="1">
      <alignment horizontal="left" wrapText="1"/>
      <protection/>
    </xf>
    <xf numFmtId="0" fontId="28" fillId="0" borderId="0" xfId="0" applyFont="1" applyAlignment="1">
      <alignment horizontal="right"/>
    </xf>
    <xf numFmtId="0" fontId="60" fillId="0" borderId="0" xfId="59" applyFont="1" applyFill="1" applyBorder="1" applyAlignment="1">
      <alignment horizontal="left" wrapText="1"/>
      <protection/>
    </xf>
    <xf numFmtId="0" fontId="56" fillId="0" borderId="39" xfId="59" applyFont="1" applyFill="1" applyBorder="1" applyAlignment="1">
      <alignment horizontal="left" wrapText="1"/>
      <protection/>
    </xf>
    <xf numFmtId="0" fontId="51" fillId="0" borderId="4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Depth of Plant Colonization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135"/>
          <c:w val="0.9402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'MAX DEPTH GRAPH'!$A$2:$A$41</c:f>
              <c:numCache/>
            </c:numRef>
          </c:cat>
          <c:val>
            <c:numRef>
              <c:f>'MAX DEPTH GRAPH'!$B$2:$B$41</c:f>
              <c:numCache/>
            </c:numRef>
          </c:val>
        </c:ser>
        <c:axId val="3285570"/>
        <c:axId val="29570131"/>
      </c:barChart>
      <c:catAx>
        <c:axId val="3285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Bin (feet)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131"/>
        <c:crosses val="autoZero"/>
        <c:auto val="1"/>
        <c:lblOffset val="100"/>
        <c:tickLblSkip val="2"/>
        <c:noMultiLvlLbl val="0"/>
      </c:catAx>
      <c:valAx>
        <c:axId val="29570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Sites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876550" y="171450"/>
        <a:ext cx="85344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5"/>
  <sheetViews>
    <sheetView zoomScalePageLayoutView="0" workbookViewId="0" topLeftCell="A1">
      <pane xSplit="1" ySplit="1" topLeftCell="Q393" activePane="bottomRight" state="frozen"/>
      <selection pane="topLeft" activeCell="A1" sqref="A1"/>
      <selection pane="topRight" activeCell="K1" sqref="K1"/>
      <selection pane="bottomLeft" activeCell="A2" sqref="A2"/>
      <selection pane="bottomRight" activeCell="Q1" sqref="Q1:Q404"/>
    </sheetView>
  </sheetViews>
  <sheetFormatPr defaultColWidth="5.7109375" defaultRowHeight="12.75"/>
  <cols>
    <col min="1" max="1" width="5.00390625" style="36" bestFit="1" customWidth="1"/>
    <col min="2" max="2" width="11.00390625" style="10" customWidth="1"/>
    <col min="3" max="3" width="13.28125" style="10" customWidth="1"/>
    <col min="4" max="5" width="5.7109375" style="10" customWidth="1"/>
    <col min="6" max="6" width="4.421875" style="147" customWidth="1"/>
    <col min="7" max="7" width="5.00390625" style="36" bestFit="1" customWidth="1"/>
    <col min="8" max="8" width="7.00390625" style="147" customWidth="1"/>
    <col min="9" max="9" width="5.7109375" style="10" customWidth="1"/>
    <col min="10" max="10" width="5.7109375" style="32" customWidth="1"/>
    <col min="11" max="47" width="5.7109375" style="10" customWidth="1"/>
    <col min="48" max="16384" width="5.7109375" style="10" customWidth="1"/>
  </cols>
  <sheetData>
    <row r="1" spans="1:48" s="9" customFormat="1" ht="189.75" customHeight="1">
      <c r="A1" s="167" t="s">
        <v>576</v>
      </c>
      <c r="B1" s="168" t="s">
        <v>577</v>
      </c>
      <c r="C1" s="169" t="s">
        <v>578</v>
      </c>
      <c r="D1" s="170" t="s">
        <v>579</v>
      </c>
      <c r="E1" s="169" t="s">
        <v>627</v>
      </c>
      <c r="F1" s="171" t="s">
        <v>581</v>
      </c>
      <c r="G1" s="167" t="s">
        <v>582</v>
      </c>
      <c r="H1" s="94" t="s">
        <v>583</v>
      </c>
      <c r="I1" s="16" t="s">
        <v>559</v>
      </c>
      <c r="J1" s="112" t="s">
        <v>584</v>
      </c>
      <c r="K1" s="15" t="s">
        <v>585</v>
      </c>
      <c r="L1" s="15" t="s">
        <v>586</v>
      </c>
      <c r="M1" s="15" t="s">
        <v>634</v>
      </c>
      <c r="N1" s="15" t="s">
        <v>588</v>
      </c>
      <c r="O1" s="15" t="s">
        <v>589</v>
      </c>
      <c r="P1" s="15" t="s">
        <v>590</v>
      </c>
      <c r="Q1" s="15" t="s">
        <v>591</v>
      </c>
      <c r="R1" s="15" t="s">
        <v>592</v>
      </c>
      <c r="S1" s="15" t="s">
        <v>593</v>
      </c>
      <c r="T1" s="15" t="s">
        <v>635</v>
      </c>
      <c r="U1" s="15" t="s">
        <v>594</v>
      </c>
      <c r="V1" s="15" t="s">
        <v>595</v>
      </c>
      <c r="W1" s="15" t="s">
        <v>628</v>
      </c>
      <c r="X1" s="15" t="s">
        <v>596</v>
      </c>
      <c r="Y1" s="15" t="s">
        <v>597</v>
      </c>
      <c r="Z1" s="15" t="s">
        <v>598</v>
      </c>
      <c r="AA1" s="15" t="s">
        <v>629</v>
      </c>
      <c r="AB1" s="15" t="s">
        <v>630</v>
      </c>
      <c r="AC1" s="15" t="s">
        <v>599</v>
      </c>
      <c r="AD1" s="15" t="s">
        <v>631</v>
      </c>
      <c r="AE1" s="15" t="s">
        <v>600</v>
      </c>
      <c r="AF1" s="15" t="s">
        <v>601</v>
      </c>
      <c r="AG1" s="15" t="s">
        <v>602</v>
      </c>
      <c r="AH1" s="15" t="s">
        <v>603</v>
      </c>
      <c r="AI1" s="15" t="s">
        <v>604</v>
      </c>
      <c r="AJ1" s="15" t="s">
        <v>605</v>
      </c>
      <c r="AK1" s="15" t="s">
        <v>632</v>
      </c>
      <c r="AL1" s="15" t="s">
        <v>606</v>
      </c>
      <c r="AM1" s="15" t="s">
        <v>607</v>
      </c>
      <c r="AN1" s="15" t="s">
        <v>608</v>
      </c>
      <c r="AO1" s="15" t="s">
        <v>633</v>
      </c>
      <c r="AP1" s="15" t="s">
        <v>609</v>
      </c>
      <c r="AQ1" s="15" t="s">
        <v>610</v>
      </c>
      <c r="AR1" s="15" t="s">
        <v>611</v>
      </c>
      <c r="AS1" s="15" t="s">
        <v>612</v>
      </c>
      <c r="AT1" s="15" t="s">
        <v>613</v>
      </c>
      <c r="AU1" s="15" t="s">
        <v>636</v>
      </c>
      <c r="AV1" s="144" t="s">
        <v>615</v>
      </c>
    </row>
    <row r="2" spans="1:48" ht="12.75">
      <c r="A2" s="34">
        <v>1</v>
      </c>
      <c r="B2" s="165">
        <v>46.11603</v>
      </c>
      <c r="C2" s="165">
        <v>-91.21569</v>
      </c>
      <c r="D2" s="10">
        <v>2</v>
      </c>
      <c r="E2" s="10" t="s">
        <v>564</v>
      </c>
      <c r="F2" s="149">
        <v>1</v>
      </c>
      <c r="G2" s="34">
        <v>1</v>
      </c>
      <c r="H2" s="96">
        <v>5</v>
      </c>
      <c r="I2" s="10">
        <v>2</v>
      </c>
      <c r="J2" s="36">
        <v>0</v>
      </c>
      <c r="K2" s="36">
        <v>0</v>
      </c>
      <c r="L2" s="36">
        <v>4</v>
      </c>
      <c r="M2" s="36">
        <v>2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2</v>
      </c>
      <c r="V2" s="10">
        <v>1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0">
        <v>0</v>
      </c>
      <c r="AF2" s="10">
        <v>0</v>
      </c>
      <c r="AG2" s="10">
        <v>1</v>
      </c>
      <c r="AH2" s="10">
        <v>0</v>
      </c>
      <c r="AI2" s="10">
        <v>0</v>
      </c>
      <c r="AJ2" s="10">
        <v>0</v>
      </c>
      <c r="AK2" s="10">
        <v>0</v>
      </c>
      <c r="AL2" s="10">
        <v>2</v>
      </c>
      <c r="AM2" s="10">
        <v>0</v>
      </c>
      <c r="AN2" s="10">
        <v>0</v>
      </c>
      <c r="AO2" s="10">
        <v>0</v>
      </c>
      <c r="AP2" s="10">
        <v>0</v>
      </c>
      <c r="AQ2" s="10">
        <v>0</v>
      </c>
      <c r="AR2" s="10">
        <v>0</v>
      </c>
      <c r="AS2" s="10">
        <v>4</v>
      </c>
      <c r="AT2" s="10">
        <v>0</v>
      </c>
      <c r="AU2" s="10">
        <v>0</v>
      </c>
      <c r="AV2" s="146">
        <v>0</v>
      </c>
    </row>
    <row r="3" spans="1:48" ht="12.75">
      <c r="A3" s="34">
        <v>2</v>
      </c>
      <c r="B3" s="165">
        <v>46.11635</v>
      </c>
      <c r="C3" s="165">
        <v>-91.21616</v>
      </c>
      <c r="D3" s="10">
        <v>4.5</v>
      </c>
      <c r="E3" s="10" t="s">
        <v>563</v>
      </c>
      <c r="F3" s="149">
        <v>1</v>
      </c>
      <c r="G3" s="34">
        <v>1</v>
      </c>
      <c r="H3" s="96">
        <v>5</v>
      </c>
      <c r="I3" s="10">
        <v>3</v>
      </c>
      <c r="J3" s="36">
        <v>0</v>
      </c>
      <c r="K3" s="36">
        <v>0</v>
      </c>
      <c r="L3" s="36">
        <v>2</v>
      </c>
      <c r="M3" s="36">
        <v>0</v>
      </c>
      <c r="N3" s="10">
        <v>0</v>
      </c>
      <c r="O3" s="10">
        <v>0</v>
      </c>
      <c r="P3" s="10">
        <v>0</v>
      </c>
      <c r="Q3" s="10">
        <v>1</v>
      </c>
      <c r="R3" s="10">
        <v>0</v>
      </c>
      <c r="S3" s="10">
        <v>0</v>
      </c>
      <c r="T3" s="10">
        <v>0</v>
      </c>
      <c r="U3" s="10">
        <v>2</v>
      </c>
      <c r="V3" s="10">
        <v>2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2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46">
        <v>0</v>
      </c>
    </row>
    <row r="4" spans="1:48" ht="12.75">
      <c r="A4" s="34">
        <v>3</v>
      </c>
      <c r="B4" s="165">
        <v>46.11635</v>
      </c>
      <c r="C4" s="165">
        <v>-91.2157</v>
      </c>
      <c r="D4" s="10">
        <v>5</v>
      </c>
      <c r="E4" s="10" t="s">
        <v>563</v>
      </c>
      <c r="F4" s="149">
        <v>1</v>
      </c>
      <c r="G4" s="34">
        <v>0</v>
      </c>
      <c r="H4" s="96">
        <v>0</v>
      </c>
      <c r="I4" s="10">
        <v>0</v>
      </c>
      <c r="J4" s="36">
        <v>0</v>
      </c>
      <c r="K4" s="36">
        <v>0</v>
      </c>
      <c r="L4" s="36">
        <v>0</v>
      </c>
      <c r="M4" s="36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46">
        <v>0</v>
      </c>
    </row>
    <row r="5" spans="1:48" ht="12.75">
      <c r="A5" s="34">
        <v>4</v>
      </c>
      <c r="B5" s="165">
        <v>46.11636</v>
      </c>
      <c r="C5" s="165">
        <v>-91.21523</v>
      </c>
      <c r="D5" s="10">
        <v>3.5</v>
      </c>
      <c r="E5" s="10" t="s">
        <v>563</v>
      </c>
      <c r="F5" s="149">
        <v>1</v>
      </c>
      <c r="G5" s="34">
        <v>1</v>
      </c>
      <c r="H5" s="96">
        <v>3</v>
      </c>
      <c r="I5" s="10">
        <v>2</v>
      </c>
      <c r="J5" s="36">
        <v>0</v>
      </c>
      <c r="K5" s="36">
        <v>1</v>
      </c>
      <c r="L5" s="36">
        <v>0</v>
      </c>
      <c r="M5" s="36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2</v>
      </c>
      <c r="T5" s="10">
        <v>0</v>
      </c>
      <c r="U5" s="10">
        <v>1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46">
        <v>0</v>
      </c>
    </row>
    <row r="6" spans="1:48" ht="12.75">
      <c r="A6" s="34">
        <v>5</v>
      </c>
      <c r="B6" s="165">
        <v>46.11636</v>
      </c>
      <c r="C6" s="165">
        <v>-91.21477</v>
      </c>
      <c r="D6" s="10">
        <v>3</v>
      </c>
      <c r="E6" s="10" t="s">
        <v>563</v>
      </c>
      <c r="F6" s="149">
        <v>1</v>
      </c>
      <c r="G6" s="34">
        <v>1</v>
      </c>
      <c r="H6" s="96">
        <v>5</v>
      </c>
      <c r="I6" s="10">
        <v>1</v>
      </c>
      <c r="J6" s="36">
        <v>0</v>
      </c>
      <c r="K6" s="36">
        <v>1</v>
      </c>
      <c r="L6" s="36">
        <v>0</v>
      </c>
      <c r="M6" s="36">
        <v>1</v>
      </c>
      <c r="N6" s="10">
        <v>0</v>
      </c>
      <c r="O6" s="10">
        <v>0</v>
      </c>
      <c r="P6" s="10">
        <v>0</v>
      </c>
      <c r="Q6" s="10">
        <v>1</v>
      </c>
      <c r="R6" s="10">
        <v>0</v>
      </c>
      <c r="S6" s="10">
        <v>1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4</v>
      </c>
      <c r="AC6" s="10">
        <v>0</v>
      </c>
      <c r="AD6" s="10">
        <v>0</v>
      </c>
      <c r="AE6" s="10">
        <v>0</v>
      </c>
      <c r="AF6" s="10">
        <v>0</v>
      </c>
      <c r="AG6" s="10">
        <v>1</v>
      </c>
      <c r="AH6" s="10">
        <v>0</v>
      </c>
      <c r="AI6" s="10">
        <v>0</v>
      </c>
      <c r="AJ6" s="10">
        <v>4</v>
      </c>
      <c r="AK6" s="10">
        <v>0</v>
      </c>
      <c r="AL6" s="10">
        <v>0</v>
      </c>
      <c r="AM6" s="10">
        <v>4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46">
        <v>0</v>
      </c>
    </row>
    <row r="7" spans="1:48" ht="12.75">
      <c r="A7" s="34">
        <v>6</v>
      </c>
      <c r="B7" s="165">
        <v>46.11667</v>
      </c>
      <c r="C7" s="165">
        <v>-91.21664</v>
      </c>
      <c r="D7" s="10">
        <v>4.5</v>
      </c>
      <c r="E7" s="10" t="s">
        <v>563</v>
      </c>
      <c r="F7" s="149">
        <v>1</v>
      </c>
      <c r="G7" s="34">
        <v>1</v>
      </c>
      <c r="H7" s="96">
        <v>7</v>
      </c>
      <c r="I7" s="10">
        <v>2</v>
      </c>
      <c r="J7" s="36">
        <v>0</v>
      </c>
      <c r="K7" s="36">
        <v>0</v>
      </c>
      <c r="L7" s="36">
        <v>1</v>
      </c>
      <c r="M7" s="36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1</v>
      </c>
      <c r="T7" s="10">
        <v>0</v>
      </c>
      <c r="U7" s="10">
        <v>2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1</v>
      </c>
      <c r="AC7" s="10">
        <v>0</v>
      </c>
      <c r="AD7" s="10">
        <v>0</v>
      </c>
      <c r="AE7" s="10">
        <v>0</v>
      </c>
      <c r="AF7" s="10">
        <v>0</v>
      </c>
      <c r="AG7" s="10">
        <v>1</v>
      </c>
      <c r="AH7" s="10">
        <v>0</v>
      </c>
      <c r="AI7" s="10">
        <v>1</v>
      </c>
      <c r="AJ7" s="10">
        <v>1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46">
        <v>0</v>
      </c>
    </row>
    <row r="8" spans="1:48" ht="12.75">
      <c r="A8" s="34">
        <v>7</v>
      </c>
      <c r="B8" s="165">
        <v>46.11667</v>
      </c>
      <c r="C8" s="165">
        <v>-91.21617</v>
      </c>
      <c r="D8" s="10">
        <v>5.5</v>
      </c>
      <c r="E8" s="10" t="s">
        <v>563</v>
      </c>
      <c r="F8" s="149">
        <v>1</v>
      </c>
      <c r="G8" s="34">
        <v>1</v>
      </c>
      <c r="H8" s="96">
        <v>2</v>
      </c>
      <c r="I8" s="10">
        <v>2</v>
      </c>
      <c r="J8" s="36">
        <v>0</v>
      </c>
      <c r="K8" s="36">
        <v>0</v>
      </c>
      <c r="L8" s="36">
        <v>1</v>
      </c>
      <c r="M8" s="36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2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46">
        <v>0</v>
      </c>
    </row>
    <row r="9" spans="1:48" ht="12.75">
      <c r="A9" s="34">
        <v>8</v>
      </c>
      <c r="B9" s="165">
        <v>46.11668</v>
      </c>
      <c r="C9" s="165">
        <v>-91.21571</v>
      </c>
      <c r="D9" s="10">
        <v>4.5</v>
      </c>
      <c r="E9" s="10" t="s">
        <v>563</v>
      </c>
      <c r="F9" s="149">
        <v>1</v>
      </c>
      <c r="G9" s="34">
        <v>1</v>
      </c>
      <c r="H9" s="96">
        <v>3</v>
      </c>
      <c r="I9" s="10">
        <v>2</v>
      </c>
      <c r="J9" s="36">
        <v>0</v>
      </c>
      <c r="K9" s="36">
        <v>0</v>
      </c>
      <c r="L9" s="36">
        <v>1</v>
      </c>
      <c r="M9" s="36">
        <v>0</v>
      </c>
      <c r="N9" s="10">
        <v>0</v>
      </c>
      <c r="O9" s="10">
        <v>1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2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46">
        <v>0</v>
      </c>
    </row>
    <row r="10" spans="1:48" ht="12.75">
      <c r="A10" s="34">
        <v>9</v>
      </c>
      <c r="B10" s="165">
        <v>46.11668</v>
      </c>
      <c r="C10" s="165">
        <v>-91.21524</v>
      </c>
      <c r="D10" s="10">
        <v>3.5</v>
      </c>
      <c r="E10" s="10" t="s">
        <v>563</v>
      </c>
      <c r="F10" s="149">
        <v>1</v>
      </c>
      <c r="G10" s="34">
        <v>1</v>
      </c>
      <c r="H10" s="96">
        <v>7</v>
      </c>
      <c r="I10" s="10">
        <v>2</v>
      </c>
      <c r="J10" s="36">
        <v>0</v>
      </c>
      <c r="K10" s="36">
        <v>0</v>
      </c>
      <c r="L10" s="36">
        <v>1</v>
      </c>
      <c r="M10" s="36">
        <v>1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1</v>
      </c>
      <c r="V10" s="10">
        <v>2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1</v>
      </c>
      <c r="AI10" s="10">
        <v>0</v>
      </c>
      <c r="AJ10" s="10">
        <v>1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1</v>
      </c>
      <c r="AT10" s="10">
        <v>0</v>
      </c>
      <c r="AU10" s="10">
        <v>0</v>
      </c>
      <c r="AV10" s="146">
        <v>0</v>
      </c>
    </row>
    <row r="11" spans="1:48" ht="12.75">
      <c r="A11" s="34">
        <v>10</v>
      </c>
      <c r="B11" s="165">
        <v>46.11669</v>
      </c>
      <c r="C11" s="165">
        <v>-91.21477</v>
      </c>
      <c r="D11" s="10">
        <v>5</v>
      </c>
      <c r="E11" s="10" t="s">
        <v>563</v>
      </c>
      <c r="F11" s="149">
        <v>1</v>
      </c>
      <c r="G11" s="34">
        <v>1</v>
      </c>
      <c r="H11" s="96">
        <v>4</v>
      </c>
      <c r="I11" s="10">
        <v>2</v>
      </c>
      <c r="J11" s="36">
        <v>0</v>
      </c>
      <c r="K11" s="36">
        <v>0</v>
      </c>
      <c r="L11" s="36">
        <v>0</v>
      </c>
      <c r="M11" s="36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1</v>
      </c>
      <c r="T11" s="10">
        <v>0</v>
      </c>
      <c r="U11" s="10">
        <v>0</v>
      </c>
      <c r="V11" s="10">
        <v>4</v>
      </c>
      <c r="W11" s="10">
        <v>0</v>
      </c>
      <c r="X11" s="10">
        <v>0</v>
      </c>
      <c r="Y11" s="10">
        <v>4</v>
      </c>
      <c r="Z11" s="10">
        <v>0</v>
      </c>
      <c r="AA11" s="10">
        <v>0</v>
      </c>
      <c r="AB11" s="10">
        <v>0</v>
      </c>
      <c r="AC11" s="10">
        <v>0</v>
      </c>
      <c r="AD11" s="10">
        <v>1</v>
      </c>
      <c r="AE11" s="10">
        <v>0</v>
      </c>
      <c r="AF11" s="10">
        <v>0</v>
      </c>
      <c r="AG11" s="10">
        <v>0</v>
      </c>
      <c r="AH11" s="10">
        <v>0</v>
      </c>
      <c r="AI11" s="10">
        <v>1</v>
      </c>
      <c r="AJ11" s="10">
        <v>2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46">
        <v>0</v>
      </c>
    </row>
    <row r="12" spans="1:48" ht="12.75">
      <c r="A12" s="34">
        <v>11</v>
      </c>
      <c r="B12" s="165">
        <v>46.11669</v>
      </c>
      <c r="C12" s="165">
        <v>-91.21431</v>
      </c>
      <c r="D12" s="10">
        <v>4.5</v>
      </c>
      <c r="E12" s="10" t="s">
        <v>563</v>
      </c>
      <c r="F12" s="149">
        <v>1</v>
      </c>
      <c r="G12" s="34">
        <v>1</v>
      </c>
      <c r="H12" s="96">
        <v>4</v>
      </c>
      <c r="I12" s="10">
        <v>3</v>
      </c>
      <c r="J12" s="36">
        <v>0</v>
      </c>
      <c r="K12" s="36">
        <v>0</v>
      </c>
      <c r="L12" s="36">
        <v>3</v>
      </c>
      <c r="M12" s="36">
        <v>0</v>
      </c>
      <c r="N12" s="10">
        <v>0</v>
      </c>
      <c r="O12" s="10">
        <v>1</v>
      </c>
      <c r="P12" s="10">
        <v>0</v>
      </c>
      <c r="Q12" s="10">
        <v>4</v>
      </c>
      <c r="R12" s="10">
        <v>0</v>
      </c>
      <c r="S12" s="10">
        <v>0</v>
      </c>
      <c r="T12" s="10">
        <v>0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1</v>
      </c>
      <c r="AH12" s="10">
        <v>0</v>
      </c>
      <c r="AI12" s="10">
        <v>0</v>
      </c>
      <c r="AJ12" s="10">
        <v>1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46">
        <v>0</v>
      </c>
    </row>
    <row r="13" spans="1:48" ht="12.75">
      <c r="A13" s="34">
        <v>12</v>
      </c>
      <c r="B13" s="165">
        <v>46.11698</v>
      </c>
      <c r="C13" s="165">
        <v>-91.21711</v>
      </c>
      <c r="D13" s="10">
        <v>5</v>
      </c>
      <c r="E13" s="10" t="s">
        <v>563</v>
      </c>
      <c r="F13" s="149">
        <v>1</v>
      </c>
      <c r="G13" s="34">
        <v>1</v>
      </c>
      <c r="H13" s="96">
        <v>4</v>
      </c>
      <c r="I13" s="10">
        <v>3</v>
      </c>
      <c r="J13" s="36">
        <v>0</v>
      </c>
      <c r="K13" s="36">
        <v>0</v>
      </c>
      <c r="L13" s="36">
        <v>1</v>
      </c>
      <c r="M13" s="36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3</v>
      </c>
      <c r="V13" s="10">
        <v>1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4</v>
      </c>
      <c r="AH13" s="10">
        <v>0</v>
      </c>
      <c r="AI13" s="10">
        <v>0</v>
      </c>
      <c r="AJ13" s="10">
        <v>1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46">
        <v>0</v>
      </c>
    </row>
    <row r="14" spans="1:48" ht="12.75">
      <c r="A14" s="34">
        <v>13</v>
      </c>
      <c r="B14" s="165">
        <v>46.11699</v>
      </c>
      <c r="C14" s="165">
        <v>-91.21664</v>
      </c>
      <c r="D14" s="10">
        <v>6</v>
      </c>
      <c r="E14" s="10" t="s">
        <v>563</v>
      </c>
      <c r="F14" s="149">
        <v>1</v>
      </c>
      <c r="G14" s="34">
        <v>1</v>
      </c>
      <c r="H14" s="96">
        <v>4</v>
      </c>
      <c r="I14" s="10">
        <v>3</v>
      </c>
      <c r="J14" s="36">
        <v>0</v>
      </c>
      <c r="K14" s="36">
        <v>0</v>
      </c>
      <c r="L14" s="36">
        <v>1</v>
      </c>
      <c r="M14" s="36">
        <v>0</v>
      </c>
      <c r="N14" s="10">
        <v>0</v>
      </c>
      <c r="O14" s="10">
        <v>0</v>
      </c>
      <c r="P14" s="10">
        <v>0</v>
      </c>
      <c r="Q14" s="10">
        <v>1</v>
      </c>
      <c r="R14" s="10">
        <v>0</v>
      </c>
      <c r="S14" s="10">
        <v>0</v>
      </c>
      <c r="T14" s="10">
        <v>0</v>
      </c>
      <c r="U14" s="10">
        <v>3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2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46">
        <v>0</v>
      </c>
    </row>
    <row r="15" spans="1:48" ht="12.75">
      <c r="A15" s="34">
        <v>14</v>
      </c>
      <c r="B15" s="165">
        <v>46.11699</v>
      </c>
      <c r="C15" s="165">
        <v>-91.21618</v>
      </c>
      <c r="D15" s="10">
        <v>11.5</v>
      </c>
      <c r="E15" s="10" t="s">
        <v>563</v>
      </c>
      <c r="F15" s="149">
        <v>1</v>
      </c>
      <c r="G15" s="34">
        <v>0</v>
      </c>
      <c r="H15" s="96">
        <v>0</v>
      </c>
      <c r="I15" s="10">
        <v>0</v>
      </c>
      <c r="J15" s="36">
        <v>0</v>
      </c>
      <c r="K15" s="36">
        <v>0</v>
      </c>
      <c r="L15" s="36">
        <v>0</v>
      </c>
      <c r="M15" s="36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46">
        <v>0</v>
      </c>
    </row>
    <row r="16" spans="1:48" ht="12.75">
      <c r="A16" s="34">
        <v>15</v>
      </c>
      <c r="B16" s="165">
        <v>46.117</v>
      </c>
      <c r="C16" s="165">
        <v>-91.21571</v>
      </c>
      <c r="D16" s="10">
        <v>4.5</v>
      </c>
      <c r="E16" s="10" t="s">
        <v>563</v>
      </c>
      <c r="F16" s="149">
        <v>1</v>
      </c>
      <c r="G16" s="34">
        <v>1</v>
      </c>
      <c r="H16" s="96">
        <v>2</v>
      </c>
      <c r="I16" s="10">
        <v>2</v>
      </c>
      <c r="J16" s="36">
        <v>0</v>
      </c>
      <c r="K16" s="36">
        <v>0</v>
      </c>
      <c r="L16" s="36">
        <v>1</v>
      </c>
      <c r="M16" s="36">
        <v>0</v>
      </c>
      <c r="N16" s="10">
        <v>0</v>
      </c>
      <c r="O16" s="10">
        <v>2</v>
      </c>
      <c r="P16" s="10">
        <v>0</v>
      </c>
      <c r="Q16" s="10">
        <v>4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4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46">
        <v>0</v>
      </c>
    </row>
    <row r="17" spans="1:48" ht="12.75">
      <c r="A17" s="34">
        <v>16</v>
      </c>
      <c r="B17" s="165">
        <v>46.11701</v>
      </c>
      <c r="C17" s="165">
        <v>-91.21525</v>
      </c>
      <c r="D17" s="10">
        <v>4</v>
      </c>
      <c r="E17" s="10" t="s">
        <v>563</v>
      </c>
      <c r="F17" s="149">
        <v>1</v>
      </c>
      <c r="G17" s="34">
        <v>1</v>
      </c>
      <c r="H17" s="96">
        <v>8</v>
      </c>
      <c r="I17" s="10">
        <v>3</v>
      </c>
      <c r="J17" s="36">
        <v>0</v>
      </c>
      <c r="K17" s="36">
        <v>0</v>
      </c>
      <c r="L17" s="36">
        <v>1</v>
      </c>
      <c r="M17" s="36">
        <v>1</v>
      </c>
      <c r="N17" s="10">
        <v>0</v>
      </c>
      <c r="O17" s="10">
        <v>0</v>
      </c>
      <c r="P17" s="10">
        <v>0</v>
      </c>
      <c r="Q17" s="10">
        <v>3</v>
      </c>
      <c r="R17" s="10">
        <v>0</v>
      </c>
      <c r="S17" s="10">
        <v>0</v>
      </c>
      <c r="T17" s="10">
        <v>0</v>
      </c>
      <c r="U17" s="10">
        <v>2</v>
      </c>
      <c r="V17" s="10">
        <v>1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1</v>
      </c>
      <c r="AH17" s="10">
        <v>0</v>
      </c>
      <c r="AI17" s="10">
        <v>0</v>
      </c>
      <c r="AJ17" s="10">
        <v>1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2</v>
      </c>
      <c r="AT17" s="10">
        <v>0</v>
      </c>
      <c r="AU17" s="10">
        <v>0</v>
      </c>
      <c r="AV17" s="146">
        <v>0</v>
      </c>
    </row>
    <row r="18" spans="1:48" ht="12.75">
      <c r="A18" s="34">
        <v>17</v>
      </c>
      <c r="B18" s="165">
        <v>46.11701</v>
      </c>
      <c r="C18" s="165">
        <v>-91.21478</v>
      </c>
      <c r="D18" s="10">
        <v>4.5</v>
      </c>
      <c r="E18" s="10" t="s">
        <v>563</v>
      </c>
      <c r="F18" s="149">
        <v>1</v>
      </c>
      <c r="G18" s="34">
        <v>1</v>
      </c>
      <c r="H18" s="96">
        <v>5</v>
      </c>
      <c r="I18" s="10">
        <v>3</v>
      </c>
      <c r="J18" s="36">
        <v>0</v>
      </c>
      <c r="K18" s="36">
        <v>0</v>
      </c>
      <c r="L18" s="36">
        <v>1</v>
      </c>
      <c r="M18" s="36">
        <v>2</v>
      </c>
      <c r="N18" s="10">
        <v>0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  <c r="U18" s="10">
        <v>4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1</v>
      </c>
      <c r="AG18" s="10">
        <v>0</v>
      </c>
      <c r="AH18" s="10">
        <v>0</v>
      </c>
      <c r="AI18" s="10">
        <v>0</v>
      </c>
      <c r="AJ18" s="10">
        <v>3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46">
        <v>0</v>
      </c>
    </row>
    <row r="19" spans="1:48" ht="12.75">
      <c r="A19" s="34">
        <v>18</v>
      </c>
      <c r="B19" s="165">
        <v>46.11701</v>
      </c>
      <c r="C19" s="165">
        <v>-91.21431</v>
      </c>
      <c r="D19" s="10">
        <v>4.5</v>
      </c>
      <c r="E19" s="10" t="s">
        <v>563</v>
      </c>
      <c r="F19" s="149">
        <v>1</v>
      </c>
      <c r="G19" s="34">
        <v>1</v>
      </c>
      <c r="H19" s="96">
        <v>4</v>
      </c>
      <c r="I19" s="10">
        <v>2</v>
      </c>
      <c r="J19" s="36">
        <v>0</v>
      </c>
      <c r="K19" s="36">
        <v>0</v>
      </c>
      <c r="L19" s="36">
        <v>0</v>
      </c>
      <c r="M19" s="36">
        <v>0</v>
      </c>
      <c r="N19" s="10">
        <v>0</v>
      </c>
      <c r="O19" s="10">
        <v>0</v>
      </c>
      <c r="P19" s="10">
        <v>0</v>
      </c>
      <c r="Q19" s="10">
        <v>1</v>
      </c>
      <c r="R19" s="10">
        <v>0</v>
      </c>
      <c r="S19" s="10">
        <v>1</v>
      </c>
      <c r="T19" s="10">
        <v>0</v>
      </c>
      <c r="U19" s="10">
        <v>0</v>
      </c>
      <c r="V19" s="10">
        <v>2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4</v>
      </c>
      <c r="AF19" s="10">
        <v>0</v>
      </c>
      <c r="AG19" s="10">
        <v>0</v>
      </c>
      <c r="AH19" s="10">
        <v>0</v>
      </c>
      <c r="AI19" s="10">
        <v>1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46">
        <v>0</v>
      </c>
    </row>
    <row r="20" spans="1:48" ht="12.75">
      <c r="A20" s="34">
        <v>19</v>
      </c>
      <c r="B20" s="165">
        <v>46.11702</v>
      </c>
      <c r="C20" s="165">
        <v>-91.21385</v>
      </c>
      <c r="D20" s="10">
        <v>4</v>
      </c>
      <c r="E20" s="10" t="s">
        <v>563</v>
      </c>
      <c r="F20" s="149">
        <v>1</v>
      </c>
      <c r="G20" s="34">
        <v>1</v>
      </c>
      <c r="H20" s="96">
        <v>5</v>
      </c>
      <c r="I20" s="10">
        <v>2</v>
      </c>
      <c r="J20" s="36">
        <v>0</v>
      </c>
      <c r="K20" s="36">
        <v>0</v>
      </c>
      <c r="L20" s="36">
        <v>0</v>
      </c>
      <c r="M20" s="36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1</v>
      </c>
      <c r="T20" s="10">
        <v>0</v>
      </c>
      <c r="U20" s="10">
        <v>0</v>
      </c>
      <c r="V20" s="10">
        <v>2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1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2</v>
      </c>
      <c r="AJ20" s="10">
        <v>2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46">
        <v>0</v>
      </c>
    </row>
    <row r="21" spans="1:48" ht="12.75">
      <c r="A21" s="34">
        <v>20</v>
      </c>
      <c r="B21" s="165">
        <v>46.11702</v>
      </c>
      <c r="C21" s="165">
        <v>-91.21338</v>
      </c>
      <c r="D21" s="10">
        <v>3</v>
      </c>
      <c r="E21" s="10" t="s">
        <v>563</v>
      </c>
      <c r="F21" s="149">
        <v>1</v>
      </c>
      <c r="G21" s="34">
        <v>1</v>
      </c>
      <c r="H21" s="96">
        <v>9</v>
      </c>
      <c r="I21" s="10">
        <v>3</v>
      </c>
      <c r="J21" s="36">
        <v>0</v>
      </c>
      <c r="K21" s="36">
        <v>0</v>
      </c>
      <c r="L21" s="36">
        <v>0</v>
      </c>
      <c r="M21" s="36">
        <v>0</v>
      </c>
      <c r="N21" s="10">
        <v>0</v>
      </c>
      <c r="O21" s="10">
        <v>0</v>
      </c>
      <c r="P21" s="10">
        <v>0</v>
      </c>
      <c r="Q21" s="10">
        <v>1</v>
      </c>
      <c r="R21" s="10">
        <v>1</v>
      </c>
      <c r="S21" s="10">
        <v>1</v>
      </c>
      <c r="T21" s="10">
        <v>0</v>
      </c>
      <c r="U21" s="10">
        <v>0</v>
      </c>
      <c r="V21" s="10">
        <v>2</v>
      </c>
      <c r="W21" s="10">
        <v>0</v>
      </c>
      <c r="X21" s="10">
        <v>0</v>
      </c>
      <c r="Y21" s="10">
        <v>0</v>
      </c>
      <c r="Z21" s="10">
        <v>0</v>
      </c>
      <c r="AA21" s="10">
        <v>1</v>
      </c>
      <c r="AB21" s="10">
        <v>0</v>
      </c>
      <c r="AC21" s="10">
        <v>0</v>
      </c>
      <c r="AD21" s="10">
        <v>0</v>
      </c>
      <c r="AE21" s="10">
        <v>1</v>
      </c>
      <c r="AF21" s="10">
        <v>0</v>
      </c>
      <c r="AG21" s="10">
        <v>2</v>
      </c>
      <c r="AH21" s="10">
        <v>0</v>
      </c>
      <c r="AI21" s="10">
        <v>0</v>
      </c>
      <c r="AJ21" s="10">
        <v>2</v>
      </c>
      <c r="AK21" s="10">
        <v>0</v>
      </c>
      <c r="AL21" s="10">
        <v>0</v>
      </c>
      <c r="AM21" s="10">
        <v>0</v>
      </c>
      <c r="AN21" s="10">
        <v>4</v>
      </c>
      <c r="AO21" s="10">
        <v>0</v>
      </c>
      <c r="AP21" s="10">
        <v>0</v>
      </c>
      <c r="AQ21" s="10">
        <v>0</v>
      </c>
      <c r="AR21" s="10">
        <v>0</v>
      </c>
      <c r="AS21" s="10">
        <v>1</v>
      </c>
      <c r="AT21" s="10">
        <v>0</v>
      </c>
      <c r="AU21" s="10">
        <v>0</v>
      </c>
      <c r="AV21" s="146">
        <v>0</v>
      </c>
    </row>
    <row r="22" spans="1:48" ht="12.75">
      <c r="A22" s="34">
        <v>21</v>
      </c>
      <c r="B22" s="165">
        <v>46.11731</v>
      </c>
      <c r="C22" s="165">
        <v>-91.21712</v>
      </c>
      <c r="D22" s="10">
        <v>10.5</v>
      </c>
      <c r="E22" s="10" t="s">
        <v>563</v>
      </c>
      <c r="F22" s="149">
        <v>1</v>
      </c>
      <c r="G22" s="34">
        <v>1</v>
      </c>
      <c r="H22" s="96">
        <v>1</v>
      </c>
      <c r="I22" s="10">
        <v>1</v>
      </c>
      <c r="J22" s="36">
        <v>0</v>
      </c>
      <c r="K22" s="36">
        <v>0</v>
      </c>
      <c r="L22" s="36">
        <v>0</v>
      </c>
      <c r="M22" s="36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1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46">
        <v>0</v>
      </c>
    </row>
    <row r="23" spans="1:48" ht="12.75">
      <c r="A23" s="34">
        <v>22</v>
      </c>
      <c r="B23" s="165">
        <v>46.11731</v>
      </c>
      <c r="C23" s="165">
        <v>-91.21665</v>
      </c>
      <c r="D23" s="10">
        <v>13</v>
      </c>
      <c r="E23" s="10" t="s">
        <v>563</v>
      </c>
      <c r="F23" s="149">
        <v>1</v>
      </c>
      <c r="G23" s="34">
        <v>0</v>
      </c>
      <c r="H23" s="96">
        <v>0</v>
      </c>
      <c r="I23" s="10">
        <v>0</v>
      </c>
      <c r="J23" s="36">
        <v>0</v>
      </c>
      <c r="K23" s="36">
        <v>0</v>
      </c>
      <c r="L23" s="36">
        <v>0</v>
      </c>
      <c r="M23" s="36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46">
        <v>0</v>
      </c>
    </row>
    <row r="24" spans="1:48" ht="12.75">
      <c r="A24" s="34">
        <v>23</v>
      </c>
      <c r="B24" s="165">
        <v>46.11732</v>
      </c>
      <c r="C24" s="165">
        <v>-91.21619</v>
      </c>
      <c r="D24" s="10">
        <v>15.5</v>
      </c>
      <c r="E24" s="10">
        <v>0</v>
      </c>
      <c r="F24" s="149">
        <v>0</v>
      </c>
      <c r="G24" s="34">
        <v>0</v>
      </c>
      <c r="H24" s="96">
        <v>0</v>
      </c>
      <c r="I24" s="10">
        <v>0</v>
      </c>
      <c r="J24" s="36">
        <v>0</v>
      </c>
      <c r="K24" s="36">
        <v>0</v>
      </c>
      <c r="L24" s="36">
        <v>0</v>
      </c>
      <c r="M24" s="36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46">
        <v>0</v>
      </c>
    </row>
    <row r="25" spans="1:48" ht="12.75">
      <c r="A25" s="34">
        <v>24</v>
      </c>
      <c r="B25" s="165">
        <v>46.11732</v>
      </c>
      <c r="C25" s="165">
        <v>-91.21572</v>
      </c>
      <c r="D25" s="10">
        <v>12</v>
      </c>
      <c r="E25" s="10" t="s">
        <v>563</v>
      </c>
      <c r="F25" s="149">
        <v>1</v>
      </c>
      <c r="G25" s="34">
        <v>0</v>
      </c>
      <c r="H25" s="96">
        <v>0</v>
      </c>
      <c r="I25" s="10">
        <v>0</v>
      </c>
      <c r="J25" s="36">
        <v>0</v>
      </c>
      <c r="K25" s="36">
        <v>0</v>
      </c>
      <c r="L25" s="36">
        <v>0</v>
      </c>
      <c r="M25" s="36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46">
        <v>0</v>
      </c>
    </row>
    <row r="26" spans="1:48" ht="12.75">
      <c r="A26" s="34">
        <v>25</v>
      </c>
      <c r="B26" s="165">
        <v>46.11733</v>
      </c>
      <c r="C26" s="165">
        <v>-91.21525</v>
      </c>
      <c r="D26" s="10">
        <v>4.5</v>
      </c>
      <c r="E26" s="10" t="s">
        <v>563</v>
      </c>
      <c r="F26" s="149">
        <v>1</v>
      </c>
      <c r="G26" s="34">
        <v>1</v>
      </c>
      <c r="H26" s="96">
        <v>5</v>
      </c>
      <c r="I26" s="10">
        <v>3</v>
      </c>
      <c r="J26" s="36">
        <v>0</v>
      </c>
      <c r="K26" s="36">
        <v>0</v>
      </c>
      <c r="L26" s="36">
        <v>0</v>
      </c>
      <c r="M26" s="36">
        <v>0</v>
      </c>
      <c r="N26" s="10">
        <v>0</v>
      </c>
      <c r="O26" s="10">
        <v>0</v>
      </c>
      <c r="P26" s="10">
        <v>0</v>
      </c>
      <c r="Q26" s="10">
        <v>1</v>
      </c>
      <c r="R26" s="10">
        <v>0</v>
      </c>
      <c r="S26" s="10">
        <v>1</v>
      </c>
      <c r="T26" s="10">
        <v>0</v>
      </c>
      <c r="U26" s="10">
        <v>3</v>
      </c>
      <c r="V26" s="10">
        <v>2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4</v>
      </c>
      <c r="AI26" s="10">
        <v>0</v>
      </c>
      <c r="AJ26" s="10">
        <v>2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46">
        <v>0</v>
      </c>
    </row>
    <row r="27" spans="1:48" ht="12.75">
      <c r="A27" s="34">
        <v>26</v>
      </c>
      <c r="B27" s="165">
        <v>46.11733</v>
      </c>
      <c r="C27" s="165">
        <v>-91.21479</v>
      </c>
      <c r="D27" s="10">
        <v>5</v>
      </c>
      <c r="E27" s="10" t="s">
        <v>563</v>
      </c>
      <c r="F27" s="149">
        <v>1</v>
      </c>
      <c r="G27" s="34">
        <v>1</v>
      </c>
      <c r="H27" s="96">
        <v>3</v>
      </c>
      <c r="I27" s="10">
        <v>2</v>
      </c>
      <c r="J27" s="36">
        <v>0</v>
      </c>
      <c r="K27" s="36">
        <v>0</v>
      </c>
      <c r="L27" s="36">
        <v>0</v>
      </c>
      <c r="M27" s="36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2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1</v>
      </c>
      <c r="AG27" s="10">
        <v>0</v>
      </c>
      <c r="AH27" s="10">
        <v>0</v>
      </c>
      <c r="AI27" s="10">
        <v>0</v>
      </c>
      <c r="AJ27" s="10">
        <v>2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46">
        <v>0</v>
      </c>
    </row>
    <row r="28" spans="1:48" ht="12.75">
      <c r="A28" s="34">
        <v>27</v>
      </c>
      <c r="B28" s="165">
        <v>46.11734</v>
      </c>
      <c r="C28" s="165">
        <v>-91.21432</v>
      </c>
      <c r="D28" s="10">
        <v>4</v>
      </c>
      <c r="E28" s="10" t="s">
        <v>565</v>
      </c>
      <c r="F28" s="149">
        <v>1</v>
      </c>
      <c r="G28" s="34">
        <v>1</v>
      </c>
      <c r="H28" s="96">
        <v>6</v>
      </c>
      <c r="I28" s="10">
        <v>2</v>
      </c>
      <c r="J28" s="36">
        <v>0</v>
      </c>
      <c r="K28" s="36">
        <v>0</v>
      </c>
      <c r="L28" s="36">
        <v>1</v>
      </c>
      <c r="M28" s="36">
        <v>2</v>
      </c>
      <c r="N28" s="10">
        <v>0</v>
      </c>
      <c r="O28" s="10">
        <v>0</v>
      </c>
      <c r="P28" s="10">
        <v>0</v>
      </c>
      <c r="Q28" s="10">
        <v>1</v>
      </c>
      <c r="R28" s="10">
        <v>0</v>
      </c>
      <c r="S28" s="10">
        <v>1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4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1</v>
      </c>
      <c r="AH28" s="10">
        <v>0</v>
      </c>
      <c r="AI28" s="10">
        <v>0</v>
      </c>
      <c r="AJ28" s="10">
        <v>1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46">
        <v>0</v>
      </c>
    </row>
    <row r="29" spans="1:48" ht="12.75">
      <c r="A29" s="34">
        <v>28</v>
      </c>
      <c r="B29" s="165">
        <v>46.11734</v>
      </c>
      <c r="C29" s="165">
        <v>-91.21386</v>
      </c>
      <c r="D29" s="10">
        <v>5</v>
      </c>
      <c r="E29" s="10" t="s">
        <v>563</v>
      </c>
      <c r="F29" s="149">
        <v>1</v>
      </c>
      <c r="G29" s="34">
        <v>1</v>
      </c>
      <c r="H29" s="96">
        <v>1</v>
      </c>
      <c r="I29" s="10">
        <v>1</v>
      </c>
      <c r="J29" s="36">
        <v>0</v>
      </c>
      <c r="K29" s="36">
        <v>0</v>
      </c>
      <c r="L29" s="36">
        <v>0</v>
      </c>
      <c r="M29" s="36">
        <v>0</v>
      </c>
      <c r="N29" s="10">
        <v>0</v>
      </c>
      <c r="O29" s="10">
        <v>0</v>
      </c>
      <c r="P29" s="10">
        <v>0</v>
      </c>
      <c r="Q29" s="10">
        <v>1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46">
        <v>0</v>
      </c>
    </row>
    <row r="30" spans="1:48" ht="12.75">
      <c r="A30" s="34">
        <v>29</v>
      </c>
      <c r="B30" s="165">
        <v>46.11735</v>
      </c>
      <c r="C30" s="165">
        <v>-91.21339</v>
      </c>
      <c r="D30" s="10">
        <v>4</v>
      </c>
      <c r="E30" s="10" t="s">
        <v>563</v>
      </c>
      <c r="F30" s="149">
        <v>1</v>
      </c>
      <c r="G30" s="34">
        <v>1</v>
      </c>
      <c r="H30" s="96">
        <v>5</v>
      </c>
      <c r="I30" s="10">
        <v>2</v>
      </c>
      <c r="J30" s="36">
        <v>0</v>
      </c>
      <c r="K30" s="36">
        <v>1</v>
      </c>
      <c r="L30" s="36">
        <v>0</v>
      </c>
      <c r="M30" s="36">
        <v>1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2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4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2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1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46">
        <v>1</v>
      </c>
    </row>
    <row r="31" spans="1:48" ht="12.75">
      <c r="A31" s="34">
        <v>30</v>
      </c>
      <c r="B31" s="165">
        <v>46.11735</v>
      </c>
      <c r="C31" s="165">
        <v>-91.21293</v>
      </c>
      <c r="D31" s="10">
        <v>3</v>
      </c>
      <c r="E31" s="10" t="s">
        <v>563</v>
      </c>
      <c r="F31" s="149">
        <v>1</v>
      </c>
      <c r="G31" s="34">
        <v>1</v>
      </c>
      <c r="H31" s="96">
        <v>7</v>
      </c>
      <c r="I31" s="10">
        <v>3</v>
      </c>
      <c r="J31" s="36">
        <v>0</v>
      </c>
      <c r="K31" s="36">
        <v>2</v>
      </c>
      <c r="L31" s="36">
        <v>0</v>
      </c>
      <c r="M31" s="36">
        <v>0</v>
      </c>
      <c r="N31" s="10">
        <v>0</v>
      </c>
      <c r="O31" s="10">
        <v>0</v>
      </c>
      <c r="P31" s="10">
        <v>0</v>
      </c>
      <c r="Q31" s="10">
        <v>1</v>
      </c>
      <c r="R31" s="10">
        <v>4</v>
      </c>
      <c r="S31" s="10">
        <v>0</v>
      </c>
      <c r="T31" s="10">
        <v>0</v>
      </c>
      <c r="U31" s="10">
        <v>0</v>
      </c>
      <c r="V31" s="10">
        <v>2</v>
      </c>
      <c r="W31" s="10">
        <v>0</v>
      </c>
      <c r="X31" s="10">
        <v>1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1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4</v>
      </c>
      <c r="AN31" s="10">
        <v>1</v>
      </c>
      <c r="AO31" s="10">
        <v>0</v>
      </c>
      <c r="AP31" s="10">
        <v>2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46">
        <v>0</v>
      </c>
    </row>
    <row r="32" spans="1:48" ht="12.75">
      <c r="A32" s="34">
        <v>31</v>
      </c>
      <c r="B32" s="165">
        <v>46.11736</v>
      </c>
      <c r="C32" s="165">
        <v>-91.21246</v>
      </c>
      <c r="D32" s="10">
        <v>2.5</v>
      </c>
      <c r="E32" s="10" t="s">
        <v>563</v>
      </c>
      <c r="F32" s="149">
        <v>1</v>
      </c>
      <c r="G32" s="34">
        <v>1</v>
      </c>
      <c r="H32" s="96">
        <v>11</v>
      </c>
      <c r="I32" s="10">
        <v>3</v>
      </c>
      <c r="J32" s="36">
        <v>0</v>
      </c>
      <c r="K32" s="36">
        <v>0</v>
      </c>
      <c r="L32" s="36">
        <v>1</v>
      </c>
      <c r="M32" s="36">
        <v>0</v>
      </c>
      <c r="N32" s="10">
        <v>0</v>
      </c>
      <c r="O32" s="10">
        <v>4</v>
      </c>
      <c r="P32" s="10">
        <v>1</v>
      </c>
      <c r="Q32" s="10">
        <v>1</v>
      </c>
      <c r="R32" s="10">
        <v>1</v>
      </c>
      <c r="S32" s="10">
        <v>1</v>
      </c>
      <c r="T32" s="10">
        <v>0</v>
      </c>
      <c r="U32" s="10">
        <v>3</v>
      </c>
      <c r="V32" s="10">
        <v>2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1</v>
      </c>
      <c r="AH32" s="10">
        <v>0</v>
      </c>
      <c r="AI32" s="10">
        <v>0</v>
      </c>
      <c r="AJ32" s="10">
        <v>1</v>
      </c>
      <c r="AK32" s="10">
        <v>0</v>
      </c>
      <c r="AL32" s="10">
        <v>0</v>
      </c>
      <c r="AM32" s="10">
        <v>0</v>
      </c>
      <c r="AN32" s="10">
        <v>1</v>
      </c>
      <c r="AO32" s="10">
        <v>0</v>
      </c>
      <c r="AP32" s="10">
        <v>1</v>
      </c>
      <c r="AQ32" s="10">
        <v>0</v>
      </c>
      <c r="AR32" s="10">
        <v>0</v>
      </c>
      <c r="AS32" s="10">
        <v>0</v>
      </c>
      <c r="AT32" s="10">
        <v>4</v>
      </c>
      <c r="AU32" s="10">
        <v>0</v>
      </c>
      <c r="AV32" s="146">
        <v>0</v>
      </c>
    </row>
    <row r="33" spans="1:48" ht="12.75">
      <c r="A33" s="34">
        <v>32</v>
      </c>
      <c r="B33" s="165">
        <v>46.11763</v>
      </c>
      <c r="C33" s="165">
        <v>-91.21712</v>
      </c>
      <c r="D33" s="10">
        <v>10.5</v>
      </c>
      <c r="E33" s="10" t="s">
        <v>563</v>
      </c>
      <c r="F33" s="149">
        <v>1</v>
      </c>
      <c r="G33" s="34">
        <v>0</v>
      </c>
      <c r="H33" s="96">
        <v>0</v>
      </c>
      <c r="I33" s="10">
        <v>0</v>
      </c>
      <c r="J33" s="36">
        <v>0</v>
      </c>
      <c r="K33" s="36">
        <v>0</v>
      </c>
      <c r="L33" s="36">
        <v>0</v>
      </c>
      <c r="M33" s="36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46">
        <v>0</v>
      </c>
    </row>
    <row r="34" spans="1:48" ht="12.75">
      <c r="A34" s="34">
        <v>33</v>
      </c>
      <c r="B34" s="165">
        <v>46.11764</v>
      </c>
      <c r="C34" s="165">
        <v>-91.21666</v>
      </c>
      <c r="D34" s="10">
        <v>15.5</v>
      </c>
      <c r="E34" s="10">
        <v>0</v>
      </c>
      <c r="F34" s="149">
        <v>0</v>
      </c>
      <c r="G34" s="34">
        <v>0</v>
      </c>
      <c r="H34" s="96">
        <v>0</v>
      </c>
      <c r="I34" s="10">
        <v>0</v>
      </c>
      <c r="J34" s="36">
        <v>0</v>
      </c>
      <c r="K34" s="36">
        <v>0</v>
      </c>
      <c r="L34" s="36">
        <v>0</v>
      </c>
      <c r="M34" s="36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46">
        <v>0</v>
      </c>
    </row>
    <row r="35" spans="1:48" ht="12.75">
      <c r="A35" s="34">
        <v>34</v>
      </c>
      <c r="B35" s="165">
        <v>46.11764</v>
      </c>
      <c r="C35" s="165">
        <v>-91.21619</v>
      </c>
      <c r="D35" s="10">
        <v>17.5</v>
      </c>
      <c r="E35" s="10">
        <v>0</v>
      </c>
      <c r="F35" s="149">
        <v>0</v>
      </c>
      <c r="G35" s="34">
        <v>0</v>
      </c>
      <c r="H35" s="96">
        <v>0</v>
      </c>
      <c r="I35" s="10">
        <v>0</v>
      </c>
      <c r="J35" s="36">
        <v>0</v>
      </c>
      <c r="K35" s="36">
        <v>0</v>
      </c>
      <c r="L35" s="36">
        <v>0</v>
      </c>
      <c r="M35" s="36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46">
        <v>0</v>
      </c>
    </row>
    <row r="36" spans="1:48" ht="12.75">
      <c r="A36" s="34">
        <v>35</v>
      </c>
      <c r="B36" s="165">
        <v>46.11765</v>
      </c>
      <c r="C36" s="165">
        <v>-91.21573</v>
      </c>
      <c r="D36" s="10">
        <v>16</v>
      </c>
      <c r="E36" s="10">
        <v>0</v>
      </c>
      <c r="F36" s="149">
        <v>0</v>
      </c>
      <c r="G36" s="34">
        <v>0</v>
      </c>
      <c r="H36" s="96">
        <v>0</v>
      </c>
      <c r="I36" s="10">
        <v>0</v>
      </c>
      <c r="J36" s="36">
        <v>0</v>
      </c>
      <c r="K36" s="36">
        <v>0</v>
      </c>
      <c r="L36" s="36">
        <v>0</v>
      </c>
      <c r="M36" s="36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46">
        <v>0</v>
      </c>
    </row>
    <row r="37" spans="1:48" ht="12.75">
      <c r="A37" s="34">
        <v>36</v>
      </c>
      <c r="B37" s="165">
        <v>46.11765</v>
      </c>
      <c r="C37" s="165">
        <v>-91.21526</v>
      </c>
      <c r="D37" s="10">
        <v>8.5</v>
      </c>
      <c r="E37" s="10" t="s">
        <v>563</v>
      </c>
      <c r="F37" s="149">
        <v>1</v>
      </c>
      <c r="G37" s="34">
        <v>0</v>
      </c>
      <c r="H37" s="96">
        <v>0</v>
      </c>
      <c r="I37" s="10">
        <v>0</v>
      </c>
      <c r="J37" s="36">
        <v>0</v>
      </c>
      <c r="K37" s="36">
        <v>0</v>
      </c>
      <c r="L37" s="36">
        <v>0</v>
      </c>
      <c r="M37" s="36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46">
        <v>0</v>
      </c>
    </row>
    <row r="38" spans="1:48" ht="12.75">
      <c r="A38" s="34">
        <v>37</v>
      </c>
      <c r="B38" s="165">
        <v>46.11766</v>
      </c>
      <c r="C38" s="165">
        <v>-91.2148</v>
      </c>
      <c r="D38" s="10">
        <v>5</v>
      </c>
      <c r="E38" s="10" t="s">
        <v>563</v>
      </c>
      <c r="F38" s="149">
        <v>1</v>
      </c>
      <c r="G38" s="34">
        <v>1</v>
      </c>
      <c r="H38" s="96">
        <v>4</v>
      </c>
      <c r="I38" s="10">
        <v>3</v>
      </c>
      <c r="J38" s="36">
        <v>0</v>
      </c>
      <c r="K38" s="36">
        <v>0</v>
      </c>
      <c r="L38" s="36">
        <v>1</v>
      </c>
      <c r="M38" s="36">
        <v>0</v>
      </c>
      <c r="N38" s="10">
        <v>0</v>
      </c>
      <c r="O38" s="10">
        <v>0</v>
      </c>
      <c r="P38" s="10">
        <v>0</v>
      </c>
      <c r="Q38" s="10">
        <v>4</v>
      </c>
      <c r="R38" s="10">
        <v>0</v>
      </c>
      <c r="S38" s="10">
        <v>1</v>
      </c>
      <c r="T38" s="10">
        <v>0</v>
      </c>
      <c r="U38" s="10">
        <v>0</v>
      </c>
      <c r="V38" s="10">
        <v>2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3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46">
        <v>0</v>
      </c>
    </row>
    <row r="39" spans="1:48" ht="12.75">
      <c r="A39" s="34">
        <v>38</v>
      </c>
      <c r="B39" s="165">
        <v>46.11766</v>
      </c>
      <c r="C39" s="165">
        <v>-91.21433</v>
      </c>
      <c r="D39" s="10">
        <v>5</v>
      </c>
      <c r="E39" s="10" t="s">
        <v>563</v>
      </c>
      <c r="F39" s="149">
        <v>1</v>
      </c>
      <c r="G39" s="34">
        <v>1</v>
      </c>
      <c r="H39" s="96">
        <v>2</v>
      </c>
      <c r="I39" s="10">
        <v>3</v>
      </c>
      <c r="J39" s="36">
        <v>0</v>
      </c>
      <c r="K39" s="36">
        <v>0</v>
      </c>
      <c r="L39" s="36">
        <v>4</v>
      </c>
      <c r="M39" s="36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3</v>
      </c>
      <c r="U39" s="10">
        <v>4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2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46">
        <v>0</v>
      </c>
    </row>
    <row r="40" spans="1:48" ht="12.75">
      <c r="A40" s="34">
        <v>39</v>
      </c>
      <c r="B40" s="165">
        <v>46.11767</v>
      </c>
      <c r="C40" s="165">
        <v>-91.21386</v>
      </c>
      <c r="D40" s="10">
        <v>4.5</v>
      </c>
      <c r="E40" s="10" t="s">
        <v>563</v>
      </c>
      <c r="F40" s="149">
        <v>1</v>
      </c>
      <c r="G40" s="34">
        <v>1</v>
      </c>
      <c r="H40" s="96">
        <v>9</v>
      </c>
      <c r="I40" s="10">
        <v>3</v>
      </c>
      <c r="J40" s="36">
        <v>0</v>
      </c>
      <c r="K40" s="36">
        <v>0</v>
      </c>
      <c r="L40" s="36">
        <v>1</v>
      </c>
      <c r="M40" s="36">
        <v>0</v>
      </c>
      <c r="N40" s="10">
        <v>0</v>
      </c>
      <c r="O40" s="10">
        <v>1</v>
      </c>
      <c r="P40" s="10">
        <v>0</v>
      </c>
      <c r="Q40" s="10">
        <v>2</v>
      </c>
      <c r="R40" s="10">
        <v>0</v>
      </c>
      <c r="S40" s="10">
        <v>1</v>
      </c>
      <c r="T40" s="10">
        <v>0</v>
      </c>
      <c r="U40" s="10">
        <v>2</v>
      </c>
      <c r="V40" s="10">
        <v>2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4</v>
      </c>
      <c r="AF40" s="10">
        <v>0</v>
      </c>
      <c r="AG40" s="10">
        <v>0</v>
      </c>
      <c r="AH40" s="10">
        <v>0</v>
      </c>
      <c r="AI40" s="10">
        <v>0</v>
      </c>
      <c r="AJ40" s="10">
        <v>1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1</v>
      </c>
      <c r="AQ40" s="10">
        <v>0</v>
      </c>
      <c r="AR40" s="10">
        <v>0</v>
      </c>
      <c r="AS40" s="10">
        <v>0</v>
      </c>
      <c r="AT40" s="10">
        <v>1</v>
      </c>
      <c r="AU40" s="10">
        <v>0</v>
      </c>
      <c r="AV40" s="146">
        <v>0</v>
      </c>
    </row>
    <row r="41" spans="1:48" ht="12.75">
      <c r="A41" s="34">
        <v>40</v>
      </c>
      <c r="B41" s="165">
        <v>46.11767</v>
      </c>
      <c r="C41" s="165">
        <v>-91.2134</v>
      </c>
      <c r="D41" s="10">
        <v>4.5</v>
      </c>
      <c r="E41" s="10" t="s">
        <v>563</v>
      </c>
      <c r="F41" s="149">
        <v>1</v>
      </c>
      <c r="G41" s="34">
        <v>1</v>
      </c>
      <c r="H41" s="96">
        <v>4</v>
      </c>
      <c r="I41" s="10">
        <v>1</v>
      </c>
      <c r="J41" s="36">
        <v>0</v>
      </c>
      <c r="K41" s="36">
        <v>1</v>
      </c>
      <c r="L41" s="36">
        <v>0</v>
      </c>
      <c r="M41" s="36">
        <v>1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1</v>
      </c>
      <c r="T41" s="10">
        <v>0</v>
      </c>
      <c r="U41" s="10">
        <v>4</v>
      </c>
      <c r="V41" s="10">
        <v>4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1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46">
        <v>0</v>
      </c>
    </row>
    <row r="42" spans="1:48" ht="12.75">
      <c r="A42" s="34">
        <v>41</v>
      </c>
      <c r="B42" s="165">
        <v>46.11768</v>
      </c>
      <c r="C42" s="165">
        <v>-91.21293</v>
      </c>
      <c r="D42" s="10">
        <v>4</v>
      </c>
      <c r="E42" s="10" t="s">
        <v>563</v>
      </c>
      <c r="F42" s="149">
        <v>1</v>
      </c>
      <c r="G42" s="34">
        <v>1</v>
      </c>
      <c r="H42" s="96">
        <v>7</v>
      </c>
      <c r="I42" s="10">
        <v>3</v>
      </c>
      <c r="J42" s="36">
        <v>0</v>
      </c>
      <c r="K42" s="36">
        <v>0</v>
      </c>
      <c r="L42" s="36">
        <v>1</v>
      </c>
      <c r="M42" s="36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1</v>
      </c>
      <c r="T42" s="10">
        <v>0</v>
      </c>
      <c r="U42" s="10">
        <v>0</v>
      </c>
      <c r="V42" s="10">
        <v>2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1</v>
      </c>
      <c r="AC42" s="10">
        <v>0</v>
      </c>
      <c r="AD42" s="10">
        <v>0</v>
      </c>
      <c r="AE42" s="10">
        <v>0</v>
      </c>
      <c r="AF42" s="10">
        <v>0</v>
      </c>
      <c r="AG42" s="10">
        <v>1</v>
      </c>
      <c r="AH42" s="10">
        <v>0</v>
      </c>
      <c r="AI42" s="10">
        <v>2</v>
      </c>
      <c r="AJ42" s="10">
        <v>3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46">
        <v>0</v>
      </c>
    </row>
    <row r="43" spans="1:48" ht="12.75">
      <c r="A43" s="34">
        <v>42</v>
      </c>
      <c r="B43" s="165">
        <v>46.11768</v>
      </c>
      <c r="C43" s="165">
        <v>-91.21247</v>
      </c>
      <c r="D43" s="10">
        <v>3.5</v>
      </c>
      <c r="E43" s="10" t="s">
        <v>563</v>
      </c>
      <c r="F43" s="149">
        <v>1</v>
      </c>
      <c r="G43" s="34">
        <v>1</v>
      </c>
      <c r="H43" s="96">
        <v>6</v>
      </c>
      <c r="I43" s="10">
        <v>3</v>
      </c>
      <c r="J43" s="36">
        <v>0</v>
      </c>
      <c r="K43" s="36">
        <v>0</v>
      </c>
      <c r="L43" s="36">
        <v>1</v>
      </c>
      <c r="M43" s="36">
        <v>0</v>
      </c>
      <c r="N43" s="10">
        <v>0</v>
      </c>
      <c r="O43" s="10">
        <v>0</v>
      </c>
      <c r="P43" s="10">
        <v>0</v>
      </c>
      <c r="Q43" s="10">
        <v>2</v>
      </c>
      <c r="R43" s="10">
        <v>0</v>
      </c>
      <c r="S43" s="10">
        <v>1</v>
      </c>
      <c r="T43" s="10">
        <v>0</v>
      </c>
      <c r="U43" s="10">
        <v>0</v>
      </c>
      <c r="V43" s="10">
        <v>3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2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1</v>
      </c>
      <c r="AT43" s="10">
        <v>0</v>
      </c>
      <c r="AU43" s="10">
        <v>0</v>
      </c>
      <c r="AV43" s="146">
        <v>0</v>
      </c>
    </row>
    <row r="44" spans="1:48" ht="12.75">
      <c r="A44" s="34">
        <v>43</v>
      </c>
      <c r="B44" s="165">
        <v>46.11769</v>
      </c>
      <c r="C44" s="165">
        <v>-91.212</v>
      </c>
      <c r="D44" s="10">
        <v>4.5</v>
      </c>
      <c r="E44" s="10" t="s">
        <v>563</v>
      </c>
      <c r="F44" s="149">
        <v>1</v>
      </c>
      <c r="G44" s="34">
        <v>1</v>
      </c>
      <c r="H44" s="96">
        <v>3</v>
      </c>
      <c r="I44" s="10">
        <v>1</v>
      </c>
      <c r="J44" s="36">
        <v>0</v>
      </c>
      <c r="K44" s="36">
        <v>0</v>
      </c>
      <c r="L44" s="36">
        <v>0</v>
      </c>
      <c r="M44" s="36">
        <v>1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1</v>
      </c>
      <c r="T44" s="10">
        <v>0</v>
      </c>
      <c r="U44" s="10">
        <v>0</v>
      </c>
      <c r="V44" s="10">
        <v>4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1</v>
      </c>
      <c r="AT44" s="10">
        <v>0</v>
      </c>
      <c r="AU44" s="10">
        <v>0</v>
      </c>
      <c r="AV44" s="146">
        <v>0</v>
      </c>
    </row>
    <row r="45" spans="1:48" ht="12.75">
      <c r="A45" s="34">
        <v>44</v>
      </c>
      <c r="B45" s="165">
        <v>46.11769</v>
      </c>
      <c r="C45" s="165">
        <v>-91.21154</v>
      </c>
      <c r="D45" s="10">
        <v>3</v>
      </c>
      <c r="E45" s="10" t="s">
        <v>563</v>
      </c>
      <c r="F45" s="149">
        <v>1</v>
      </c>
      <c r="G45" s="34">
        <v>1</v>
      </c>
      <c r="H45" s="96">
        <v>3</v>
      </c>
      <c r="I45" s="10">
        <v>2</v>
      </c>
      <c r="J45" s="36">
        <v>0</v>
      </c>
      <c r="K45" s="36">
        <v>0</v>
      </c>
      <c r="L45" s="36">
        <v>1</v>
      </c>
      <c r="M45" s="36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2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1</v>
      </c>
      <c r="AT45" s="10">
        <v>0</v>
      </c>
      <c r="AU45" s="10">
        <v>0</v>
      </c>
      <c r="AV45" s="146">
        <v>0</v>
      </c>
    </row>
    <row r="46" spans="1:48" ht="12.75">
      <c r="A46" s="34">
        <v>45</v>
      </c>
      <c r="B46" s="165">
        <v>46.11795</v>
      </c>
      <c r="C46" s="165">
        <v>-91.21806</v>
      </c>
      <c r="D46" s="10">
        <v>4.5</v>
      </c>
      <c r="E46" s="10" t="s">
        <v>563</v>
      </c>
      <c r="F46" s="149">
        <v>1</v>
      </c>
      <c r="G46" s="34">
        <v>1</v>
      </c>
      <c r="H46" s="96">
        <v>5</v>
      </c>
      <c r="I46" s="10">
        <v>2</v>
      </c>
      <c r="J46" s="36">
        <v>4</v>
      </c>
      <c r="K46" s="36">
        <v>0</v>
      </c>
      <c r="L46" s="36">
        <v>0</v>
      </c>
      <c r="M46" s="36">
        <v>0</v>
      </c>
      <c r="N46" s="10">
        <v>0</v>
      </c>
      <c r="O46" s="10">
        <v>1</v>
      </c>
      <c r="P46" s="10">
        <v>0</v>
      </c>
      <c r="Q46" s="10">
        <v>4</v>
      </c>
      <c r="R46" s="10">
        <v>0</v>
      </c>
      <c r="S46" s="10">
        <v>1</v>
      </c>
      <c r="T46" s="10">
        <v>0</v>
      </c>
      <c r="U46" s="10">
        <v>0</v>
      </c>
      <c r="V46" s="10">
        <v>1</v>
      </c>
      <c r="W46" s="10">
        <v>0</v>
      </c>
      <c r="X46" s="10">
        <v>0</v>
      </c>
      <c r="Y46" s="10">
        <v>2</v>
      </c>
      <c r="Z46" s="10">
        <v>0</v>
      </c>
      <c r="AA46" s="10">
        <v>0</v>
      </c>
      <c r="AB46" s="10">
        <v>4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1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46">
        <v>0</v>
      </c>
    </row>
    <row r="47" spans="1:48" ht="12.75">
      <c r="A47" s="34">
        <v>46</v>
      </c>
      <c r="B47" s="165">
        <v>46.11795</v>
      </c>
      <c r="C47" s="165">
        <v>-91.2176</v>
      </c>
      <c r="D47" s="10">
        <v>5.5</v>
      </c>
      <c r="E47" s="10" t="s">
        <v>563</v>
      </c>
      <c r="F47" s="149">
        <v>1</v>
      </c>
      <c r="G47" s="34">
        <v>1</v>
      </c>
      <c r="H47" s="96">
        <v>4</v>
      </c>
      <c r="I47" s="10">
        <v>2</v>
      </c>
      <c r="J47" s="36">
        <v>0</v>
      </c>
      <c r="K47" s="36">
        <v>0</v>
      </c>
      <c r="L47" s="36">
        <v>1</v>
      </c>
      <c r="M47" s="36">
        <v>2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2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1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46">
        <v>0</v>
      </c>
    </row>
    <row r="48" spans="1:48" ht="12.75">
      <c r="A48" s="34">
        <v>47</v>
      </c>
      <c r="B48" s="165">
        <v>46.11796</v>
      </c>
      <c r="C48" s="165">
        <v>-91.21713</v>
      </c>
      <c r="D48" s="10">
        <v>12.5</v>
      </c>
      <c r="E48" s="10" t="s">
        <v>563</v>
      </c>
      <c r="F48" s="149">
        <v>1</v>
      </c>
      <c r="G48" s="34">
        <v>0</v>
      </c>
      <c r="H48" s="96">
        <v>0</v>
      </c>
      <c r="I48" s="10">
        <v>0</v>
      </c>
      <c r="J48" s="36">
        <v>0</v>
      </c>
      <c r="K48" s="36">
        <v>0</v>
      </c>
      <c r="L48" s="36">
        <v>0</v>
      </c>
      <c r="M48" s="36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46">
        <v>0</v>
      </c>
    </row>
    <row r="49" spans="1:48" ht="12.75">
      <c r="A49" s="34">
        <v>48</v>
      </c>
      <c r="B49" s="165">
        <v>46.11796</v>
      </c>
      <c r="C49" s="165">
        <v>-91.21667</v>
      </c>
      <c r="D49" s="10">
        <v>17.5</v>
      </c>
      <c r="E49" s="10">
        <v>0</v>
      </c>
      <c r="F49" s="149">
        <v>0</v>
      </c>
      <c r="G49" s="34">
        <v>0</v>
      </c>
      <c r="H49" s="96">
        <v>0</v>
      </c>
      <c r="I49" s="10">
        <v>0</v>
      </c>
      <c r="J49" s="36">
        <v>0</v>
      </c>
      <c r="K49" s="36">
        <v>0</v>
      </c>
      <c r="L49" s="36">
        <v>0</v>
      </c>
      <c r="M49" s="36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46">
        <v>0</v>
      </c>
    </row>
    <row r="50" spans="1:48" ht="12.75">
      <c r="A50" s="34">
        <v>49</v>
      </c>
      <c r="B50" s="165">
        <v>46.11797</v>
      </c>
      <c r="C50" s="165">
        <v>-91.2162</v>
      </c>
      <c r="D50" s="10">
        <v>19.5</v>
      </c>
      <c r="E50" s="10">
        <v>0</v>
      </c>
      <c r="F50" s="149">
        <v>0</v>
      </c>
      <c r="G50" s="34">
        <v>0</v>
      </c>
      <c r="H50" s="96">
        <v>0</v>
      </c>
      <c r="I50" s="10">
        <v>0</v>
      </c>
      <c r="J50" s="36">
        <v>0</v>
      </c>
      <c r="K50" s="36">
        <v>0</v>
      </c>
      <c r="L50" s="36">
        <v>0</v>
      </c>
      <c r="M50" s="36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46">
        <v>0</v>
      </c>
    </row>
    <row r="51" spans="1:48" ht="12.75">
      <c r="A51" s="34">
        <v>50</v>
      </c>
      <c r="B51" s="165">
        <v>46.11797</v>
      </c>
      <c r="C51" s="165">
        <v>-91.21573</v>
      </c>
      <c r="D51" s="10">
        <v>22</v>
      </c>
      <c r="E51" s="10">
        <v>0</v>
      </c>
      <c r="F51" s="149">
        <v>0</v>
      </c>
      <c r="G51" s="34">
        <v>0</v>
      </c>
      <c r="H51" s="96">
        <v>0</v>
      </c>
      <c r="I51" s="10">
        <v>0</v>
      </c>
      <c r="J51" s="36">
        <v>0</v>
      </c>
      <c r="K51" s="36">
        <v>0</v>
      </c>
      <c r="L51" s="36">
        <v>0</v>
      </c>
      <c r="M51" s="36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46">
        <v>0</v>
      </c>
    </row>
    <row r="52" spans="1:48" ht="12.75">
      <c r="A52" s="34">
        <v>51</v>
      </c>
      <c r="B52" s="165">
        <v>46.11798</v>
      </c>
      <c r="C52" s="165">
        <v>-91.21527</v>
      </c>
      <c r="D52" s="10">
        <v>13.5</v>
      </c>
      <c r="E52" s="10" t="s">
        <v>563</v>
      </c>
      <c r="F52" s="149">
        <v>1</v>
      </c>
      <c r="G52" s="34">
        <v>0</v>
      </c>
      <c r="H52" s="96">
        <v>0</v>
      </c>
      <c r="I52" s="10">
        <v>0</v>
      </c>
      <c r="J52" s="36">
        <v>0</v>
      </c>
      <c r="K52" s="36">
        <v>0</v>
      </c>
      <c r="L52" s="36">
        <v>0</v>
      </c>
      <c r="M52" s="36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46">
        <v>0</v>
      </c>
    </row>
    <row r="53" spans="1:48" ht="12.75">
      <c r="A53" s="34">
        <v>52</v>
      </c>
      <c r="B53" s="165">
        <v>46.11798</v>
      </c>
      <c r="C53" s="165">
        <v>-91.2148</v>
      </c>
      <c r="D53" s="10">
        <v>5.5</v>
      </c>
      <c r="E53" s="10" t="s">
        <v>564</v>
      </c>
      <c r="F53" s="149">
        <v>1</v>
      </c>
      <c r="G53" s="34">
        <v>1</v>
      </c>
      <c r="H53" s="96">
        <v>4</v>
      </c>
      <c r="I53" s="10">
        <v>2</v>
      </c>
      <c r="J53" s="36">
        <v>0</v>
      </c>
      <c r="K53" s="36">
        <v>0</v>
      </c>
      <c r="L53" s="36">
        <v>1</v>
      </c>
      <c r="M53" s="36">
        <v>0</v>
      </c>
      <c r="N53" s="10">
        <v>0</v>
      </c>
      <c r="O53" s="10">
        <v>0</v>
      </c>
      <c r="P53" s="10">
        <v>0</v>
      </c>
      <c r="Q53" s="10">
        <v>1</v>
      </c>
      <c r="R53" s="10">
        <v>0</v>
      </c>
      <c r="S53" s="10">
        <v>0</v>
      </c>
      <c r="T53" s="10">
        <v>0</v>
      </c>
      <c r="U53" s="10">
        <v>0</v>
      </c>
      <c r="V53" s="10">
        <v>1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2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46">
        <v>1</v>
      </c>
    </row>
    <row r="54" spans="1:48" ht="12.75">
      <c r="A54" s="34">
        <v>53</v>
      </c>
      <c r="B54" s="165">
        <v>46.11799</v>
      </c>
      <c r="C54" s="165">
        <v>-91.21434</v>
      </c>
      <c r="D54" s="10">
        <v>4.5</v>
      </c>
      <c r="E54" s="10" t="s">
        <v>565</v>
      </c>
      <c r="F54" s="149">
        <v>1</v>
      </c>
      <c r="G54" s="34">
        <v>1</v>
      </c>
      <c r="H54" s="96">
        <v>6</v>
      </c>
      <c r="I54" s="10">
        <v>3</v>
      </c>
      <c r="J54" s="36">
        <v>0</v>
      </c>
      <c r="K54" s="36">
        <v>0</v>
      </c>
      <c r="L54" s="36">
        <v>1</v>
      </c>
      <c r="M54" s="36">
        <v>0</v>
      </c>
      <c r="N54" s="10">
        <v>0</v>
      </c>
      <c r="O54" s="10">
        <v>0</v>
      </c>
      <c r="P54" s="10">
        <v>0</v>
      </c>
      <c r="Q54" s="10">
        <v>1</v>
      </c>
      <c r="R54" s="10">
        <v>0</v>
      </c>
      <c r="S54" s="10">
        <v>0</v>
      </c>
      <c r="T54" s="10">
        <v>0</v>
      </c>
      <c r="U54" s="10">
        <v>1</v>
      </c>
      <c r="V54" s="10">
        <v>3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1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1</v>
      </c>
      <c r="AT54" s="10">
        <v>0</v>
      </c>
      <c r="AU54" s="10">
        <v>0</v>
      </c>
      <c r="AV54" s="146">
        <v>0</v>
      </c>
    </row>
    <row r="55" spans="1:48" ht="12.75">
      <c r="A55" s="34">
        <v>54</v>
      </c>
      <c r="B55" s="165">
        <v>46.11799</v>
      </c>
      <c r="C55" s="165">
        <v>-91.21387</v>
      </c>
      <c r="D55" s="10">
        <v>4</v>
      </c>
      <c r="E55" s="10" t="s">
        <v>563</v>
      </c>
      <c r="F55" s="149">
        <v>1</v>
      </c>
      <c r="G55" s="34">
        <v>1</v>
      </c>
      <c r="H55" s="96">
        <v>6</v>
      </c>
      <c r="I55" s="10">
        <v>3</v>
      </c>
      <c r="J55" s="36">
        <v>0</v>
      </c>
      <c r="K55" s="36">
        <v>0</v>
      </c>
      <c r="L55" s="36">
        <v>1</v>
      </c>
      <c r="M55" s="36">
        <v>3</v>
      </c>
      <c r="N55" s="10">
        <v>0</v>
      </c>
      <c r="O55" s="10">
        <v>0</v>
      </c>
      <c r="P55" s="10">
        <v>0</v>
      </c>
      <c r="Q55" s="10">
        <v>1</v>
      </c>
      <c r="R55" s="10">
        <v>0</v>
      </c>
      <c r="S55" s="10">
        <v>0</v>
      </c>
      <c r="T55" s="10">
        <v>0</v>
      </c>
      <c r="U55" s="10">
        <v>2</v>
      </c>
      <c r="V55" s="10">
        <v>2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1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46">
        <v>0</v>
      </c>
    </row>
    <row r="56" spans="1:48" ht="12.75">
      <c r="A56" s="34">
        <v>55</v>
      </c>
      <c r="B56" s="165">
        <v>46.118</v>
      </c>
      <c r="C56" s="165">
        <v>-91.21341</v>
      </c>
      <c r="D56" s="10">
        <v>5</v>
      </c>
      <c r="E56" s="10" t="s">
        <v>563</v>
      </c>
      <c r="F56" s="149">
        <v>1</v>
      </c>
      <c r="G56" s="34">
        <v>1</v>
      </c>
      <c r="H56" s="96">
        <v>4</v>
      </c>
      <c r="I56" s="10">
        <v>3</v>
      </c>
      <c r="J56" s="36">
        <v>0</v>
      </c>
      <c r="K56" s="36">
        <v>0</v>
      </c>
      <c r="L56" s="36">
        <v>1</v>
      </c>
      <c r="M56" s="36">
        <v>0</v>
      </c>
      <c r="N56" s="10">
        <v>0</v>
      </c>
      <c r="O56" s="10">
        <v>0</v>
      </c>
      <c r="P56" s="10">
        <v>0</v>
      </c>
      <c r="Q56" s="10">
        <v>3</v>
      </c>
      <c r="R56" s="10">
        <v>0</v>
      </c>
      <c r="S56" s="10">
        <v>0</v>
      </c>
      <c r="T56" s="10">
        <v>0</v>
      </c>
      <c r="U56" s="10">
        <v>0</v>
      </c>
      <c r="V56" s="10">
        <v>1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1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46">
        <v>0</v>
      </c>
    </row>
    <row r="57" spans="1:48" ht="12.75">
      <c r="A57" s="34">
        <v>56</v>
      </c>
      <c r="B57" s="165">
        <v>46.118</v>
      </c>
      <c r="C57" s="165">
        <v>-91.21294</v>
      </c>
      <c r="D57" s="10">
        <v>7.5</v>
      </c>
      <c r="E57" s="10" t="s">
        <v>563</v>
      </c>
      <c r="F57" s="149">
        <v>1</v>
      </c>
      <c r="G57" s="34">
        <v>1</v>
      </c>
      <c r="H57" s="96">
        <v>1</v>
      </c>
      <c r="I57" s="10">
        <v>2</v>
      </c>
      <c r="J57" s="36">
        <v>0</v>
      </c>
      <c r="K57" s="36">
        <v>0</v>
      </c>
      <c r="L57" s="36">
        <v>0</v>
      </c>
      <c r="M57" s="36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2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46">
        <v>0</v>
      </c>
    </row>
    <row r="58" spans="1:48" ht="12.75">
      <c r="A58" s="34">
        <v>57</v>
      </c>
      <c r="B58" s="165">
        <v>46.11801</v>
      </c>
      <c r="C58" s="165">
        <v>-91.21247</v>
      </c>
      <c r="D58" s="10">
        <v>7</v>
      </c>
      <c r="E58" s="10" t="s">
        <v>563</v>
      </c>
      <c r="F58" s="149">
        <v>1</v>
      </c>
      <c r="G58" s="34">
        <v>1</v>
      </c>
      <c r="H58" s="96">
        <v>2</v>
      </c>
      <c r="I58" s="10">
        <v>2</v>
      </c>
      <c r="J58" s="36">
        <v>0</v>
      </c>
      <c r="K58" s="36">
        <v>0</v>
      </c>
      <c r="L58" s="36">
        <v>1</v>
      </c>
      <c r="M58" s="36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2</v>
      </c>
      <c r="U58" s="10">
        <v>0</v>
      </c>
      <c r="V58" s="10">
        <v>4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46">
        <v>0</v>
      </c>
    </row>
    <row r="59" spans="1:48" ht="12.75">
      <c r="A59" s="34">
        <v>58</v>
      </c>
      <c r="B59" s="165">
        <v>46.11801</v>
      </c>
      <c r="C59" s="165">
        <v>-91.21201</v>
      </c>
      <c r="D59" s="10">
        <v>5</v>
      </c>
      <c r="E59" s="10" t="s">
        <v>563</v>
      </c>
      <c r="F59" s="149">
        <v>1</v>
      </c>
      <c r="G59" s="34">
        <v>1</v>
      </c>
      <c r="H59" s="96">
        <v>1</v>
      </c>
      <c r="I59" s="10">
        <v>1</v>
      </c>
      <c r="J59" s="36">
        <v>0</v>
      </c>
      <c r="K59" s="36">
        <v>0</v>
      </c>
      <c r="L59" s="36">
        <v>0</v>
      </c>
      <c r="M59" s="36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1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46">
        <v>0</v>
      </c>
    </row>
    <row r="60" spans="1:48" ht="12.75">
      <c r="A60" s="34">
        <v>59</v>
      </c>
      <c r="B60" s="165">
        <v>46.11802</v>
      </c>
      <c r="C60" s="165">
        <v>-91.21154</v>
      </c>
      <c r="D60" s="10">
        <v>4</v>
      </c>
      <c r="E60" s="10" t="s">
        <v>563</v>
      </c>
      <c r="F60" s="149">
        <v>1</v>
      </c>
      <c r="G60" s="34">
        <v>1</v>
      </c>
      <c r="H60" s="96">
        <v>6</v>
      </c>
      <c r="I60" s="10">
        <v>3</v>
      </c>
      <c r="J60" s="36">
        <v>0</v>
      </c>
      <c r="K60" s="36">
        <v>0</v>
      </c>
      <c r="L60" s="36">
        <v>0</v>
      </c>
      <c r="M60" s="36">
        <v>0</v>
      </c>
      <c r="N60" s="10">
        <v>0</v>
      </c>
      <c r="O60" s="10">
        <v>1</v>
      </c>
      <c r="P60" s="10">
        <v>0</v>
      </c>
      <c r="Q60" s="10">
        <v>1</v>
      </c>
      <c r="R60" s="10">
        <v>0</v>
      </c>
      <c r="S60" s="10">
        <v>1</v>
      </c>
      <c r="T60" s="10">
        <v>0</v>
      </c>
      <c r="U60" s="10">
        <v>3</v>
      </c>
      <c r="V60" s="10">
        <v>0</v>
      </c>
      <c r="W60" s="10">
        <v>0</v>
      </c>
      <c r="X60" s="10">
        <v>0</v>
      </c>
      <c r="Y60" s="10">
        <v>1</v>
      </c>
      <c r="Z60" s="10">
        <v>0</v>
      </c>
      <c r="AA60" s="10">
        <v>4</v>
      </c>
      <c r="AB60" s="10">
        <v>4</v>
      </c>
      <c r="AC60" s="10">
        <v>0</v>
      </c>
      <c r="AD60" s="10">
        <v>0</v>
      </c>
      <c r="AE60" s="10">
        <v>0</v>
      </c>
      <c r="AF60" s="10">
        <v>4</v>
      </c>
      <c r="AG60" s="10">
        <v>0</v>
      </c>
      <c r="AH60" s="10">
        <v>0</v>
      </c>
      <c r="AI60" s="10">
        <v>0</v>
      </c>
      <c r="AJ60" s="10">
        <v>2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46">
        <v>0</v>
      </c>
    </row>
    <row r="61" spans="1:48" ht="12.75">
      <c r="A61" s="34">
        <v>60</v>
      </c>
      <c r="B61" s="165">
        <v>46.11802</v>
      </c>
      <c r="C61" s="165">
        <v>-91.21108</v>
      </c>
      <c r="D61" s="10">
        <v>4</v>
      </c>
      <c r="E61" s="10" t="s">
        <v>563</v>
      </c>
      <c r="F61" s="149">
        <v>1</v>
      </c>
      <c r="G61" s="34">
        <v>1</v>
      </c>
      <c r="H61" s="96">
        <v>8</v>
      </c>
      <c r="I61" s="10">
        <v>2</v>
      </c>
      <c r="J61" s="36">
        <v>0</v>
      </c>
      <c r="K61" s="36">
        <v>0</v>
      </c>
      <c r="L61" s="36">
        <v>1</v>
      </c>
      <c r="M61" s="36">
        <v>0</v>
      </c>
      <c r="N61" s="10">
        <v>0</v>
      </c>
      <c r="O61" s="10">
        <v>2</v>
      </c>
      <c r="P61" s="10">
        <v>1</v>
      </c>
      <c r="Q61" s="10">
        <v>1</v>
      </c>
      <c r="R61" s="10">
        <v>0</v>
      </c>
      <c r="S61" s="10">
        <v>1</v>
      </c>
      <c r="T61" s="10">
        <v>0</v>
      </c>
      <c r="U61" s="10">
        <v>0</v>
      </c>
      <c r="V61" s="10">
        <v>1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1</v>
      </c>
      <c r="AH61" s="10">
        <v>4</v>
      </c>
      <c r="AI61" s="10">
        <v>2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46">
        <v>0</v>
      </c>
    </row>
    <row r="62" spans="1:48" ht="12.75">
      <c r="A62" s="34">
        <v>61</v>
      </c>
      <c r="B62" s="165">
        <v>46.11827</v>
      </c>
      <c r="C62" s="165">
        <v>-91.21807</v>
      </c>
      <c r="D62" s="10">
        <v>3</v>
      </c>
      <c r="E62" s="10" t="s">
        <v>563</v>
      </c>
      <c r="F62" s="149">
        <v>1</v>
      </c>
      <c r="G62" s="34">
        <v>1</v>
      </c>
      <c r="H62" s="96">
        <v>4</v>
      </c>
      <c r="I62" s="10">
        <v>3</v>
      </c>
      <c r="J62" s="36">
        <v>0</v>
      </c>
      <c r="K62" s="36">
        <v>0</v>
      </c>
      <c r="L62" s="36">
        <v>4</v>
      </c>
      <c r="M62" s="36">
        <v>0</v>
      </c>
      <c r="N62" s="10">
        <v>0</v>
      </c>
      <c r="O62" s="10">
        <v>0</v>
      </c>
      <c r="P62" s="10">
        <v>4</v>
      </c>
      <c r="Q62" s="10">
        <v>2</v>
      </c>
      <c r="R62" s="10">
        <v>0</v>
      </c>
      <c r="S62" s="10">
        <v>0</v>
      </c>
      <c r="T62" s="10">
        <v>0</v>
      </c>
      <c r="U62" s="10">
        <v>0</v>
      </c>
      <c r="V62" s="10">
        <v>3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4</v>
      </c>
      <c r="AH62" s="10">
        <v>0</v>
      </c>
      <c r="AI62" s="10">
        <v>1</v>
      </c>
      <c r="AJ62" s="10">
        <v>2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46">
        <v>0</v>
      </c>
    </row>
    <row r="63" spans="1:48" ht="12.75">
      <c r="A63" s="34">
        <v>62</v>
      </c>
      <c r="B63" s="165">
        <v>46.11828</v>
      </c>
      <c r="C63" s="165">
        <v>-91.2176</v>
      </c>
      <c r="D63" s="10">
        <v>6</v>
      </c>
      <c r="E63" s="10" t="s">
        <v>563</v>
      </c>
      <c r="F63" s="149">
        <v>1</v>
      </c>
      <c r="G63" s="34">
        <v>1</v>
      </c>
      <c r="H63" s="96">
        <v>1</v>
      </c>
      <c r="I63" s="10">
        <v>3</v>
      </c>
      <c r="J63" s="36">
        <v>0</v>
      </c>
      <c r="K63" s="36">
        <v>0</v>
      </c>
      <c r="L63" s="36">
        <v>0</v>
      </c>
      <c r="M63" s="36">
        <v>3</v>
      </c>
      <c r="N63" s="10">
        <v>0</v>
      </c>
      <c r="O63" s="10">
        <v>0</v>
      </c>
      <c r="P63" s="10">
        <v>0</v>
      </c>
      <c r="Q63" s="10">
        <v>4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4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46">
        <v>0</v>
      </c>
    </row>
    <row r="64" spans="1:48" ht="12.75">
      <c r="A64" s="34">
        <v>63</v>
      </c>
      <c r="B64" s="165">
        <v>46.11828</v>
      </c>
      <c r="C64" s="165">
        <v>-91.21714</v>
      </c>
      <c r="D64" s="10">
        <v>13.5</v>
      </c>
      <c r="E64" s="10" t="s">
        <v>563</v>
      </c>
      <c r="F64" s="149">
        <v>1</v>
      </c>
      <c r="G64" s="34">
        <v>0</v>
      </c>
      <c r="H64" s="96">
        <v>0</v>
      </c>
      <c r="I64" s="10">
        <v>0</v>
      </c>
      <c r="J64" s="36">
        <v>0</v>
      </c>
      <c r="K64" s="36">
        <v>0</v>
      </c>
      <c r="L64" s="36">
        <v>0</v>
      </c>
      <c r="M64" s="36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46">
        <v>0</v>
      </c>
    </row>
    <row r="65" spans="1:48" ht="12.75">
      <c r="A65" s="34">
        <v>64</v>
      </c>
      <c r="B65" s="165">
        <v>46.11829</v>
      </c>
      <c r="C65" s="165">
        <v>-91.21667</v>
      </c>
      <c r="D65" s="10">
        <v>21</v>
      </c>
      <c r="E65" s="10">
        <v>0</v>
      </c>
      <c r="F65" s="149">
        <v>0</v>
      </c>
      <c r="G65" s="34">
        <v>0</v>
      </c>
      <c r="H65" s="96">
        <v>0</v>
      </c>
      <c r="I65" s="10">
        <v>0</v>
      </c>
      <c r="J65" s="36">
        <v>0</v>
      </c>
      <c r="K65" s="36">
        <v>0</v>
      </c>
      <c r="L65" s="36">
        <v>0</v>
      </c>
      <c r="M65" s="36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46">
        <v>0</v>
      </c>
    </row>
    <row r="66" spans="1:48" ht="12.75">
      <c r="A66" s="34">
        <v>65</v>
      </c>
      <c r="B66" s="165">
        <v>46.11829</v>
      </c>
      <c r="C66" s="165">
        <v>-91.21621</v>
      </c>
      <c r="D66" s="10">
        <v>20.5</v>
      </c>
      <c r="E66" s="10">
        <v>0</v>
      </c>
      <c r="F66" s="149">
        <v>0</v>
      </c>
      <c r="G66" s="34">
        <v>0</v>
      </c>
      <c r="H66" s="96">
        <v>0</v>
      </c>
      <c r="I66" s="10">
        <v>0</v>
      </c>
      <c r="J66" s="36">
        <v>0</v>
      </c>
      <c r="K66" s="36">
        <v>0</v>
      </c>
      <c r="L66" s="36">
        <v>0</v>
      </c>
      <c r="M66" s="36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46">
        <v>0</v>
      </c>
    </row>
    <row r="67" spans="1:48" ht="12.75">
      <c r="A67" s="34">
        <v>66</v>
      </c>
      <c r="B67" s="165">
        <v>46.1183</v>
      </c>
      <c r="C67" s="165">
        <v>-91.21574</v>
      </c>
      <c r="D67" s="10">
        <v>26.5</v>
      </c>
      <c r="E67" s="10">
        <v>0</v>
      </c>
      <c r="F67" s="149">
        <v>0</v>
      </c>
      <c r="G67" s="34">
        <v>0</v>
      </c>
      <c r="H67" s="96">
        <v>0</v>
      </c>
      <c r="I67" s="10">
        <v>0</v>
      </c>
      <c r="J67" s="36">
        <v>0</v>
      </c>
      <c r="K67" s="36">
        <v>0</v>
      </c>
      <c r="L67" s="36">
        <v>0</v>
      </c>
      <c r="M67" s="36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46">
        <v>0</v>
      </c>
    </row>
    <row r="68" spans="1:48" ht="12.75">
      <c r="A68" s="34">
        <v>67</v>
      </c>
      <c r="B68" s="165">
        <v>46.1183</v>
      </c>
      <c r="C68" s="165">
        <v>-91.21528</v>
      </c>
      <c r="D68" s="10">
        <v>18</v>
      </c>
      <c r="E68" s="10">
        <v>0</v>
      </c>
      <c r="F68" s="149">
        <v>0</v>
      </c>
      <c r="G68" s="34">
        <v>0</v>
      </c>
      <c r="H68" s="96">
        <v>0</v>
      </c>
      <c r="I68" s="10">
        <v>0</v>
      </c>
      <c r="J68" s="36">
        <v>0</v>
      </c>
      <c r="K68" s="36">
        <v>0</v>
      </c>
      <c r="L68" s="36">
        <v>0</v>
      </c>
      <c r="M68" s="36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46">
        <v>0</v>
      </c>
    </row>
    <row r="69" spans="1:48" ht="12.75">
      <c r="A69" s="34">
        <v>68</v>
      </c>
      <c r="B69" s="165">
        <v>46.1183</v>
      </c>
      <c r="C69" s="165">
        <v>-91.21481</v>
      </c>
      <c r="D69" s="10">
        <v>12</v>
      </c>
      <c r="E69" s="10" t="s">
        <v>563</v>
      </c>
      <c r="F69" s="149">
        <v>1</v>
      </c>
      <c r="G69" s="34">
        <v>0</v>
      </c>
      <c r="H69" s="96">
        <v>0</v>
      </c>
      <c r="I69" s="10">
        <v>0</v>
      </c>
      <c r="J69" s="36">
        <v>0</v>
      </c>
      <c r="K69" s="36">
        <v>0</v>
      </c>
      <c r="L69" s="36">
        <v>0</v>
      </c>
      <c r="M69" s="36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46">
        <v>0</v>
      </c>
    </row>
    <row r="70" spans="1:48" ht="12.75">
      <c r="A70" s="34">
        <v>69</v>
      </c>
      <c r="B70" s="165">
        <v>46.11831</v>
      </c>
      <c r="C70" s="165">
        <v>-91.21434</v>
      </c>
      <c r="D70" s="10">
        <v>4.5</v>
      </c>
      <c r="E70" s="10" t="s">
        <v>563</v>
      </c>
      <c r="F70" s="149">
        <v>1</v>
      </c>
      <c r="G70" s="34">
        <v>1</v>
      </c>
      <c r="H70" s="96">
        <v>3</v>
      </c>
      <c r="I70" s="10">
        <v>2</v>
      </c>
      <c r="J70" s="36">
        <v>0</v>
      </c>
      <c r="K70" s="36">
        <v>0</v>
      </c>
      <c r="L70" s="36">
        <v>0</v>
      </c>
      <c r="M70" s="36">
        <v>0</v>
      </c>
      <c r="N70" s="10">
        <v>0</v>
      </c>
      <c r="O70" s="10">
        <v>1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1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4</v>
      </c>
      <c r="AH70" s="10">
        <v>0</v>
      </c>
      <c r="AI70" s="10">
        <v>0</v>
      </c>
      <c r="AJ70" s="10">
        <v>2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46">
        <v>0</v>
      </c>
    </row>
    <row r="71" spans="1:48" ht="12.75">
      <c r="A71" s="34">
        <v>70</v>
      </c>
      <c r="B71" s="165">
        <v>46.11832</v>
      </c>
      <c r="C71" s="165">
        <v>-91.21388</v>
      </c>
      <c r="D71" s="10">
        <v>4.5</v>
      </c>
      <c r="E71" s="10" t="s">
        <v>564</v>
      </c>
      <c r="F71" s="149">
        <v>1</v>
      </c>
      <c r="G71" s="34">
        <v>1</v>
      </c>
      <c r="H71" s="96">
        <v>3</v>
      </c>
      <c r="I71" s="10">
        <v>3</v>
      </c>
      <c r="J71" s="36">
        <v>0</v>
      </c>
      <c r="K71" s="36">
        <v>0</v>
      </c>
      <c r="L71" s="36">
        <v>4</v>
      </c>
      <c r="M71" s="36">
        <v>0</v>
      </c>
      <c r="N71" s="10">
        <v>0</v>
      </c>
      <c r="O71" s="10">
        <v>0</v>
      </c>
      <c r="P71" s="10">
        <v>0</v>
      </c>
      <c r="Q71" s="10">
        <v>1</v>
      </c>
      <c r="R71" s="10">
        <v>0</v>
      </c>
      <c r="S71" s="10">
        <v>0</v>
      </c>
      <c r="T71" s="10">
        <v>0</v>
      </c>
      <c r="U71" s="10">
        <v>4</v>
      </c>
      <c r="V71" s="10">
        <v>3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4</v>
      </c>
      <c r="AG71" s="10">
        <v>0</v>
      </c>
      <c r="AH71" s="10">
        <v>0</v>
      </c>
      <c r="AI71" s="10">
        <v>0</v>
      </c>
      <c r="AJ71" s="10">
        <v>2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46">
        <v>0</v>
      </c>
    </row>
    <row r="72" spans="1:48" ht="12.75">
      <c r="A72" s="34">
        <v>71</v>
      </c>
      <c r="B72" s="165">
        <v>46.11832</v>
      </c>
      <c r="C72" s="165">
        <v>-91.21341</v>
      </c>
      <c r="D72" s="10">
        <v>9</v>
      </c>
      <c r="E72" s="10" t="s">
        <v>563</v>
      </c>
      <c r="F72" s="149">
        <v>1</v>
      </c>
      <c r="G72" s="34">
        <v>1</v>
      </c>
      <c r="H72" s="96">
        <v>1</v>
      </c>
      <c r="I72" s="10">
        <v>1</v>
      </c>
      <c r="J72" s="36">
        <v>0</v>
      </c>
      <c r="K72" s="36">
        <v>0</v>
      </c>
      <c r="L72" s="36">
        <v>0</v>
      </c>
      <c r="M72" s="36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1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46">
        <v>0</v>
      </c>
    </row>
    <row r="73" spans="1:48" ht="12.75">
      <c r="A73" s="34">
        <v>72</v>
      </c>
      <c r="B73" s="165">
        <v>46.11833</v>
      </c>
      <c r="C73" s="165">
        <v>-91.21295</v>
      </c>
      <c r="D73" s="10">
        <v>12.5</v>
      </c>
      <c r="E73" s="10" t="s">
        <v>563</v>
      </c>
      <c r="F73" s="149">
        <v>1</v>
      </c>
      <c r="G73" s="34">
        <v>0</v>
      </c>
      <c r="H73" s="96">
        <v>0</v>
      </c>
      <c r="I73" s="10">
        <v>0</v>
      </c>
      <c r="J73" s="36">
        <v>0</v>
      </c>
      <c r="K73" s="36">
        <v>0</v>
      </c>
      <c r="L73" s="36">
        <v>0</v>
      </c>
      <c r="M73" s="36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46">
        <v>0</v>
      </c>
    </row>
    <row r="74" spans="1:48" ht="12.75">
      <c r="A74" s="34">
        <v>73</v>
      </c>
      <c r="B74" s="165">
        <v>46.11833</v>
      </c>
      <c r="C74" s="165">
        <v>-91.21248</v>
      </c>
      <c r="D74" s="10">
        <v>10</v>
      </c>
      <c r="E74" s="10" t="s">
        <v>563</v>
      </c>
      <c r="F74" s="149">
        <v>1</v>
      </c>
      <c r="G74" s="34">
        <v>0</v>
      </c>
      <c r="H74" s="96">
        <v>0</v>
      </c>
      <c r="I74" s="10">
        <v>0</v>
      </c>
      <c r="J74" s="36">
        <v>0</v>
      </c>
      <c r="K74" s="36">
        <v>0</v>
      </c>
      <c r="L74" s="36">
        <v>0</v>
      </c>
      <c r="M74" s="36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46">
        <v>0</v>
      </c>
    </row>
    <row r="75" spans="1:48" ht="12.75">
      <c r="A75" s="34">
        <v>74</v>
      </c>
      <c r="B75" s="165">
        <v>46.11833</v>
      </c>
      <c r="C75" s="165">
        <v>-91.21201</v>
      </c>
      <c r="D75" s="10">
        <v>5.5</v>
      </c>
      <c r="E75" s="10" t="s">
        <v>563</v>
      </c>
      <c r="F75" s="149">
        <v>1</v>
      </c>
      <c r="G75" s="34">
        <v>1</v>
      </c>
      <c r="H75" s="96">
        <v>5</v>
      </c>
      <c r="I75" s="10">
        <v>2</v>
      </c>
      <c r="J75" s="36">
        <v>0</v>
      </c>
      <c r="K75" s="36">
        <v>0</v>
      </c>
      <c r="L75" s="36">
        <v>0</v>
      </c>
      <c r="M75" s="36">
        <v>0</v>
      </c>
      <c r="N75" s="10">
        <v>0</v>
      </c>
      <c r="O75" s="10">
        <v>0</v>
      </c>
      <c r="P75" s="10">
        <v>0</v>
      </c>
      <c r="Q75" s="10">
        <v>1</v>
      </c>
      <c r="R75" s="10">
        <v>0</v>
      </c>
      <c r="S75" s="10">
        <v>1</v>
      </c>
      <c r="T75" s="10">
        <v>2</v>
      </c>
      <c r="U75" s="10">
        <v>0</v>
      </c>
      <c r="V75" s="10">
        <v>4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2</v>
      </c>
      <c r="AG75" s="10">
        <v>0</v>
      </c>
      <c r="AH75" s="10">
        <v>0</v>
      </c>
      <c r="AI75" s="10">
        <v>0</v>
      </c>
      <c r="AJ75" s="10">
        <v>1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46">
        <v>0</v>
      </c>
    </row>
    <row r="76" spans="1:48" ht="12.75">
      <c r="A76" s="34">
        <v>75</v>
      </c>
      <c r="B76" s="165">
        <v>46.11834</v>
      </c>
      <c r="C76" s="165">
        <v>-91.21155</v>
      </c>
      <c r="D76" s="10">
        <v>5</v>
      </c>
      <c r="E76" s="10" t="s">
        <v>563</v>
      </c>
      <c r="F76" s="149">
        <v>1</v>
      </c>
      <c r="G76" s="34">
        <v>1</v>
      </c>
      <c r="H76" s="96">
        <v>2</v>
      </c>
      <c r="I76" s="10">
        <v>1</v>
      </c>
      <c r="J76" s="36">
        <v>0</v>
      </c>
      <c r="K76" s="36">
        <v>0</v>
      </c>
      <c r="L76" s="36">
        <v>0</v>
      </c>
      <c r="M76" s="36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1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1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46">
        <v>0</v>
      </c>
    </row>
    <row r="77" spans="1:48" ht="12.75">
      <c r="A77" s="34">
        <v>76</v>
      </c>
      <c r="B77" s="165">
        <v>46.11835</v>
      </c>
      <c r="C77" s="165">
        <v>-91.21108</v>
      </c>
      <c r="D77" s="10">
        <v>4</v>
      </c>
      <c r="E77" s="10" t="s">
        <v>563</v>
      </c>
      <c r="F77" s="149">
        <v>1</v>
      </c>
      <c r="G77" s="34">
        <v>1</v>
      </c>
      <c r="H77" s="96">
        <v>7</v>
      </c>
      <c r="I77" s="10">
        <v>3</v>
      </c>
      <c r="J77" s="36">
        <v>0</v>
      </c>
      <c r="K77" s="36">
        <v>0</v>
      </c>
      <c r="L77" s="36">
        <v>0</v>
      </c>
      <c r="M77" s="36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1</v>
      </c>
      <c r="T77" s="10">
        <v>0</v>
      </c>
      <c r="U77" s="10">
        <v>0</v>
      </c>
      <c r="V77" s="10">
        <v>4</v>
      </c>
      <c r="W77" s="10">
        <v>0</v>
      </c>
      <c r="X77" s="10">
        <v>0</v>
      </c>
      <c r="Y77" s="10">
        <v>1</v>
      </c>
      <c r="Z77" s="10">
        <v>0</v>
      </c>
      <c r="AA77" s="10">
        <v>0</v>
      </c>
      <c r="AB77" s="10">
        <v>1</v>
      </c>
      <c r="AC77" s="10">
        <v>0</v>
      </c>
      <c r="AD77" s="10">
        <v>0</v>
      </c>
      <c r="AE77" s="10">
        <v>0</v>
      </c>
      <c r="AF77" s="10">
        <v>2</v>
      </c>
      <c r="AG77" s="10">
        <v>0</v>
      </c>
      <c r="AH77" s="10">
        <v>0</v>
      </c>
      <c r="AI77" s="10">
        <v>1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3</v>
      </c>
      <c r="AR77" s="10">
        <v>0</v>
      </c>
      <c r="AS77" s="10">
        <v>1</v>
      </c>
      <c r="AT77" s="10">
        <v>0</v>
      </c>
      <c r="AU77" s="10">
        <v>0</v>
      </c>
      <c r="AV77" s="146">
        <v>0</v>
      </c>
    </row>
    <row r="78" spans="1:48" ht="12.75">
      <c r="A78" s="34">
        <v>77</v>
      </c>
      <c r="B78" s="165">
        <v>46.11835</v>
      </c>
      <c r="C78" s="165">
        <v>-91.21062</v>
      </c>
      <c r="D78" s="10">
        <v>4</v>
      </c>
      <c r="E78" s="10" t="s">
        <v>563</v>
      </c>
      <c r="F78" s="149">
        <v>1</v>
      </c>
      <c r="G78" s="34">
        <v>1</v>
      </c>
      <c r="H78" s="96">
        <v>5</v>
      </c>
      <c r="I78" s="10">
        <v>3</v>
      </c>
      <c r="J78" s="36">
        <v>0</v>
      </c>
      <c r="K78" s="36">
        <v>0</v>
      </c>
      <c r="L78" s="36">
        <v>4</v>
      </c>
      <c r="M78" s="36">
        <v>0</v>
      </c>
      <c r="N78" s="10">
        <v>0</v>
      </c>
      <c r="O78" s="10">
        <v>0</v>
      </c>
      <c r="P78" s="10">
        <v>4</v>
      </c>
      <c r="Q78" s="10">
        <v>0</v>
      </c>
      <c r="R78" s="10">
        <v>0</v>
      </c>
      <c r="S78" s="10">
        <v>0</v>
      </c>
      <c r="T78" s="10">
        <v>1</v>
      </c>
      <c r="U78" s="10">
        <v>1</v>
      </c>
      <c r="V78" s="10">
        <v>3</v>
      </c>
      <c r="W78" s="10">
        <v>0</v>
      </c>
      <c r="X78" s="10">
        <v>0</v>
      </c>
      <c r="Y78" s="10">
        <v>4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2</v>
      </c>
      <c r="AJ78" s="10">
        <v>1</v>
      </c>
      <c r="AK78" s="10">
        <v>0</v>
      </c>
      <c r="AL78" s="10">
        <v>0</v>
      </c>
      <c r="AM78" s="10">
        <v>0</v>
      </c>
      <c r="AN78" s="10">
        <v>4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46">
        <v>0</v>
      </c>
    </row>
    <row r="79" spans="1:48" ht="12.75">
      <c r="A79" s="34">
        <v>78</v>
      </c>
      <c r="B79" s="165">
        <v>46.11859</v>
      </c>
      <c r="C79" s="165">
        <v>-91.21808</v>
      </c>
      <c r="D79" s="10">
        <v>1</v>
      </c>
      <c r="E79" s="10" t="s">
        <v>564</v>
      </c>
      <c r="F79" s="149">
        <v>1</v>
      </c>
      <c r="G79" s="34">
        <v>1</v>
      </c>
      <c r="H79" s="96">
        <v>4</v>
      </c>
      <c r="I79" s="10">
        <v>2</v>
      </c>
      <c r="J79" s="36">
        <v>0</v>
      </c>
      <c r="K79" s="36">
        <v>1</v>
      </c>
      <c r="L79" s="36">
        <v>0</v>
      </c>
      <c r="M79" s="36">
        <v>0</v>
      </c>
      <c r="N79" s="10">
        <v>2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1</v>
      </c>
      <c r="V79" s="10">
        <v>0</v>
      </c>
      <c r="W79" s="10">
        <v>4</v>
      </c>
      <c r="X79" s="10">
        <v>2</v>
      </c>
      <c r="Y79" s="10">
        <v>0</v>
      </c>
      <c r="Z79" s="10">
        <v>0</v>
      </c>
      <c r="AA79" s="10">
        <v>0</v>
      </c>
      <c r="AB79" s="10">
        <v>0</v>
      </c>
      <c r="AC79" s="10">
        <v>4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4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46">
        <v>2</v>
      </c>
    </row>
    <row r="80" spans="1:48" ht="12.75">
      <c r="A80" s="34">
        <v>79</v>
      </c>
      <c r="B80" s="165">
        <v>46.1186</v>
      </c>
      <c r="C80" s="165">
        <v>-91.21761</v>
      </c>
      <c r="D80" s="10">
        <v>8</v>
      </c>
      <c r="E80" s="10" t="s">
        <v>563</v>
      </c>
      <c r="F80" s="149">
        <v>1</v>
      </c>
      <c r="G80" s="34">
        <v>0</v>
      </c>
      <c r="H80" s="96">
        <v>0</v>
      </c>
      <c r="I80" s="10">
        <v>0</v>
      </c>
      <c r="J80" s="36">
        <v>0</v>
      </c>
      <c r="K80" s="36">
        <v>0</v>
      </c>
      <c r="L80" s="36">
        <v>0</v>
      </c>
      <c r="M80" s="36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46">
        <v>1</v>
      </c>
    </row>
    <row r="81" spans="1:48" ht="12.75">
      <c r="A81" s="34">
        <v>80</v>
      </c>
      <c r="B81" s="165">
        <v>46.1186</v>
      </c>
      <c r="C81" s="165">
        <v>-91.21715</v>
      </c>
      <c r="D81" s="10">
        <v>21</v>
      </c>
      <c r="E81" s="10">
        <v>0</v>
      </c>
      <c r="F81" s="149">
        <v>0</v>
      </c>
      <c r="G81" s="34">
        <v>0</v>
      </c>
      <c r="H81" s="96">
        <v>0</v>
      </c>
      <c r="I81" s="10">
        <v>0</v>
      </c>
      <c r="J81" s="36">
        <v>0</v>
      </c>
      <c r="K81" s="36">
        <v>0</v>
      </c>
      <c r="L81" s="36">
        <v>0</v>
      </c>
      <c r="M81" s="36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46">
        <v>0</v>
      </c>
    </row>
    <row r="82" spans="1:48" ht="12.75">
      <c r="A82" s="34">
        <v>81</v>
      </c>
      <c r="B82" s="165">
        <v>46.11861</v>
      </c>
      <c r="C82" s="165">
        <v>-91.21668</v>
      </c>
      <c r="D82" s="10">
        <v>23.5</v>
      </c>
      <c r="E82" s="10">
        <v>0</v>
      </c>
      <c r="F82" s="149">
        <v>0</v>
      </c>
      <c r="G82" s="34">
        <v>0</v>
      </c>
      <c r="H82" s="96">
        <v>0</v>
      </c>
      <c r="I82" s="10">
        <v>0</v>
      </c>
      <c r="J82" s="36">
        <v>0</v>
      </c>
      <c r="K82" s="36">
        <v>0</v>
      </c>
      <c r="L82" s="36">
        <v>0</v>
      </c>
      <c r="M82" s="36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46">
        <v>0</v>
      </c>
    </row>
    <row r="83" spans="1:48" ht="12.75">
      <c r="A83" s="34">
        <v>82</v>
      </c>
      <c r="B83" s="165">
        <v>46.11862</v>
      </c>
      <c r="C83" s="165">
        <v>-91.21621</v>
      </c>
      <c r="D83" s="10">
        <v>20</v>
      </c>
      <c r="E83" s="10">
        <v>0</v>
      </c>
      <c r="F83" s="149">
        <v>0</v>
      </c>
      <c r="G83" s="34">
        <v>0</v>
      </c>
      <c r="H83" s="96">
        <v>0</v>
      </c>
      <c r="I83" s="10">
        <v>0</v>
      </c>
      <c r="J83" s="36">
        <v>0</v>
      </c>
      <c r="K83" s="36">
        <v>0</v>
      </c>
      <c r="L83" s="36">
        <v>0</v>
      </c>
      <c r="M83" s="36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46">
        <v>0</v>
      </c>
    </row>
    <row r="84" spans="1:48" ht="12.75">
      <c r="A84" s="34">
        <v>83</v>
      </c>
      <c r="B84" s="165">
        <v>46.11862</v>
      </c>
      <c r="C84" s="165">
        <v>-91.21575</v>
      </c>
      <c r="D84" s="10">
        <v>26.5</v>
      </c>
      <c r="E84" s="10">
        <v>0</v>
      </c>
      <c r="F84" s="149">
        <v>0</v>
      </c>
      <c r="G84" s="34">
        <v>0</v>
      </c>
      <c r="H84" s="96">
        <v>0</v>
      </c>
      <c r="I84" s="10">
        <v>0</v>
      </c>
      <c r="J84" s="36">
        <v>0</v>
      </c>
      <c r="K84" s="36">
        <v>0</v>
      </c>
      <c r="L84" s="36">
        <v>0</v>
      </c>
      <c r="M84" s="36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46">
        <v>0</v>
      </c>
    </row>
    <row r="85" spans="1:48" ht="12.75">
      <c r="A85" s="34">
        <v>84</v>
      </c>
      <c r="B85" s="165">
        <v>46.11862</v>
      </c>
      <c r="C85" s="165">
        <v>-91.21528</v>
      </c>
      <c r="D85" s="10">
        <v>23</v>
      </c>
      <c r="E85" s="10">
        <v>0</v>
      </c>
      <c r="F85" s="149">
        <v>0</v>
      </c>
      <c r="G85" s="34">
        <v>0</v>
      </c>
      <c r="H85" s="96">
        <v>0</v>
      </c>
      <c r="I85" s="10">
        <v>0</v>
      </c>
      <c r="J85" s="36">
        <v>0</v>
      </c>
      <c r="K85" s="36">
        <v>0</v>
      </c>
      <c r="L85" s="36">
        <v>0</v>
      </c>
      <c r="M85" s="36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46">
        <v>0</v>
      </c>
    </row>
    <row r="86" spans="1:48" ht="12.75">
      <c r="A86" s="34">
        <v>85</v>
      </c>
      <c r="B86" s="165">
        <v>46.11863</v>
      </c>
      <c r="C86" s="165">
        <v>-91.21482</v>
      </c>
      <c r="D86" s="10">
        <v>14</v>
      </c>
      <c r="E86" s="10" t="s">
        <v>563</v>
      </c>
      <c r="F86" s="149">
        <v>1</v>
      </c>
      <c r="G86" s="34">
        <v>0</v>
      </c>
      <c r="H86" s="96">
        <v>0</v>
      </c>
      <c r="I86" s="10">
        <v>0</v>
      </c>
      <c r="J86" s="36">
        <v>0</v>
      </c>
      <c r="K86" s="36">
        <v>0</v>
      </c>
      <c r="L86" s="36">
        <v>0</v>
      </c>
      <c r="M86" s="36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46">
        <v>0</v>
      </c>
    </row>
    <row r="87" spans="1:48" ht="12.75">
      <c r="A87" s="34">
        <v>86</v>
      </c>
      <c r="B87" s="165">
        <v>46.11863</v>
      </c>
      <c r="C87" s="165">
        <v>-91.21435</v>
      </c>
      <c r="D87" s="10">
        <v>5.5</v>
      </c>
      <c r="E87" s="10" t="s">
        <v>564</v>
      </c>
      <c r="F87" s="149">
        <v>1</v>
      </c>
      <c r="G87" s="34">
        <v>1</v>
      </c>
      <c r="H87" s="96">
        <v>2</v>
      </c>
      <c r="I87" s="10">
        <v>2</v>
      </c>
      <c r="J87" s="36">
        <v>0</v>
      </c>
      <c r="K87" s="36">
        <v>0</v>
      </c>
      <c r="L87" s="36">
        <v>2</v>
      </c>
      <c r="M87" s="36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4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4</v>
      </c>
      <c r="AG87" s="10">
        <v>0</v>
      </c>
      <c r="AH87" s="10">
        <v>0</v>
      </c>
      <c r="AI87" s="10">
        <v>0</v>
      </c>
      <c r="AJ87" s="10">
        <v>1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46">
        <v>0</v>
      </c>
    </row>
    <row r="88" spans="1:48" ht="12.75">
      <c r="A88" s="34">
        <v>87</v>
      </c>
      <c r="B88" s="165">
        <v>46.11864</v>
      </c>
      <c r="C88" s="165">
        <v>-91.21388</v>
      </c>
      <c r="D88" s="10">
        <v>4.5</v>
      </c>
      <c r="E88" s="10" t="s">
        <v>563</v>
      </c>
      <c r="F88" s="149">
        <v>1</v>
      </c>
      <c r="G88" s="34">
        <v>1</v>
      </c>
      <c r="H88" s="96">
        <v>4</v>
      </c>
      <c r="I88" s="10">
        <v>3</v>
      </c>
      <c r="J88" s="36">
        <v>0</v>
      </c>
      <c r="K88" s="36">
        <v>0</v>
      </c>
      <c r="L88" s="36">
        <v>0</v>
      </c>
      <c r="M88" s="36">
        <v>0</v>
      </c>
      <c r="N88" s="10">
        <v>0</v>
      </c>
      <c r="O88" s="10">
        <v>0</v>
      </c>
      <c r="P88" s="10">
        <v>0</v>
      </c>
      <c r="Q88" s="10">
        <v>2</v>
      </c>
      <c r="R88" s="10">
        <v>0</v>
      </c>
      <c r="S88" s="10">
        <v>2</v>
      </c>
      <c r="T88" s="10">
        <v>0</v>
      </c>
      <c r="U88" s="10">
        <v>2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1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46">
        <v>0</v>
      </c>
    </row>
    <row r="89" spans="1:48" ht="12.75">
      <c r="A89" s="34">
        <v>88</v>
      </c>
      <c r="B89" s="165">
        <v>46.11864</v>
      </c>
      <c r="C89" s="165">
        <v>-91.21342</v>
      </c>
      <c r="D89" s="10">
        <v>11.5</v>
      </c>
      <c r="E89" s="10" t="s">
        <v>563</v>
      </c>
      <c r="F89" s="149">
        <v>1</v>
      </c>
      <c r="G89" s="34">
        <v>0</v>
      </c>
      <c r="H89" s="96">
        <v>0</v>
      </c>
      <c r="I89" s="10">
        <v>0</v>
      </c>
      <c r="J89" s="36">
        <v>0</v>
      </c>
      <c r="K89" s="36">
        <v>0</v>
      </c>
      <c r="L89" s="36">
        <v>0</v>
      </c>
      <c r="M89" s="36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46">
        <v>0</v>
      </c>
    </row>
    <row r="90" spans="1:48" ht="12.75">
      <c r="A90" s="34">
        <v>89</v>
      </c>
      <c r="B90" s="165">
        <v>46.11865</v>
      </c>
      <c r="C90" s="165">
        <v>-91.21295</v>
      </c>
      <c r="D90" s="10">
        <v>16.5</v>
      </c>
      <c r="E90" s="10">
        <v>0</v>
      </c>
      <c r="F90" s="149">
        <v>0</v>
      </c>
      <c r="G90" s="34">
        <v>0</v>
      </c>
      <c r="H90" s="96">
        <v>0</v>
      </c>
      <c r="I90" s="10">
        <v>0</v>
      </c>
      <c r="J90" s="36">
        <v>0</v>
      </c>
      <c r="K90" s="36">
        <v>0</v>
      </c>
      <c r="L90" s="36">
        <v>0</v>
      </c>
      <c r="M90" s="36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46">
        <v>0</v>
      </c>
    </row>
    <row r="91" spans="1:48" ht="12.75">
      <c r="A91" s="34">
        <v>90</v>
      </c>
      <c r="B91" s="165">
        <v>46.11865</v>
      </c>
      <c r="C91" s="165">
        <v>-91.21249</v>
      </c>
      <c r="D91" s="10">
        <v>12.5</v>
      </c>
      <c r="E91" s="10" t="s">
        <v>563</v>
      </c>
      <c r="F91" s="149">
        <v>1</v>
      </c>
      <c r="G91" s="34">
        <v>0</v>
      </c>
      <c r="H91" s="96">
        <v>0</v>
      </c>
      <c r="I91" s="10">
        <v>0</v>
      </c>
      <c r="J91" s="36">
        <v>0</v>
      </c>
      <c r="K91" s="36">
        <v>0</v>
      </c>
      <c r="L91" s="36">
        <v>0</v>
      </c>
      <c r="M91" s="36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46">
        <v>0</v>
      </c>
    </row>
    <row r="92" spans="1:48" ht="12.75">
      <c r="A92" s="34">
        <v>91</v>
      </c>
      <c r="B92" s="165">
        <v>46.11866</v>
      </c>
      <c r="C92" s="165">
        <v>-91.21202</v>
      </c>
      <c r="D92" s="10">
        <v>8</v>
      </c>
      <c r="E92" s="10" t="s">
        <v>563</v>
      </c>
      <c r="F92" s="149">
        <v>1</v>
      </c>
      <c r="G92" s="34">
        <v>0</v>
      </c>
      <c r="H92" s="96">
        <v>0</v>
      </c>
      <c r="I92" s="10">
        <v>0</v>
      </c>
      <c r="J92" s="36">
        <v>0</v>
      </c>
      <c r="K92" s="36">
        <v>0</v>
      </c>
      <c r="L92" s="36">
        <v>0</v>
      </c>
      <c r="M92" s="36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46">
        <v>0</v>
      </c>
    </row>
    <row r="93" spans="1:48" ht="12.75">
      <c r="A93" s="34">
        <v>92</v>
      </c>
      <c r="B93" s="165">
        <v>46.11866</v>
      </c>
      <c r="C93" s="165">
        <v>-91.21156</v>
      </c>
      <c r="D93" s="10">
        <v>6.5</v>
      </c>
      <c r="E93" s="10" t="s">
        <v>563</v>
      </c>
      <c r="F93" s="149">
        <v>1</v>
      </c>
      <c r="G93" s="34">
        <v>1</v>
      </c>
      <c r="H93" s="96">
        <v>5</v>
      </c>
      <c r="I93" s="10">
        <v>2</v>
      </c>
      <c r="J93" s="36">
        <v>0</v>
      </c>
      <c r="K93" s="36">
        <v>0</v>
      </c>
      <c r="L93" s="36">
        <v>1</v>
      </c>
      <c r="M93" s="36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2</v>
      </c>
      <c r="T93" s="10">
        <v>1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1</v>
      </c>
      <c r="AH93" s="10">
        <v>0</v>
      </c>
      <c r="AI93" s="10">
        <v>0</v>
      </c>
      <c r="AJ93" s="10">
        <v>1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46">
        <v>0</v>
      </c>
    </row>
    <row r="94" spans="1:48" ht="12.75">
      <c r="A94" s="34">
        <v>93</v>
      </c>
      <c r="B94" s="165">
        <v>46.11867</v>
      </c>
      <c r="C94" s="165">
        <v>-91.21109</v>
      </c>
      <c r="D94" s="10">
        <v>8</v>
      </c>
      <c r="E94" s="10" t="s">
        <v>563</v>
      </c>
      <c r="F94" s="149">
        <v>1</v>
      </c>
      <c r="G94" s="34">
        <v>1</v>
      </c>
      <c r="H94" s="96">
        <v>1</v>
      </c>
      <c r="I94" s="10">
        <v>2</v>
      </c>
      <c r="J94" s="36">
        <v>0</v>
      </c>
      <c r="K94" s="36">
        <v>0</v>
      </c>
      <c r="L94" s="36">
        <v>0</v>
      </c>
      <c r="M94" s="36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2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46">
        <v>0</v>
      </c>
    </row>
    <row r="95" spans="1:48" ht="12.75">
      <c r="A95" s="34">
        <v>94</v>
      </c>
      <c r="B95" s="165">
        <v>46.11867</v>
      </c>
      <c r="C95" s="165">
        <v>-91.21062</v>
      </c>
      <c r="D95" s="10">
        <v>5</v>
      </c>
      <c r="E95" s="10" t="s">
        <v>563</v>
      </c>
      <c r="F95" s="149">
        <v>1</v>
      </c>
      <c r="G95" s="34">
        <v>1</v>
      </c>
      <c r="H95" s="96">
        <v>7</v>
      </c>
      <c r="I95" s="10">
        <v>2</v>
      </c>
      <c r="J95" s="36">
        <v>0</v>
      </c>
      <c r="K95" s="36">
        <v>0</v>
      </c>
      <c r="L95" s="36">
        <v>1</v>
      </c>
      <c r="M95" s="36">
        <v>0</v>
      </c>
      <c r="N95" s="10">
        <v>0</v>
      </c>
      <c r="O95" s="10">
        <v>0</v>
      </c>
      <c r="P95" s="10">
        <v>0</v>
      </c>
      <c r="Q95" s="10">
        <v>2</v>
      </c>
      <c r="R95" s="10">
        <v>0</v>
      </c>
      <c r="S95" s="10">
        <v>1</v>
      </c>
      <c r="T95" s="10">
        <v>1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1</v>
      </c>
      <c r="AC95" s="10">
        <v>0</v>
      </c>
      <c r="AD95" s="10">
        <v>0</v>
      </c>
      <c r="AE95" s="10">
        <v>0</v>
      </c>
      <c r="AF95" s="10">
        <v>0</v>
      </c>
      <c r="AG95" s="10">
        <v>1</v>
      </c>
      <c r="AH95" s="10">
        <v>0</v>
      </c>
      <c r="AI95" s="10">
        <v>1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46">
        <v>1</v>
      </c>
    </row>
    <row r="96" spans="1:48" ht="12.75">
      <c r="A96" s="34">
        <v>95</v>
      </c>
      <c r="B96" s="165">
        <v>46.11892</v>
      </c>
      <c r="C96" s="165">
        <v>-91.21762</v>
      </c>
      <c r="D96" s="10">
        <v>12</v>
      </c>
      <c r="E96" s="10" t="s">
        <v>563</v>
      </c>
      <c r="F96" s="149">
        <v>1</v>
      </c>
      <c r="G96" s="34">
        <v>0</v>
      </c>
      <c r="H96" s="96">
        <v>0</v>
      </c>
      <c r="I96" s="10">
        <v>0</v>
      </c>
      <c r="J96" s="36">
        <v>0</v>
      </c>
      <c r="K96" s="36">
        <v>0</v>
      </c>
      <c r="L96" s="36">
        <v>0</v>
      </c>
      <c r="M96" s="36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46">
        <v>0</v>
      </c>
    </row>
    <row r="97" spans="1:48" ht="12.75">
      <c r="A97" s="34">
        <v>96</v>
      </c>
      <c r="B97" s="165">
        <v>46.11893</v>
      </c>
      <c r="C97" s="165">
        <v>-91.21715</v>
      </c>
      <c r="D97" s="10">
        <v>27</v>
      </c>
      <c r="E97" s="10">
        <v>0</v>
      </c>
      <c r="F97" s="149">
        <v>0</v>
      </c>
      <c r="G97" s="34">
        <v>0</v>
      </c>
      <c r="H97" s="96">
        <v>0</v>
      </c>
      <c r="I97" s="10">
        <v>0</v>
      </c>
      <c r="J97" s="36">
        <v>0</v>
      </c>
      <c r="K97" s="36">
        <v>0</v>
      </c>
      <c r="L97" s="36">
        <v>0</v>
      </c>
      <c r="M97" s="36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46">
        <v>0</v>
      </c>
    </row>
    <row r="98" spans="1:48" ht="12.75">
      <c r="A98" s="34">
        <v>97</v>
      </c>
      <c r="B98" s="165">
        <v>46.11893</v>
      </c>
      <c r="C98" s="165">
        <v>-91.21669</v>
      </c>
      <c r="D98" s="10">
        <v>26.5</v>
      </c>
      <c r="E98" s="10">
        <v>0</v>
      </c>
      <c r="F98" s="149">
        <v>0</v>
      </c>
      <c r="G98" s="34">
        <v>0</v>
      </c>
      <c r="H98" s="96">
        <v>0</v>
      </c>
      <c r="I98" s="10">
        <v>0</v>
      </c>
      <c r="J98" s="36">
        <v>0</v>
      </c>
      <c r="K98" s="36">
        <v>0</v>
      </c>
      <c r="L98" s="36">
        <v>0</v>
      </c>
      <c r="M98" s="36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46">
        <v>0</v>
      </c>
    </row>
    <row r="99" spans="1:48" ht="12.75">
      <c r="A99" s="34">
        <v>98</v>
      </c>
      <c r="B99" s="165">
        <v>46.11894</v>
      </c>
      <c r="C99" s="165">
        <v>-91.21622</v>
      </c>
      <c r="D99" s="10">
        <v>21</v>
      </c>
      <c r="E99" s="10">
        <v>0</v>
      </c>
      <c r="F99" s="149">
        <v>0</v>
      </c>
      <c r="G99" s="34">
        <v>0</v>
      </c>
      <c r="H99" s="96">
        <v>0</v>
      </c>
      <c r="I99" s="10">
        <v>0</v>
      </c>
      <c r="J99" s="36">
        <v>0</v>
      </c>
      <c r="K99" s="36">
        <v>0</v>
      </c>
      <c r="L99" s="36">
        <v>0</v>
      </c>
      <c r="M99" s="36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46">
        <v>0</v>
      </c>
    </row>
    <row r="100" spans="1:48" ht="12.75">
      <c r="A100" s="34">
        <v>99</v>
      </c>
      <c r="B100" s="165">
        <v>46.11894</v>
      </c>
      <c r="C100" s="165">
        <v>-91.21575</v>
      </c>
      <c r="D100" s="10">
        <v>25</v>
      </c>
      <c r="E100" s="10">
        <v>0</v>
      </c>
      <c r="F100" s="149">
        <v>0</v>
      </c>
      <c r="G100" s="34">
        <v>0</v>
      </c>
      <c r="H100" s="96">
        <v>0</v>
      </c>
      <c r="I100" s="10">
        <v>0</v>
      </c>
      <c r="J100" s="36">
        <v>0</v>
      </c>
      <c r="K100" s="36">
        <v>0</v>
      </c>
      <c r="L100" s="36">
        <v>0</v>
      </c>
      <c r="M100" s="36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46">
        <v>0</v>
      </c>
    </row>
    <row r="101" spans="1:48" ht="12.75">
      <c r="A101" s="34">
        <v>100</v>
      </c>
      <c r="B101" s="165">
        <v>46.11895</v>
      </c>
      <c r="C101" s="165">
        <v>-91.21529</v>
      </c>
      <c r="D101" s="10">
        <v>24</v>
      </c>
      <c r="E101" s="10">
        <v>0</v>
      </c>
      <c r="F101" s="149">
        <v>0</v>
      </c>
      <c r="G101" s="34">
        <v>0</v>
      </c>
      <c r="H101" s="96">
        <v>0</v>
      </c>
      <c r="I101" s="10">
        <v>0</v>
      </c>
      <c r="J101" s="36">
        <v>0</v>
      </c>
      <c r="K101" s="36">
        <v>0</v>
      </c>
      <c r="L101" s="36">
        <v>0</v>
      </c>
      <c r="M101" s="36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46">
        <v>0</v>
      </c>
    </row>
    <row r="102" spans="1:48" ht="12.75">
      <c r="A102" s="34">
        <v>101</v>
      </c>
      <c r="B102" s="165">
        <v>46.11895</v>
      </c>
      <c r="C102" s="165">
        <v>-91.21482</v>
      </c>
      <c r="D102" s="10">
        <v>18.5</v>
      </c>
      <c r="E102" s="10">
        <v>0</v>
      </c>
      <c r="F102" s="149">
        <v>0</v>
      </c>
      <c r="G102" s="34">
        <v>0</v>
      </c>
      <c r="H102" s="96">
        <v>0</v>
      </c>
      <c r="I102" s="10">
        <v>0</v>
      </c>
      <c r="J102" s="36">
        <v>0</v>
      </c>
      <c r="K102" s="36">
        <v>0</v>
      </c>
      <c r="L102" s="36">
        <v>0</v>
      </c>
      <c r="M102" s="36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46">
        <v>0</v>
      </c>
    </row>
    <row r="103" spans="1:48" ht="12.75">
      <c r="A103" s="34">
        <v>102</v>
      </c>
      <c r="B103" s="165">
        <v>46.11896</v>
      </c>
      <c r="C103" s="165">
        <v>-91.21436</v>
      </c>
      <c r="D103" s="10">
        <v>5.5</v>
      </c>
      <c r="E103" s="10" t="s">
        <v>565</v>
      </c>
      <c r="F103" s="149">
        <v>1</v>
      </c>
      <c r="G103" s="34">
        <v>1</v>
      </c>
      <c r="H103" s="96">
        <v>3</v>
      </c>
      <c r="I103" s="10">
        <v>2</v>
      </c>
      <c r="J103" s="36">
        <v>0</v>
      </c>
      <c r="K103" s="36">
        <v>0</v>
      </c>
      <c r="L103" s="36">
        <v>1</v>
      </c>
      <c r="M103" s="36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2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1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46">
        <v>0</v>
      </c>
    </row>
    <row r="104" spans="1:48" ht="12.75">
      <c r="A104" s="34">
        <v>103</v>
      </c>
      <c r="B104" s="165">
        <v>46.11896</v>
      </c>
      <c r="C104" s="165">
        <v>-91.21389</v>
      </c>
      <c r="D104" s="10">
        <v>4.5</v>
      </c>
      <c r="E104" s="10" t="s">
        <v>563</v>
      </c>
      <c r="F104" s="149">
        <v>1</v>
      </c>
      <c r="G104" s="34">
        <v>1</v>
      </c>
      <c r="H104" s="96">
        <v>9</v>
      </c>
      <c r="I104" s="10">
        <v>3</v>
      </c>
      <c r="J104" s="36">
        <v>0</v>
      </c>
      <c r="K104" s="36">
        <v>0</v>
      </c>
      <c r="L104" s="36">
        <v>0</v>
      </c>
      <c r="M104" s="36">
        <v>0</v>
      </c>
      <c r="N104" s="10">
        <v>0</v>
      </c>
      <c r="O104" s="10">
        <v>1</v>
      </c>
      <c r="P104" s="10">
        <v>0</v>
      </c>
      <c r="Q104" s="10">
        <v>3</v>
      </c>
      <c r="R104" s="10">
        <v>0</v>
      </c>
      <c r="S104" s="10">
        <v>1</v>
      </c>
      <c r="T104" s="10">
        <v>2</v>
      </c>
      <c r="U104" s="10">
        <v>2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1</v>
      </c>
      <c r="AG104" s="10">
        <v>1</v>
      </c>
      <c r="AH104" s="10">
        <v>0</v>
      </c>
      <c r="AI104" s="10">
        <v>0</v>
      </c>
      <c r="AJ104" s="10">
        <v>1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1</v>
      </c>
      <c r="AT104" s="10">
        <v>0</v>
      </c>
      <c r="AU104" s="10">
        <v>0</v>
      </c>
      <c r="AV104" s="146">
        <v>0</v>
      </c>
    </row>
    <row r="105" spans="1:48" ht="12.75">
      <c r="A105" s="34">
        <v>104</v>
      </c>
      <c r="B105" s="165">
        <v>46.11897</v>
      </c>
      <c r="C105" s="165">
        <v>-91.21343</v>
      </c>
      <c r="D105" s="10">
        <v>10.5</v>
      </c>
      <c r="E105" s="10" t="s">
        <v>563</v>
      </c>
      <c r="F105" s="149">
        <v>1</v>
      </c>
      <c r="G105" s="34">
        <v>0</v>
      </c>
      <c r="H105" s="96">
        <v>0</v>
      </c>
      <c r="I105" s="10">
        <v>0</v>
      </c>
      <c r="J105" s="36">
        <v>0</v>
      </c>
      <c r="K105" s="36">
        <v>0</v>
      </c>
      <c r="L105" s="36">
        <v>0</v>
      </c>
      <c r="M105" s="36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46">
        <v>0</v>
      </c>
    </row>
    <row r="106" spans="1:48" ht="12.75">
      <c r="A106" s="34">
        <v>105</v>
      </c>
      <c r="B106" s="165">
        <v>46.11897</v>
      </c>
      <c r="C106" s="165">
        <v>-91.21296</v>
      </c>
      <c r="D106" s="10">
        <v>16.5</v>
      </c>
      <c r="E106" s="10">
        <v>0</v>
      </c>
      <c r="F106" s="149">
        <v>0</v>
      </c>
      <c r="G106" s="34">
        <v>0</v>
      </c>
      <c r="H106" s="96">
        <v>0</v>
      </c>
      <c r="I106" s="10">
        <v>0</v>
      </c>
      <c r="J106" s="36">
        <v>0</v>
      </c>
      <c r="K106" s="36">
        <v>0</v>
      </c>
      <c r="L106" s="36">
        <v>0</v>
      </c>
      <c r="M106" s="36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46">
        <v>0</v>
      </c>
    </row>
    <row r="107" spans="1:48" ht="12.75">
      <c r="A107" s="34">
        <v>106</v>
      </c>
      <c r="B107" s="165">
        <v>46.11898</v>
      </c>
      <c r="C107" s="165">
        <v>-91.2125</v>
      </c>
      <c r="D107" s="10">
        <v>16</v>
      </c>
      <c r="E107" s="10">
        <v>0</v>
      </c>
      <c r="F107" s="149">
        <v>0</v>
      </c>
      <c r="G107" s="34">
        <v>0</v>
      </c>
      <c r="H107" s="96">
        <v>0</v>
      </c>
      <c r="I107" s="10">
        <v>0</v>
      </c>
      <c r="J107" s="36">
        <v>0</v>
      </c>
      <c r="K107" s="36">
        <v>0</v>
      </c>
      <c r="L107" s="36">
        <v>0</v>
      </c>
      <c r="M107" s="36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46">
        <v>0</v>
      </c>
    </row>
    <row r="108" spans="1:48" ht="12.75">
      <c r="A108" s="34">
        <v>107</v>
      </c>
      <c r="B108" s="165">
        <v>46.11898</v>
      </c>
      <c r="C108" s="165">
        <v>-91.21203</v>
      </c>
      <c r="D108" s="10">
        <v>14.5</v>
      </c>
      <c r="E108" s="10" t="s">
        <v>563</v>
      </c>
      <c r="F108" s="149">
        <v>0</v>
      </c>
      <c r="G108" s="34">
        <v>0</v>
      </c>
      <c r="H108" s="96">
        <v>0</v>
      </c>
      <c r="I108" s="10">
        <v>0</v>
      </c>
      <c r="J108" s="36">
        <v>0</v>
      </c>
      <c r="K108" s="36">
        <v>0</v>
      </c>
      <c r="L108" s="36">
        <v>0</v>
      </c>
      <c r="M108" s="36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46">
        <v>0</v>
      </c>
    </row>
    <row r="109" spans="1:48" ht="12.75">
      <c r="A109" s="34">
        <v>108</v>
      </c>
      <c r="B109" s="165">
        <v>46.11899</v>
      </c>
      <c r="C109" s="165">
        <v>-91.21156</v>
      </c>
      <c r="D109" s="10">
        <v>11</v>
      </c>
      <c r="E109" s="10" t="s">
        <v>563</v>
      </c>
      <c r="F109" s="149">
        <v>1</v>
      </c>
      <c r="G109" s="34">
        <v>0</v>
      </c>
      <c r="H109" s="96">
        <v>0</v>
      </c>
      <c r="I109" s="10">
        <v>0</v>
      </c>
      <c r="J109" s="36">
        <v>0</v>
      </c>
      <c r="K109" s="36">
        <v>0</v>
      </c>
      <c r="L109" s="36">
        <v>0</v>
      </c>
      <c r="M109" s="36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46">
        <v>0</v>
      </c>
    </row>
    <row r="110" spans="1:48" ht="12.75">
      <c r="A110" s="34">
        <v>109</v>
      </c>
      <c r="B110" s="165">
        <v>46.11899</v>
      </c>
      <c r="C110" s="165">
        <v>-91.2111</v>
      </c>
      <c r="D110" s="10">
        <v>10</v>
      </c>
      <c r="E110" s="10" t="s">
        <v>563</v>
      </c>
      <c r="F110" s="149">
        <v>1</v>
      </c>
      <c r="G110" s="34">
        <v>0</v>
      </c>
      <c r="H110" s="96">
        <v>0</v>
      </c>
      <c r="I110" s="10">
        <v>0</v>
      </c>
      <c r="J110" s="36">
        <v>0</v>
      </c>
      <c r="K110" s="36">
        <v>0</v>
      </c>
      <c r="L110" s="36">
        <v>0</v>
      </c>
      <c r="M110" s="36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46">
        <v>0</v>
      </c>
    </row>
    <row r="111" spans="1:48" ht="12.75">
      <c r="A111" s="34">
        <v>110</v>
      </c>
      <c r="B111" s="165">
        <v>46.119</v>
      </c>
      <c r="C111" s="165">
        <v>-91.21063</v>
      </c>
      <c r="D111" s="10">
        <v>7</v>
      </c>
      <c r="E111" s="10" t="s">
        <v>563</v>
      </c>
      <c r="F111" s="149">
        <v>1</v>
      </c>
      <c r="G111" s="34">
        <v>1</v>
      </c>
      <c r="H111" s="96">
        <v>3</v>
      </c>
      <c r="I111" s="10">
        <v>1</v>
      </c>
      <c r="J111" s="36">
        <v>0</v>
      </c>
      <c r="K111" s="36">
        <v>0</v>
      </c>
      <c r="L111" s="36">
        <v>0</v>
      </c>
      <c r="M111" s="36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1</v>
      </c>
      <c r="AG111" s="10">
        <v>1</v>
      </c>
      <c r="AH111" s="10">
        <v>0</v>
      </c>
      <c r="AI111" s="10">
        <v>1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46">
        <v>0</v>
      </c>
    </row>
    <row r="112" spans="1:48" ht="12.75">
      <c r="A112" s="34">
        <v>111</v>
      </c>
      <c r="B112" s="165">
        <v>46.11925</v>
      </c>
      <c r="C112" s="165">
        <v>-91.21763</v>
      </c>
      <c r="D112" s="10">
        <v>14.5</v>
      </c>
      <c r="E112" s="10" t="s">
        <v>563</v>
      </c>
      <c r="F112" s="149">
        <v>0</v>
      </c>
      <c r="G112" s="34">
        <v>0</v>
      </c>
      <c r="H112" s="96">
        <v>0</v>
      </c>
      <c r="I112" s="10">
        <v>0</v>
      </c>
      <c r="J112" s="36">
        <v>0</v>
      </c>
      <c r="K112" s="36">
        <v>0</v>
      </c>
      <c r="L112" s="36">
        <v>0</v>
      </c>
      <c r="M112" s="36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46">
        <v>0</v>
      </c>
    </row>
    <row r="113" spans="1:48" ht="12.75">
      <c r="A113" s="34">
        <v>112</v>
      </c>
      <c r="B113" s="165">
        <v>46.11925</v>
      </c>
      <c r="C113" s="165">
        <v>-91.21716</v>
      </c>
      <c r="D113" s="10">
        <v>29</v>
      </c>
      <c r="E113" s="10">
        <v>0</v>
      </c>
      <c r="F113" s="149">
        <v>0</v>
      </c>
      <c r="G113" s="34">
        <v>0</v>
      </c>
      <c r="H113" s="96">
        <v>0</v>
      </c>
      <c r="I113" s="10">
        <v>0</v>
      </c>
      <c r="J113" s="36">
        <v>0</v>
      </c>
      <c r="K113" s="36">
        <v>0</v>
      </c>
      <c r="L113" s="36">
        <v>0</v>
      </c>
      <c r="M113" s="36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46">
        <v>0</v>
      </c>
    </row>
    <row r="114" spans="1:48" ht="12.75">
      <c r="A114" s="34">
        <v>113</v>
      </c>
      <c r="B114" s="165">
        <v>46.11926</v>
      </c>
      <c r="C114" s="165">
        <v>-91.21669</v>
      </c>
      <c r="D114" s="10">
        <v>28.5</v>
      </c>
      <c r="E114" s="10">
        <v>0</v>
      </c>
      <c r="F114" s="149">
        <v>0</v>
      </c>
      <c r="G114" s="34">
        <v>0</v>
      </c>
      <c r="H114" s="96">
        <v>0</v>
      </c>
      <c r="I114" s="10">
        <v>0</v>
      </c>
      <c r="J114" s="36">
        <v>0</v>
      </c>
      <c r="K114" s="36">
        <v>0</v>
      </c>
      <c r="L114" s="36">
        <v>0</v>
      </c>
      <c r="M114" s="36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46">
        <v>0</v>
      </c>
    </row>
    <row r="115" spans="1:48" ht="12.75">
      <c r="A115" s="34">
        <v>114</v>
      </c>
      <c r="B115" s="165">
        <v>46.11926</v>
      </c>
      <c r="C115" s="165">
        <v>-91.21623</v>
      </c>
      <c r="D115" s="10">
        <v>26.5</v>
      </c>
      <c r="E115" s="10">
        <v>0</v>
      </c>
      <c r="F115" s="149">
        <v>0</v>
      </c>
      <c r="G115" s="34">
        <v>0</v>
      </c>
      <c r="H115" s="96">
        <v>0</v>
      </c>
      <c r="I115" s="10">
        <v>0</v>
      </c>
      <c r="J115" s="36">
        <v>0</v>
      </c>
      <c r="K115" s="36">
        <v>0</v>
      </c>
      <c r="L115" s="36">
        <v>0</v>
      </c>
      <c r="M115" s="36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46">
        <v>0</v>
      </c>
    </row>
    <row r="116" spans="1:48" ht="12.75">
      <c r="A116" s="34">
        <v>115</v>
      </c>
      <c r="B116" s="165">
        <v>46.11927</v>
      </c>
      <c r="C116" s="165">
        <v>-91.21576</v>
      </c>
      <c r="D116" s="10">
        <v>26</v>
      </c>
      <c r="E116" s="10">
        <v>0</v>
      </c>
      <c r="F116" s="149">
        <v>0</v>
      </c>
      <c r="G116" s="34">
        <v>0</v>
      </c>
      <c r="H116" s="96">
        <v>0</v>
      </c>
      <c r="I116" s="10">
        <v>0</v>
      </c>
      <c r="J116" s="36">
        <v>0</v>
      </c>
      <c r="K116" s="36">
        <v>0</v>
      </c>
      <c r="L116" s="36">
        <v>0</v>
      </c>
      <c r="M116" s="36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46">
        <v>0</v>
      </c>
    </row>
    <row r="117" spans="1:48" ht="12.75">
      <c r="A117" s="34">
        <v>116</v>
      </c>
      <c r="B117" s="165">
        <v>46.11927</v>
      </c>
      <c r="C117" s="165">
        <v>-91.2153</v>
      </c>
      <c r="D117" s="10">
        <v>25</v>
      </c>
      <c r="E117" s="10">
        <v>0</v>
      </c>
      <c r="F117" s="149">
        <v>0</v>
      </c>
      <c r="G117" s="34">
        <v>0</v>
      </c>
      <c r="H117" s="96">
        <v>0</v>
      </c>
      <c r="I117" s="10">
        <v>0</v>
      </c>
      <c r="J117" s="36">
        <v>0</v>
      </c>
      <c r="K117" s="36">
        <v>0</v>
      </c>
      <c r="L117" s="36">
        <v>0</v>
      </c>
      <c r="M117" s="36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46">
        <v>0</v>
      </c>
    </row>
    <row r="118" spans="1:48" ht="12.75">
      <c r="A118" s="34">
        <v>117</v>
      </c>
      <c r="B118" s="165">
        <v>46.11928</v>
      </c>
      <c r="C118" s="165">
        <v>-91.21483</v>
      </c>
      <c r="D118" s="10">
        <v>18.5</v>
      </c>
      <c r="E118" s="10">
        <v>0</v>
      </c>
      <c r="F118" s="149">
        <v>0</v>
      </c>
      <c r="G118" s="34">
        <v>0</v>
      </c>
      <c r="H118" s="96">
        <v>0</v>
      </c>
      <c r="I118" s="10">
        <v>0</v>
      </c>
      <c r="J118" s="36">
        <v>0</v>
      </c>
      <c r="K118" s="36">
        <v>0</v>
      </c>
      <c r="L118" s="36">
        <v>0</v>
      </c>
      <c r="M118" s="36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46">
        <v>0</v>
      </c>
    </row>
    <row r="119" spans="1:48" ht="12.75">
      <c r="A119" s="34">
        <v>118</v>
      </c>
      <c r="B119" s="165">
        <v>46.11928</v>
      </c>
      <c r="C119" s="165">
        <v>-91.21437</v>
      </c>
      <c r="D119" s="10">
        <v>12.5</v>
      </c>
      <c r="E119" s="10" t="s">
        <v>563</v>
      </c>
      <c r="F119" s="149">
        <v>1</v>
      </c>
      <c r="G119" s="34">
        <v>0</v>
      </c>
      <c r="H119" s="96">
        <v>0</v>
      </c>
      <c r="I119" s="10">
        <v>0</v>
      </c>
      <c r="J119" s="36">
        <v>0</v>
      </c>
      <c r="K119" s="36">
        <v>0</v>
      </c>
      <c r="L119" s="36">
        <v>0</v>
      </c>
      <c r="M119" s="36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46">
        <v>0</v>
      </c>
    </row>
    <row r="120" spans="1:48" ht="12.75">
      <c r="A120" s="34">
        <v>119</v>
      </c>
      <c r="B120" s="165">
        <v>46.11929</v>
      </c>
      <c r="C120" s="165">
        <v>-91.2139</v>
      </c>
      <c r="D120" s="10">
        <v>4.5</v>
      </c>
      <c r="E120" s="10" t="s">
        <v>565</v>
      </c>
      <c r="F120" s="149">
        <v>1</v>
      </c>
      <c r="G120" s="34">
        <v>1</v>
      </c>
      <c r="H120" s="96">
        <v>4</v>
      </c>
      <c r="I120" s="10">
        <v>3</v>
      </c>
      <c r="J120" s="36">
        <v>0</v>
      </c>
      <c r="K120" s="36">
        <v>0</v>
      </c>
      <c r="L120" s="36">
        <v>0</v>
      </c>
      <c r="M120" s="36">
        <v>0</v>
      </c>
      <c r="N120" s="10">
        <v>0</v>
      </c>
      <c r="O120" s="10">
        <v>0</v>
      </c>
      <c r="P120" s="10">
        <v>0</v>
      </c>
      <c r="Q120" s="10">
        <v>2</v>
      </c>
      <c r="R120" s="10">
        <v>0</v>
      </c>
      <c r="S120" s="10">
        <v>0</v>
      </c>
      <c r="T120" s="10">
        <v>0</v>
      </c>
      <c r="U120" s="10">
        <v>3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1</v>
      </c>
      <c r="AH120" s="10">
        <v>0</v>
      </c>
      <c r="AI120" s="10">
        <v>0</v>
      </c>
      <c r="AJ120" s="10">
        <v>1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46">
        <v>0</v>
      </c>
    </row>
    <row r="121" spans="1:48" ht="12.75">
      <c r="A121" s="34">
        <v>120</v>
      </c>
      <c r="B121" s="165">
        <v>46.11929</v>
      </c>
      <c r="C121" s="165">
        <v>-91.21343</v>
      </c>
      <c r="D121" s="10">
        <v>13</v>
      </c>
      <c r="E121" s="10" t="s">
        <v>563</v>
      </c>
      <c r="F121" s="149">
        <v>1</v>
      </c>
      <c r="G121" s="34">
        <v>0</v>
      </c>
      <c r="H121" s="96">
        <v>0</v>
      </c>
      <c r="I121" s="10">
        <v>0</v>
      </c>
      <c r="J121" s="36">
        <v>0</v>
      </c>
      <c r="K121" s="36">
        <v>0</v>
      </c>
      <c r="L121" s="36">
        <v>0</v>
      </c>
      <c r="M121" s="36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46">
        <v>0</v>
      </c>
    </row>
    <row r="122" spans="1:48" ht="12.75">
      <c r="A122" s="34">
        <v>121</v>
      </c>
      <c r="B122" s="165">
        <v>46.1193</v>
      </c>
      <c r="C122" s="165">
        <v>-91.21297</v>
      </c>
      <c r="D122" s="10">
        <v>16</v>
      </c>
      <c r="E122" s="10">
        <v>0</v>
      </c>
      <c r="F122" s="149">
        <v>0</v>
      </c>
      <c r="G122" s="34">
        <v>0</v>
      </c>
      <c r="H122" s="96">
        <v>0</v>
      </c>
      <c r="I122" s="10">
        <v>0</v>
      </c>
      <c r="J122" s="36">
        <v>0</v>
      </c>
      <c r="K122" s="36">
        <v>0</v>
      </c>
      <c r="L122" s="36">
        <v>0</v>
      </c>
      <c r="M122" s="36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46">
        <v>0</v>
      </c>
    </row>
    <row r="123" spans="1:48" ht="12.75">
      <c r="A123" s="34">
        <v>122</v>
      </c>
      <c r="B123" s="165">
        <v>46.1193</v>
      </c>
      <c r="C123" s="165">
        <v>-91.2125</v>
      </c>
      <c r="D123" s="10">
        <v>16</v>
      </c>
      <c r="E123" s="10">
        <v>0</v>
      </c>
      <c r="F123" s="149">
        <v>0</v>
      </c>
      <c r="G123" s="34">
        <v>0</v>
      </c>
      <c r="H123" s="96">
        <v>0</v>
      </c>
      <c r="I123" s="10">
        <v>0</v>
      </c>
      <c r="J123" s="36">
        <v>0</v>
      </c>
      <c r="K123" s="36">
        <v>0</v>
      </c>
      <c r="L123" s="36">
        <v>0</v>
      </c>
      <c r="M123" s="36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46">
        <v>0</v>
      </c>
    </row>
    <row r="124" spans="1:48" ht="12.75">
      <c r="A124" s="34">
        <v>123</v>
      </c>
      <c r="B124" s="165">
        <v>46.11931</v>
      </c>
      <c r="C124" s="165">
        <v>-91.21204</v>
      </c>
      <c r="D124" s="10">
        <v>15.5</v>
      </c>
      <c r="E124" s="10">
        <v>0</v>
      </c>
      <c r="F124" s="149">
        <v>0</v>
      </c>
      <c r="G124" s="34">
        <v>0</v>
      </c>
      <c r="H124" s="96">
        <v>0</v>
      </c>
      <c r="I124" s="10">
        <v>0</v>
      </c>
      <c r="J124" s="36">
        <v>0</v>
      </c>
      <c r="K124" s="36">
        <v>0</v>
      </c>
      <c r="L124" s="36">
        <v>0</v>
      </c>
      <c r="M124" s="36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46">
        <v>0</v>
      </c>
    </row>
    <row r="125" spans="1:48" ht="12.75">
      <c r="A125" s="34">
        <v>124</v>
      </c>
      <c r="B125" s="165">
        <v>46.11931</v>
      </c>
      <c r="C125" s="165">
        <v>-91.21157</v>
      </c>
      <c r="D125" s="10">
        <v>12</v>
      </c>
      <c r="E125" s="10" t="s">
        <v>563</v>
      </c>
      <c r="F125" s="149">
        <v>1</v>
      </c>
      <c r="G125" s="34">
        <v>0</v>
      </c>
      <c r="H125" s="96">
        <v>0</v>
      </c>
      <c r="I125" s="10">
        <v>0</v>
      </c>
      <c r="J125" s="36">
        <v>0</v>
      </c>
      <c r="K125" s="36">
        <v>0</v>
      </c>
      <c r="L125" s="36">
        <v>0</v>
      </c>
      <c r="M125" s="36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46">
        <v>0</v>
      </c>
    </row>
    <row r="126" spans="1:48" ht="12.75">
      <c r="A126" s="34">
        <v>125</v>
      </c>
      <c r="B126" s="165">
        <v>46.11932</v>
      </c>
      <c r="C126" s="165">
        <v>-91.2111</v>
      </c>
      <c r="D126" s="10">
        <v>9</v>
      </c>
      <c r="E126" s="10" t="s">
        <v>563</v>
      </c>
      <c r="F126" s="149">
        <v>1</v>
      </c>
      <c r="G126" s="34">
        <v>1</v>
      </c>
      <c r="H126" s="96">
        <v>1</v>
      </c>
      <c r="I126" s="10">
        <v>1</v>
      </c>
      <c r="J126" s="36">
        <v>0</v>
      </c>
      <c r="K126" s="36">
        <v>0</v>
      </c>
      <c r="L126" s="36">
        <v>1</v>
      </c>
      <c r="M126" s="36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46">
        <v>0</v>
      </c>
    </row>
    <row r="127" spans="1:48" ht="12.75">
      <c r="A127" s="34">
        <v>126</v>
      </c>
      <c r="B127" s="165">
        <v>46.11957</v>
      </c>
      <c r="C127" s="165">
        <v>-91.21763</v>
      </c>
      <c r="D127" s="10">
        <v>16</v>
      </c>
      <c r="E127" s="10">
        <v>0</v>
      </c>
      <c r="F127" s="149">
        <v>0</v>
      </c>
      <c r="G127" s="34">
        <v>0</v>
      </c>
      <c r="H127" s="96">
        <v>0</v>
      </c>
      <c r="I127" s="10">
        <v>0</v>
      </c>
      <c r="J127" s="36">
        <v>0</v>
      </c>
      <c r="K127" s="36">
        <v>0</v>
      </c>
      <c r="L127" s="36">
        <v>0</v>
      </c>
      <c r="M127" s="36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46">
        <v>0</v>
      </c>
    </row>
    <row r="128" spans="1:48" ht="12.75">
      <c r="A128" s="34">
        <v>127</v>
      </c>
      <c r="B128" s="165">
        <v>46.11958</v>
      </c>
      <c r="C128" s="165">
        <v>-91.21717</v>
      </c>
      <c r="D128" s="10">
        <v>29</v>
      </c>
      <c r="E128" s="10">
        <v>0</v>
      </c>
      <c r="F128" s="149">
        <v>0</v>
      </c>
      <c r="G128" s="34">
        <v>0</v>
      </c>
      <c r="H128" s="96">
        <v>0</v>
      </c>
      <c r="I128" s="10">
        <v>0</v>
      </c>
      <c r="J128" s="36">
        <v>0</v>
      </c>
      <c r="K128" s="36">
        <v>0</v>
      </c>
      <c r="L128" s="36">
        <v>0</v>
      </c>
      <c r="M128" s="36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46">
        <v>0</v>
      </c>
    </row>
    <row r="129" spans="1:48" ht="12.75">
      <c r="A129" s="34">
        <v>128</v>
      </c>
      <c r="B129" s="165">
        <v>46.11958</v>
      </c>
      <c r="C129" s="165">
        <v>-91.2167</v>
      </c>
      <c r="D129" s="10">
        <v>29</v>
      </c>
      <c r="E129" s="10">
        <v>0</v>
      </c>
      <c r="F129" s="149">
        <v>0</v>
      </c>
      <c r="G129" s="34">
        <v>0</v>
      </c>
      <c r="H129" s="96">
        <v>0</v>
      </c>
      <c r="I129" s="10">
        <v>0</v>
      </c>
      <c r="J129" s="36">
        <v>0</v>
      </c>
      <c r="K129" s="36">
        <v>0</v>
      </c>
      <c r="L129" s="36">
        <v>0</v>
      </c>
      <c r="M129" s="36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46">
        <v>0</v>
      </c>
    </row>
    <row r="130" spans="1:48" ht="12.75">
      <c r="A130" s="34">
        <v>129</v>
      </c>
      <c r="B130" s="165">
        <v>46.11959</v>
      </c>
      <c r="C130" s="165">
        <v>-91.21624</v>
      </c>
      <c r="D130" s="10">
        <v>29</v>
      </c>
      <c r="E130" s="10">
        <v>0</v>
      </c>
      <c r="F130" s="149">
        <v>0</v>
      </c>
      <c r="G130" s="34">
        <v>0</v>
      </c>
      <c r="H130" s="96">
        <v>0</v>
      </c>
      <c r="I130" s="10">
        <v>0</v>
      </c>
      <c r="J130" s="36">
        <v>0</v>
      </c>
      <c r="K130" s="36">
        <v>0</v>
      </c>
      <c r="L130" s="36">
        <v>0</v>
      </c>
      <c r="M130" s="36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46">
        <v>0</v>
      </c>
    </row>
    <row r="131" spans="1:48" ht="12.75">
      <c r="A131" s="34">
        <v>130</v>
      </c>
      <c r="B131" s="165">
        <v>46.11959</v>
      </c>
      <c r="C131" s="165">
        <v>-91.21577</v>
      </c>
      <c r="D131" s="10">
        <v>29</v>
      </c>
      <c r="E131" s="10">
        <v>0</v>
      </c>
      <c r="F131" s="149">
        <v>0</v>
      </c>
      <c r="G131" s="34">
        <v>0</v>
      </c>
      <c r="H131" s="96">
        <v>0</v>
      </c>
      <c r="I131" s="10">
        <v>0</v>
      </c>
      <c r="J131" s="36">
        <v>0</v>
      </c>
      <c r="K131" s="36">
        <v>0</v>
      </c>
      <c r="L131" s="36">
        <v>0</v>
      </c>
      <c r="M131" s="36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46">
        <v>0</v>
      </c>
    </row>
    <row r="132" spans="1:48" ht="12.75">
      <c r="A132" s="34">
        <v>131</v>
      </c>
      <c r="B132" s="165">
        <v>46.1196</v>
      </c>
      <c r="C132" s="165">
        <v>-91.2153</v>
      </c>
      <c r="D132" s="10">
        <v>28.5</v>
      </c>
      <c r="E132" s="10">
        <v>0</v>
      </c>
      <c r="F132" s="149">
        <v>0</v>
      </c>
      <c r="G132" s="34">
        <v>0</v>
      </c>
      <c r="H132" s="96">
        <v>0</v>
      </c>
      <c r="I132" s="10">
        <v>0</v>
      </c>
      <c r="J132" s="36">
        <v>0</v>
      </c>
      <c r="K132" s="36">
        <v>0</v>
      </c>
      <c r="L132" s="36">
        <v>0</v>
      </c>
      <c r="M132" s="36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46">
        <v>0</v>
      </c>
    </row>
    <row r="133" spans="1:48" ht="12.75">
      <c r="A133" s="34">
        <v>132</v>
      </c>
      <c r="B133" s="165">
        <v>46.1196</v>
      </c>
      <c r="C133" s="165">
        <v>-91.21484</v>
      </c>
      <c r="D133" s="10">
        <v>20</v>
      </c>
      <c r="E133" s="10">
        <v>0</v>
      </c>
      <c r="F133" s="149">
        <v>0</v>
      </c>
      <c r="G133" s="34">
        <v>0</v>
      </c>
      <c r="H133" s="96">
        <v>0</v>
      </c>
      <c r="I133" s="10">
        <v>0</v>
      </c>
      <c r="J133" s="36">
        <v>0</v>
      </c>
      <c r="K133" s="36">
        <v>0</v>
      </c>
      <c r="L133" s="36">
        <v>0</v>
      </c>
      <c r="M133" s="36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46">
        <v>0</v>
      </c>
    </row>
    <row r="134" spans="1:48" ht="12.75">
      <c r="A134" s="34">
        <v>133</v>
      </c>
      <c r="B134" s="165">
        <v>46.11961</v>
      </c>
      <c r="C134" s="165">
        <v>-91.21437</v>
      </c>
      <c r="D134" s="10">
        <v>12</v>
      </c>
      <c r="E134" s="10" t="s">
        <v>565</v>
      </c>
      <c r="F134" s="149">
        <v>1</v>
      </c>
      <c r="G134" s="34">
        <v>1</v>
      </c>
      <c r="H134" s="96">
        <v>1</v>
      </c>
      <c r="I134" s="10">
        <v>1</v>
      </c>
      <c r="J134" s="36">
        <v>0</v>
      </c>
      <c r="K134" s="36">
        <v>0</v>
      </c>
      <c r="L134" s="36">
        <v>1</v>
      </c>
      <c r="M134" s="36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46">
        <v>0</v>
      </c>
    </row>
    <row r="135" spans="1:48" ht="12.75">
      <c r="A135" s="34">
        <v>134</v>
      </c>
      <c r="B135" s="165">
        <v>46.11961</v>
      </c>
      <c r="C135" s="165">
        <v>-91.21391</v>
      </c>
      <c r="D135" s="10">
        <v>3.5</v>
      </c>
      <c r="E135" s="10" t="s">
        <v>565</v>
      </c>
      <c r="F135" s="149">
        <v>1</v>
      </c>
      <c r="G135" s="34">
        <v>1</v>
      </c>
      <c r="H135" s="96">
        <v>6</v>
      </c>
      <c r="I135" s="10">
        <v>3</v>
      </c>
      <c r="J135" s="36">
        <v>0</v>
      </c>
      <c r="K135" s="36">
        <v>0</v>
      </c>
      <c r="L135" s="36">
        <v>1</v>
      </c>
      <c r="M135" s="36">
        <v>0</v>
      </c>
      <c r="N135" s="10">
        <v>0</v>
      </c>
      <c r="O135" s="10">
        <v>1</v>
      </c>
      <c r="P135" s="10">
        <v>0</v>
      </c>
      <c r="Q135" s="10">
        <v>1</v>
      </c>
      <c r="R135" s="10">
        <v>0</v>
      </c>
      <c r="S135" s="10">
        <v>0</v>
      </c>
      <c r="T135" s="10">
        <v>0</v>
      </c>
      <c r="U135" s="10">
        <v>3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1</v>
      </c>
      <c r="AH135" s="10">
        <v>0</v>
      </c>
      <c r="AI135" s="10">
        <v>0</v>
      </c>
      <c r="AJ135" s="10">
        <v>1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46">
        <v>0</v>
      </c>
    </row>
    <row r="136" spans="1:48" ht="12.75">
      <c r="A136" s="34">
        <v>135</v>
      </c>
      <c r="B136" s="165">
        <v>46.11962</v>
      </c>
      <c r="C136" s="165">
        <v>-91.21344</v>
      </c>
      <c r="D136" s="10">
        <v>8.5</v>
      </c>
      <c r="E136" s="10" t="s">
        <v>563</v>
      </c>
      <c r="F136" s="149">
        <v>1</v>
      </c>
      <c r="G136" s="34">
        <v>0</v>
      </c>
      <c r="H136" s="96">
        <v>0</v>
      </c>
      <c r="I136" s="10">
        <v>0</v>
      </c>
      <c r="J136" s="36">
        <v>0</v>
      </c>
      <c r="K136" s="36">
        <v>0</v>
      </c>
      <c r="L136" s="36">
        <v>0</v>
      </c>
      <c r="M136" s="36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46">
        <v>0</v>
      </c>
    </row>
    <row r="137" spans="1:48" ht="12.75">
      <c r="A137" s="34">
        <v>136</v>
      </c>
      <c r="B137" s="165">
        <v>46.11962</v>
      </c>
      <c r="C137" s="165">
        <v>-91.21297</v>
      </c>
      <c r="D137" s="10">
        <v>15.5</v>
      </c>
      <c r="E137" s="10">
        <v>0</v>
      </c>
      <c r="F137" s="149">
        <v>0</v>
      </c>
      <c r="G137" s="34">
        <v>0</v>
      </c>
      <c r="H137" s="96">
        <v>0</v>
      </c>
      <c r="I137" s="10">
        <v>0</v>
      </c>
      <c r="J137" s="36">
        <v>0</v>
      </c>
      <c r="K137" s="36">
        <v>0</v>
      </c>
      <c r="L137" s="36">
        <v>0</v>
      </c>
      <c r="M137" s="36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46">
        <v>0</v>
      </c>
    </row>
    <row r="138" spans="1:48" ht="12.75">
      <c r="A138" s="34">
        <v>137</v>
      </c>
      <c r="B138" s="165">
        <v>46.11963</v>
      </c>
      <c r="C138" s="165">
        <v>-91.21251</v>
      </c>
      <c r="D138" s="10">
        <v>15.5</v>
      </c>
      <c r="E138" s="10">
        <v>0</v>
      </c>
      <c r="F138" s="149">
        <v>0</v>
      </c>
      <c r="G138" s="34">
        <v>0</v>
      </c>
      <c r="H138" s="96">
        <v>0</v>
      </c>
      <c r="I138" s="10">
        <v>0</v>
      </c>
      <c r="J138" s="36">
        <v>0</v>
      </c>
      <c r="K138" s="36">
        <v>0</v>
      </c>
      <c r="L138" s="36">
        <v>0</v>
      </c>
      <c r="M138" s="36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46">
        <v>0</v>
      </c>
    </row>
    <row r="139" spans="1:48" ht="12.75">
      <c r="A139" s="34">
        <v>138</v>
      </c>
      <c r="B139" s="165">
        <v>46.11963</v>
      </c>
      <c r="C139" s="165">
        <v>-91.21204</v>
      </c>
      <c r="D139" s="10">
        <v>15.5</v>
      </c>
      <c r="E139" s="10">
        <v>0</v>
      </c>
      <c r="F139" s="149">
        <v>0</v>
      </c>
      <c r="G139" s="34">
        <v>0</v>
      </c>
      <c r="H139" s="96">
        <v>0</v>
      </c>
      <c r="I139" s="10">
        <v>0</v>
      </c>
      <c r="J139" s="36">
        <v>0</v>
      </c>
      <c r="K139" s="36">
        <v>0</v>
      </c>
      <c r="L139" s="36">
        <v>0</v>
      </c>
      <c r="M139" s="36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46">
        <v>0</v>
      </c>
    </row>
    <row r="140" spans="1:48" ht="12.75">
      <c r="A140" s="34">
        <v>139</v>
      </c>
      <c r="B140" s="165">
        <v>46.11964</v>
      </c>
      <c r="C140" s="165">
        <v>-91.21158</v>
      </c>
      <c r="D140" s="10">
        <v>8.5</v>
      </c>
      <c r="E140" s="10" t="s">
        <v>563</v>
      </c>
      <c r="F140" s="149">
        <v>1</v>
      </c>
      <c r="G140" s="34">
        <v>1</v>
      </c>
      <c r="H140" s="96">
        <v>3</v>
      </c>
      <c r="I140" s="10">
        <v>3</v>
      </c>
      <c r="J140" s="36">
        <v>0</v>
      </c>
      <c r="K140" s="36">
        <v>0</v>
      </c>
      <c r="L140" s="36">
        <v>0</v>
      </c>
      <c r="M140" s="36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3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1</v>
      </c>
      <c r="AG140" s="10">
        <v>0</v>
      </c>
      <c r="AH140" s="10">
        <v>0</v>
      </c>
      <c r="AI140" s="10">
        <v>0</v>
      </c>
      <c r="AJ140" s="10">
        <v>4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2</v>
      </c>
      <c r="AT140" s="10">
        <v>0</v>
      </c>
      <c r="AU140" s="10">
        <v>0</v>
      </c>
      <c r="AV140" s="146">
        <v>0</v>
      </c>
    </row>
    <row r="141" spans="1:48" ht="12.75">
      <c r="A141" s="34">
        <v>140</v>
      </c>
      <c r="B141" s="165">
        <v>46.11964</v>
      </c>
      <c r="C141" s="165">
        <v>-91.21111</v>
      </c>
      <c r="D141" s="10">
        <v>2.5</v>
      </c>
      <c r="E141" s="10" t="s">
        <v>563</v>
      </c>
      <c r="F141" s="149">
        <v>1</v>
      </c>
      <c r="G141" s="34">
        <v>1</v>
      </c>
      <c r="H141" s="96">
        <v>8</v>
      </c>
      <c r="I141" s="10">
        <v>3</v>
      </c>
      <c r="J141" s="36">
        <v>0</v>
      </c>
      <c r="K141" s="36">
        <v>0</v>
      </c>
      <c r="L141" s="36">
        <v>1</v>
      </c>
      <c r="M141" s="36">
        <v>1</v>
      </c>
      <c r="N141" s="10">
        <v>0</v>
      </c>
      <c r="O141" s="10">
        <v>0</v>
      </c>
      <c r="P141" s="10">
        <v>1</v>
      </c>
      <c r="Q141" s="10">
        <v>0</v>
      </c>
      <c r="R141" s="10">
        <v>0</v>
      </c>
      <c r="S141" s="10">
        <v>0</v>
      </c>
      <c r="T141" s="10">
        <v>0</v>
      </c>
      <c r="U141" s="10">
        <v>2</v>
      </c>
      <c r="V141" s="10">
        <v>1</v>
      </c>
      <c r="W141" s="10">
        <v>0</v>
      </c>
      <c r="X141" s="10">
        <v>3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1</v>
      </c>
      <c r="AJ141" s="10">
        <v>1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46">
        <v>0</v>
      </c>
    </row>
    <row r="142" spans="1:48" ht="12.75">
      <c r="A142" s="34">
        <v>141</v>
      </c>
      <c r="B142" s="165">
        <v>46.1199</v>
      </c>
      <c r="C142" s="165">
        <v>-91.21764</v>
      </c>
      <c r="D142" s="10">
        <v>18.5</v>
      </c>
      <c r="E142" s="10">
        <v>0</v>
      </c>
      <c r="F142" s="149">
        <v>0</v>
      </c>
      <c r="G142" s="34">
        <v>0</v>
      </c>
      <c r="H142" s="96">
        <v>0</v>
      </c>
      <c r="I142" s="10">
        <v>0</v>
      </c>
      <c r="J142" s="36">
        <v>0</v>
      </c>
      <c r="K142" s="36">
        <v>0</v>
      </c>
      <c r="L142" s="36">
        <v>0</v>
      </c>
      <c r="M142" s="36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46">
        <v>0</v>
      </c>
    </row>
    <row r="143" spans="1:48" ht="12.75">
      <c r="A143" s="34">
        <v>142</v>
      </c>
      <c r="B143" s="165">
        <v>46.1199</v>
      </c>
      <c r="C143" s="165">
        <v>-91.21717</v>
      </c>
      <c r="D143" s="10">
        <v>29</v>
      </c>
      <c r="E143" s="10">
        <v>0</v>
      </c>
      <c r="F143" s="149">
        <v>0</v>
      </c>
      <c r="G143" s="34">
        <v>0</v>
      </c>
      <c r="H143" s="96">
        <v>0</v>
      </c>
      <c r="I143" s="10">
        <v>0</v>
      </c>
      <c r="J143" s="36">
        <v>0</v>
      </c>
      <c r="K143" s="36">
        <v>0</v>
      </c>
      <c r="L143" s="36">
        <v>0</v>
      </c>
      <c r="M143" s="36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46">
        <v>0</v>
      </c>
    </row>
    <row r="144" spans="1:48" ht="12.75">
      <c r="A144" s="34">
        <v>143</v>
      </c>
      <c r="B144" s="165">
        <v>46.1199</v>
      </c>
      <c r="C144" s="165">
        <v>-91.21671</v>
      </c>
      <c r="D144" s="10">
        <v>29.5</v>
      </c>
      <c r="E144" s="10">
        <v>0</v>
      </c>
      <c r="F144" s="149">
        <v>0</v>
      </c>
      <c r="G144" s="34">
        <v>0</v>
      </c>
      <c r="H144" s="96">
        <v>0</v>
      </c>
      <c r="I144" s="10">
        <v>0</v>
      </c>
      <c r="J144" s="36">
        <v>0</v>
      </c>
      <c r="K144" s="36">
        <v>0</v>
      </c>
      <c r="L144" s="36">
        <v>0</v>
      </c>
      <c r="M144" s="36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46">
        <v>0</v>
      </c>
    </row>
    <row r="145" spans="1:48" ht="12.75">
      <c r="A145" s="34">
        <v>144</v>
      </c>
      <c r="B145" s="165">
        <v>46.11991</v>
      </c>
      <c r="C145" s="165">
        <v>-91.21624</v>
      </c>
      <c r="D145" s="10">
        <v>29.5</v>
      </c>
      <c r="E145" s="10">
        <v>0</v>
      </c>
      <c r="F145" s="149">
        <v>0</v>
      </c>
      <c r="G145" s="34">
        <v>0</v>
      </c>
      <c r="H145" s="96">
        <v>0</v>
      </c>
      <c r="I145" s="10">
        <v>0</v>
      </c>
      <c r="J145" s="36">
        <v>0</v>
      </c>
      <c r="K145" s="36">
        <v>0</v>
      </c>
      <c r="L145" s="36">
        <v>0</v>
      </c>
      <c r="M145" s="36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46">
        <v>0</v>
      </c>
    </row>
    <row r="146" spans="1:48" ht="12.75">
      <c r="A146" s="34">
        <v>145</v>
      </c>
      <c r="B146" s="165">
        <v>46.11991</v>
      </c>
      <c r="C146" s="165">
        <v>-91.21578</v>
      </c>
      <c r="D146" s="10">
        <v>27.5</v>
      </c>
      <c r="E146" s="10">
        <v>0</v>
      </c>
      <c r="F146" s="149">
        <v>0</v>
      </c>
      <c r="G146" s="34">
        <v>0</v>
      </c>
      <c r="H146" s="96">
        <v>0</v>
      </c>
      <c r="I146" s="10">
        <v>0</v>
      </c>
      <c r="J146" s="36">
        <v>0</v>
      </c>
      <c r="K146" s="36">
        <v>0</v>
      </c>
      <c r="L146" s="36">
        <v>0</v>
      </c>
      <c r="M146" s="36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46">
        <v>0</v>
      </c>
    </row>
    <row r="147" spans="1:48" ht="12.75">
      <c r="A147" s="34">
        <v>146</v>
      </c>
      <c r="B147" s="165">
        <v>46.11992</v>
      </c>
      <c r="C147" s="165">
        <v>-91.21531</v>
      </c>
      <c r="D147" s="10">
        <v>20</v>
      </c>
      <c r="E147" s="10">
        <v>0</v>
      </c>
      <c r="F147" s="149">
        <v>0</v>
      </c>
      <c r="G147" s="34">
        <v>0</v>
      </c>
      <c r="H147" s="96">
        <v>0</v>
      </c>
      <c r="I147" s="10">
        <v>0</v>
      </c>
      <c r="J147" s="36">
        <v>0</v>
      </c>
      <c r="K147" s="36">
        <v>0</v>
      </c>
      <c r="L147" s="36">
        <v>0</v>
      </c>
      <c r="M147" s="36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46">
        <v>0</v>
      </c>
    </row>
    <row r="148" spans="1:48" ht="12.75">
      <c r="A148" s="34">
        <v>147</v>
      </c>
      <c r="B148" s="165">
        <v>46.11993</v>
      </c>
      <c r="C148" s="165">
        <v>-91.21484</v>
      </c>
      <c r="D148" s="10">
        <v>15.5</v>
      </c>
      <c r="E148" s="10">
        <v>0</v>
      </c>
      <c r="F148" s="149">
        <v>0</v>
      </c>
      <c r="G148" s="34">
        <v>0</v>
      </c>
      <c r="H148" s="96">
        <v>0</v>
      </c>
      <c r="I148" s="10">
        <v>0</v>
      </c>
      <c r="J148" s="36">
        <v>0</v>
      </c>
      <c r="K148" s="36">
        <v>0</v>
      </c>
      <c r="L148" s="36">
        <v>0</v>
      </c>
      <c r="M148" s="36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46">
        <v>0</v>
      </c>
    </row>
    <row r="149" spans="1:48" ht="12.75">
      <c r="A149" s="34">
        <v>148</v>
      </c>
      <c r="B149" s="165">
        <v>46.11993</v>
      </c>
      <c r="C149" s="165">
        <v>-91.21438</v>
      </c>
      <c r="D149" s="10">
        <v>7</v>
      </c>
      <c r="E149" s="10" t="s">
        <v>565</v>
      </c>
      <c r="F149" s="149">
        <v>1</v>
      </c>
      <c r="G149" s="34">
        <v>1</v>
      </c>
      <c r="H149" s="96">
        <v>3</v>
      </c>
      <c r="I149" s="10">
        <v>2</v>
      </c>
      <c r="J149" s="36">
        <v>0</v>
      </c>
      <c r="K149" s="36">
        <v>0</v>
      </c>
      <c r="L149" s="36">
        <v>2</v>
      </c>
      <c r="M149" s="36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1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1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46">
        <v>1</v>
      </c>
    </row>
    <row r="150" spans="1:48" ht="12.75">
      <c r="A150" s="34">
        <v>149</v>
      </c>
      <c r="B150" s="165">
        <v>46.11994</v>
      </c>
      <c r="C150" s="165">
        <v>-91.21391</v>
      </c>
      <c r="D150" s="10">
        <v>4.5</v>
      </c>
      <c r="E150" s="10" t="s">
        <v>564</v>
      </c>
      <c r="F150" s="149">
        <v>1</v>
      </c>
      <c r="G150" s="34">
        <v>1</v>
      </c>
      <c r="H150" s="96">
        <v>5</v>
      </c>
      <c r="I150" s="10">
        <v>3</v>
      </c>
      <c r="J150" s="36">
        <v>0</v>
      </c>
      <c r="K150" s="36">
        <v>0</v>
      </c>
      <c r="L150" s="36">
        <v>2</v>
      </c>
      <c r="M150" s="36">
        <v>0</v>
      </c>
      <c r="N150" s="10">
        <v>0</v>
      </c>
      <c r="O150" s="10">
        <v>2</v>
      </c>
      <c r="P150" s="10">
        <v>0</v>
      </c>
      <c r="Q150" s="10">
        <v>4</v>
      </c>
      <c r="R150" s="10">
        <v>0</v>
      </c>
      <c r="S150" s="10">
        <v>0</v>
      </c>
      <c r="T150" s="10">
        <v>0</v>
      </c>
      <c r="U150" s="10">
        <v>4</v>
      </c>
      <c r="V150" s="10">
        <v>0</v>
      </c>
      <c r="W150" s="10">
        <v>0</v>
      </c>
      <c r="X150" s="10">
        <v>0</v>
      </c>
      <c r="Y150" s="10">
        <v>1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1</v>
      </c>
      <c r="AH150" s="10">
        <v>0</v>
      </c>
      <c r="AI150" s="10">
        <v>0</v>
      </c>
      <c r="AJ150" s="10">
        <v>2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46">
        <v>0</v>
      </c>
    </row>
    <row r="151" spans="1:48" ht="12.75">
      <c r="A151" s="34">
        <v>150</v>
      </c>
      <c r="B151" s="165">
        <v>46.11994</v>
      </c>
      <c r="C151" s="165">
        <v>-91.21345</v>
      </c>
      <c r="D151" s="10">
        <v>6.5</v>
      </c>
      <c r="E151" s="10" t="s">
        <v>563</v>
      </c>
      <c r="F151" s="149">
        <v>1</v>
      </c>
      <c r="G151" s="34">
        <v>1</v>
      </c>
      <c r="H151" s="96">
        <v>5</v>
      </c>
      <c r="I151" s="10">
        <v>1</v>
      </c>
      <c r="J151" s="36">
        <v>0</v>
      </c>
      <c r="K151" s="36">
        <v>0</v>
      </c>
      <c r="L151" s="36">
        <v>1</v>
      </c>
      <c r="M151" s="36">
        <v>0</v>
      </c>
      <c r="N151" s="10">
        <v>0</v>
      </c>
      <c r="O151" s="10">
        <v>1</v>
      </c>
      <c r="P151" s="10">
        <v>0</v>
      </c>
      <c r="Q151" s="10">
        <v>0</v>
      </c>
      <c r="R151" s="10">
        <v>0</v>
      </c>
      <c r="S151" s="10">
        <v>1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1</v>
      </c>
      <c r="AH151" s="10">
        <v>0</v>
      </c>
      <c r="AI151" s="10">
        <v>0</v>
      </c>
      <c r="AJ151" s="10">
        <v>1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46">
        <v>1</v>
      </c>
    </row>
    <row r="152" spans="1:48" ht="12.75">
      <c r="A152" s="34">
        <v>151</v>
      </c>
      <c r="B152" s="165">
        <v>46.11994</v>
      </c>
      <c r="C152" s="165">
        <v>-91.21298</v>
      </c>
      <c r="D152" s="10">
        <v>10.5</v>
      </c>
      <c r="E152" s="10" t="s">
        <v>563</v>
      </c>
      <c r="F152" s="149">
        <v>1</v>
      </c>
      <c r="G152" s="34">
        <v>0</v>
      </c>
      <c r="H152" s="96">
        <v>0</v>
      </c>
      <c r="I152" s="10">
        <v>0</v>
      </c>
      <c r="J152" s="36">
        <v>0</v>
      </c>
      <c r="K152" s="36">
        <v>0</v>
      </c>
      <c r="L152" s="36">
        <v>0</v>
      </c>
      <c r="M152" s="36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46">
        <v>0</v>
      </c>
    </row>
    <row r="153" spans="1:48" ht="12.75">
      <c r="A153" s="34">
        <v>152</v>
      </c>
      <c r="B153" s="165">
        <v>46.11995</v>
      </c>
      <c r="C153" s="165">
        <v>-91.21252</v>
      </c>
      <c r="D153" s="10">
        <v>9.5</v>
      </c>
      <c r="E153" s="10" t="s">
        <v>563</v>
      </c>
      <c r="F153" s="149">
        <v>1</v>
      </c>
      <c r="G153" s="34">
        <v>1</v>
      </c>
      <c r="H153" s="96">
        <v>1</v>
      </c>
      <c r="I153" s="10">
        <v>2</v>
      </c>
      <c r="J153" s="36">
        <v>0</v>
      </c>
      <c r="K153" s="36">
        <v>0</v>
      </c>
      <c r="L153" s="36">
        <v>2</v>
      </c>
      <c r="M153" s="36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46">
        <v>0</v>
      </c>
    </row>
    <row r="154" spans="1:48" ht="12.75">
      <c r="A154" s="34">
        <v>153</v>
      </c>
      <c r="B154" s="165">
        <v>46.11996</v>
      </c>
      <c r="C154" s="165">
        <v>-91.21205</v>
      </c>
      <c r="D154" s="10">
        <v>5.5</v>
      </c>
      <c r="E154" s="10" t="s">
        <v>563</v>
      </c>
      <c r="F154" s="149">
        <v>1</v>
      </c>
      <c r="G154" s="34">
        <v>1</v>
      </c>
      <c r="H154" s="96">
        <v>4</v>
      </c>
      <c r="I154" s="10">
        <v>2</v>
      </c>
      <c r="J154" s="36">
        <v>0</v>
      </c>
      <c r="K154" s="36">
        <v>0</v>
      </c>
      <c r="L154" s="36">
        <v>0</v>
      </c>
      <c r="M154" s="36">
        <v>0</v>
      </c>
      <c r="N154" s="10">
        <v>0</v>
      </c>
      <c r="O154" s="10">
        <v>0</v>
      </c>
      <c r="P154" s="10">
        <v>0</v>
      </c>
      <c r="Q154" s="10">
        <v>4</v>
      </c>
      <c r="R154" s="10">
        <v>0</v>
      </c>
      <c r="S154" s="10">
        <v>1</v>
      </c>
      <c r="T154" s="10">
        <v>0</v>
      </c>
      <c r="U154" s="10">
        <v>0</v>
      </c>
      <c r="V154" s="10">
        <v>2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2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1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46">
        <v>0</v>
      </c>
    </row>
    <row r="155" spans="1:48" ht="12.75">
      <c r="A155" s="34">
        <v>154</v>
      </c>
      <c r="B155" s="165">
        <v>46.11996</v>
      </c>
      <c r="C155" s="165">
        <v>-91.21158</v>
      </c>
      <c r="D155" s="10">
        <v>3</v>
      </c>
      <c r="E155" s="10" t="s">
        <v>563</v>
      </c>
      <c r="F155" s="149">
        <v>1</v>
      </c>
      <c r="G155" s="34">
        <v>1</v>
      </c>
      <c r="H155" s="96">
        <v>6</v>
      </c>
      <c r="I155" s="10">
        <v>3</v>
      </c>
      <c r="J155" s="36">
        <v>0</v>
      </c>
      <c r="K155" s="36">
        <v>0</v>
      </c>
      <c r="L155" s="36">
        <v>2</v>
      </c>
      <c r="M155" s="36">
        <v>0</v>
      </c>
      <c r="N155" s="10">
        <v>0</v>
      </c>
      <c r="O155" s="10">
        <v>0</v>
      </c>
      <c r="P155" s="10">
        <v>0</v>
      </c>
      <c r="Q155" s="10">
        <v>1</v>
      </c>
      <c r="R155" s="10">
        <v>0</v>
      </c>
      <c r="S155" s="10">
        <v>0</v>
      </c>
      <c r="T155" s="10">
        <v>0</v>
      </c>
      <c r="U155" s="10">
        <v>2</v>
      </c>
      <c r="V155" s="10">
        <v>3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1</v>
      </c>
      <c r="AH155" s="10">
        <v>0</v>
      </c>
      <c r="AI155" s="10">
        <v>0</v>
      </c>
      <c r="AJ155" s="10">
        <v>1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46">
        <v>0</v>
      </c>
    </row>
    <row r="156" spans="1:48" ht="12.75">
      <c r="A156" s="34">
        <v>155</v>
      </c>
      <c r="B156" s="165">
        <v>46.12019</v>
      </c>
      <c r="C156" s="165">
        <v>-91.22091</v>
      </c>
      <c r="D156" s="10">
        <v>11</v>
      </c>
      <c r="E156" s="10" t="s">
        <v>563</v>
      </c>
      <c r="F156" s="149">
        <v>1</v>
      </c>
      <c r="G156" s="34">
        <v>0</v>
      </c>
      <c r="H156" s="96">
        <v>0</v>
      </c>
      <c r="I156" s="10">
        <v>0</v>
      </c>
      <c r="J156" s="36">
        <v>0</v>
      </c>
      <c r="K156" s="36">
        <v>0</v>
      </c>
      <c r="L156" s="36">
        <v>0</v>
      </c>
      <c r="M156" s="36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46">
        <v>0</v>
      </c>
    </row>
    <row r="157" spans="1:48" ht="12.75">
      <c r="A157" s="34">
        <v>156</v>
      </c>
      <c r="B157" s="165">
        <v>46.12019</v>
      </c>
      <c r="C157" s="165">
        <v>-91.22044</v>
      </c>
      <c r="D157" s="10">
        <v>11</v>
      </c>
      <c r="E157" s="10" t="s">
        <v>563</v>
      </c>
      <c r="F157" s="149">
        <v>1</v>
      </c>
      <c r="G157" s="34">
        <v>0</v>
      </c>
      <c r="H157" s="96">
        <v>0</v>
      </c>
      <c r="I157" s="10">
        <v>0</v>
      </c>
      <c r="J157" s="36">
        <v>0</v>
      </c>
      <c r="K157" s="36">
        <v>0</v>
      </c>
      <c r="L157" s="36">
        <v>0</v>
      </c>
      <c r="M157" s="36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46">
        <v>0</v>
      </c>
    </row>
    <row r="158" spans="1:48" ht="12.75">
      <c r="A158" s="34">
        <v>157</v>
      </c>
      <c r="B158" s="165">
        <v>46.12022</v>
      </c>
      <c r="C158" s="165">
        <v>-91.21765</v>
      </c>
      <c r="D158" s="10">
        <v>18.5</v>
      </c>
      <c r="E158" s="10">
        <v>0</v>
      </c>
      <c r="F158" s="149">
        <v>0</v>
      </c>
      <c r="G158" s="34">
        <v>0</v>
      </c>
      <c r="H158" s="96">
        <v>0</v>
      </c>
      <c r="I158" s="10">
        <v>0</v>
      </c>
      <c r="J158" s="36">
        <v>0</v>
      </c>
      <c r="K158" s="36">
        <v>0</v>
      </c>
      <c r="L158" s="36">
        <v>0</v>
      </c>
      <c r="M158" s="36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46">
        <v>0</v>
      </c>
    </row>
    <row r="159" spans="1:48" ht="12.75">
      <c r="A159" s="34">
        <v>158</v>
      </c>
      <c r="B159" s="165">
        <v>46.12022</v>
      </c>
      <c r="C159" s="165">
        <v>-91.21718</v>
      </c>
      <c r="D159" s="10">
        <v>25</v>
      </c>
      <c r="E159" s="10">
        <v>0</v>
      </c>
      <c r="F159" s="149">
        <v>0</v>
      </c>
      <c r="G159" s="34">
        <v>0</v>
      </c>
      <c r="H159" s="96">
        <v>0</v>
      </c>
      <c r="I159" s="10">
        <v>0</v>
      </c>
      <c r="J159" s="36">
        <v>0</v>
      </c>
      <c r="K159" s="36">
        <v>0</v>
      </c>
      <c r="L159" s="36">
        <v>0</v>
      </c>
      <c r="M159" s="36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46">
        <v>0</v>
      </c>
    </row>
    <row r="160" spans="1:48" ht="12.75">
      <c r="A160" s="34">
        <v>159</v>
      </c>
      <c r="B160" s="165">
        <v>46.12023</v>
      </c>
      <c r="C160" s="165">
        <v>-91.21672</v>
      </c>
      <c r="D160" s="10">
        <v>29</v>
      </c>
      <c r="E160" s="10">
        <v>0</v>
      </c>
      <c r="F160" s="149">
        <v>0</v>
      </c>
      <c r="G160" s="34">
        <v>0</v>
      </c>
      <c r="H160" s="96">
        <v>0</v>
      </c>
      <c r="I160" s="10">
        <v>0</v>
      </c>
      <c r="J160" s="36">
        <v>0</v>
      </c>
      <c r="K160" s="36">
        <v>0</v>
      </c>
      <c r="L160" s="36">
        <v>0</v>
      </c>
      <c r="M160" s="36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46">
        <v>0</v>
      </c>
    </row>
    <row r="161" spans="1:48" ht="12.75">
      <c r="A161" s="34">
        <v>160</v>
      </c>
      <c r="B161" s="165">
        <v>46.12023</v>
      </c>
      <c r="C161" s="165">
        <v>-91.21625</v>
      </c>
      <c r="D161" s="10">
        <v>29</v>
      </c>
      <c r="E161" s="10">
        <v>0</v>
      </c>
      <c r="F161" s="149">
        <v>0</v>
      </c>
      <c r="G161" s="34">
        <v>0</v>
      </c>
      <c r="H161" s="96">
        <v>0</v>
      </c>
      <c r="I161" s="10">
        <v>0</v>
      </c>
      <c r="J161" s="36">
        <v>0</v>
      </c>
      <c r="K161" s="36">
        <v>0</v>
      </c>
      <c r="L161" s="36">
        <v>0</v>
      </c>
      <c r="M161" s="36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46">
        <v>0</v>
      </c>
    </row>
    <row r="162" spans="1:48" ht="12.75">
      <c r="A162" s="34">
        <v>161</v>
      </c>
      <c r="B162" s="165">
        <v>46.12024</v>
      </c>
      <c r="C162" s="165">
        <v>-91.21578</v>
      </c>
      <c r="D162" s="10">
        <v>24.5</v>
      </c>
      <c r="E162" s="10">
        <v>0</v>
      </c>
      <c r="F162" s="149">
        <v>0</v>
      </c>
      <c r="G162" s="34">
        <v>0</v>
      </c>
      <c r="H162" s="96">
        <v>0</v>
      </c>
      <c r="I162" s="10">
        <v>0</v>
      </c>
      <c r="J162" s="36">
        <v>0</v>
      </c>
      <c r="K162" s="36">
        <v>0</v>
      </c>
      <c r="L162" s="36">
        <v>0</v>
      </c>
      <c r="M162" s="36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46">
        <v>0</v>
      </c>
    </row>
    <row r="163" spans="1:48" ht="12.75">
      <c r="A163" s="34">
        <v>162</v>
      </c>
      <c r="B163" s="165">
        <v>46.12024</v>
      </c>
      <c r="C163" s="165">
        <v>-91.21532</v>
      </c>
      <c r="D163" s="10">
        <v>19</v>
      </c>
      <c r="E163" s="10">
        <v>0</v>
      </c>
      <c r="F163" s="149">
        <v>0</v>
      </c>
      <c r="G163" s="34">
        <v>0</v>
      </c>
      <c r="H163" s="96">
        <v>0</v>
      </c>
      <c r="I163" s="10">
        <v>0</v>
      </c>
      <c r="J163" s="36">
        <v>0</v>
      </c>
      <c r="K163" s="36">
        <v>0</v>
      </c>
      <c r="L163" s="36">
        <v>0</v>
      </c>
      <c r="M163" s="36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46">
        <v>0</v>
      </c>
    </row>
    <row r="164" spans="1:48" ht="12.75">
      <c r="A164" s="34">
        <v>163</v>
      </c>
      <c r="B164" s="165">
        <v>46.12025</v>
      </c>
      <c r="C164" s="165">
        <v>-91.21485</v>
      </c>
      <c r="D164" s="10">
        <v>14</v>
      </c>
      <c r="E164" s="10" t="s">
        <v>563</v>
      </c>
      <c r="F164" s="149">
        <v>1</v>
      </c>
      <c r="G164" s="34">
        <v>0</v>
      </c>
      <c r="H164" s="96">
        <v>0</v>
      </c>
      <c r="I164" s="10">
        <v>0</v>
      </c>
      <c r="J164" s="36">
        <v>0</v>
      </c>
      <c r="K164" s="36">
        <v>0</v>
      </c>
      <c r="L164" s="36">
        <v>0</v>
      </c>
      <c r="M164" s="36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46">
        <v>0</v>
      </c>
    </row>
    <row r="165" spans="1:48" ht="12.75">
      <c r="A165" s="34">
        <v>164</v>
      </c>
      <c r="B165" s="165">
        <v>46.12025</v>
      </c>
      <c r="C165" s="165">
        <v>-91.21439</v>
      </c>
      <c r="D165" s="10">
        <v>10</v>
      </c>
      <c r="E165" s="10" t="s">
        <v>565</v>
      </c>
      <c r="F165" s="149">
        <v>1</v>
      </c>
      <c r="G165" s="34">
        <v>1</v>
      </c>
      <c r="H165" s="96">
        <v>1</v>
      </c>
      <c r="I165" s="10">
        <v>1</v>
      </c>
      <c r="J165" s="36">
        <v>0</v>
      </c>
      <c r="K165" s="36">
        <v>0</v>
      </c>
      <c r="L165" s="36">
        <v>0</v>
      </c>
      <c r="M165" s="36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1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46">
        <v>0</v>
      </c>
    </row>
    <row r="166" spans="1:48" ht="12.75">
      <c r="A166" s="34">
        <v>165</v>
      </c>
      <c r="B166" s="165">
        <v>46.12026</v>
      </c>
      <c r="C166" s="165">
        <v>-91.21392</v>
      </c>
      <c r="D166" s="10">
        <v>6.5</v>
      </c>
      <c r="E166" s="10" t="s">
        <v>563</v>
      </c>
      <c r="F166" s="149">
        <v>1</v>
      </c>
      <c r="G166" s="34">
        <v>0</v>
      </c>
      <c r="H166" s="96">
        <v>0</v>
      </c>
      <c r="I166" s="10">
        <v>0</v>
      </c>
      <c r="J166" s="36">
        <v>0</v>
      </c>
      <c r="K166" s="36">
        <v>0</v>
      </c>
      <c r="L166" s="36">
        <v>0</v>
      </c>
      <c r="M166" s="36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46">
        <v>1</v>
      </c>
    </row>
    <row r="167" spans="1:48" ht="12.75">
      <c r="A167" s="34">
        <v>166</v>
      </c>
      <c r="B167" s="165">
        <v>46.12026</v>
      </c>
      <c r="C167" s="165">
        <v>-91.21345</v>
      </c>
      <c r="D167" s="10">
        <v>7</v>
      </c>
      <c r="E167" s="10" t="s">
        <v>563</v>
      </c>
      <c r="F167" s="149">
        <v>1</v>
      </c>
      <c r="G167" s="34">
        <v>0</v>
      </c>
      <c r="H167" s="96">
        <v>0</v>
      </c>
      <c r="I167" s="10">
        <v>0</v>
      </c>
      <c r="J167" s="36">
        <v>0</v>
      </c>
      <c r="K167" s="36">
        <v>0</v>
      </c>
      <c r="L167" s="36">
        <v>0</v>
      </c>
      <c r="M167" s="36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46">
        <v>2</v>
      </c>
    </row>
    <row r="168" spans="1:48" ht="12.75">
      <c r="A168" s="34">
        <v>167</v>
      </c>
      <c r="B168" s="165">
        <v>46.12051</v>
      </c>
      <c r="C168" s="165">
        <v>-91.22091</v>
      </c>
      <c r="D168" s="10">
        <v>14</v>
      </c>
      <c r="E168" s="10" t="s">
        <v>563</v>
      </c>
      <c r="F168" s="149">
        <v>1</v>
      </c>
      <c r="G168" s="34">
        <v>0</v>
      </c>
      <c r="H168" s="96">
        <v>0</v>
      </c>
      <c r="I168" s="10">
        <v>0</v>
      </c>
      <c r="J168" s="36">
        <v>0</v>
      </c>
      <c r="K168" s="36">
        <v>0</v>
      </c>
      <c r="L168" s="36">
        <v>0</v>
      </c>
      <c r="M168" s="36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46">
        <v>0</v>
      </c>
    </row>
    <row r="169" spans="1:48" ht="12.75">
      <c r="A169" s="34">
        <v>168</v>
      </c>
      <c r="B169" s="165">
        <v>46.12051</v>
      </c>
      <c r="C169" s="165">
        <v>-91.22045</v>
      </c>
      <c r="D169" s="10">
        <v>20</v>
      </c>
      <c r="E169" s="10">
        <v>0</v>
      </c>
      <c r="F169" s="149">
        <v>0</v>
      </c>
      <c r="G169" s="34">
        <v>0</v>
      </c>
      <c r="H169" s="96">
        <v>0</v>
      </c>
      <c r="I169" s="10">
        <v>0</v>
      </c>
      <c r="J169" s="36">
        <v>0</v>
      </c>
      <c r="K169" s="36">
        <v>0</v>
      </c>
      <c r="L169" s="36">
        <v>0</v>
      </c>
      <c r="M169" s="36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46">
        <v>0</v>
      </c>
    </row>
    <row r="170" spans="1:48" ht="12.75">
      <c r="A170" s="34">
        <v>169</v>
      </c>
      <c r="B170" s="165">
        <v>46.12052</v>
      </c>
      <c r="C170" s="165">
        <v>-91.21998</v>
      </c>
      <c r="D170" s="10">
        <v>10</v>
      </c>
      <c r="E170" s="10" t="s">
        <v>563</v>
      </c>
      <c r="F170" s="149">
        <v>1</v>
      </c>
      <c r="G170" s="34">
        <v>0</v>
      </c>
      <c r="H170" s="96">
        <v>0</v>
      </c>
      <c r="I170" s="10">
        <v>0</v>
      </c>
      <c r="J170" s="36">
        <v>0</v>
      </c>
      <c r="K170" s="36">
        <v>0</v>
      </c>
      <c r="L170" s="36">
        <v>0</v>
      </c>
      <c r="M170" s="36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46">
        <v>0</v>
      </c>
    </row>
    <row r="171" spans="1:48" ht="12.75">
      <c r="A171" s="34">
        <v>170</v>
      </c>
      <c r="B171" s="165">
        <v>46.12054</v>
      </c>
      <c r="C171" s="165">
        <v>-91.21765</v>
      </c>
      <c r="D171" s="10">
        <v>21</v>
      </c>
      <c r="E171" s="10">
        <v>0</v>
      </c>
      <c r="F171" s="149">
        <v>0</v>
      </c>
      <c r="G171" s="34">
        <v>0</v>
      </c>
      <c r="H171" s="96">
        <v>0</v>
      </c>
      <c r="I171" s="10">
        <v>0</v>
      </c>
      <c r="J171" s="36">
        <v>0</v>
      </c>
      <c r="K171" s="36">
        <v>0</v>
      </c>
      <c r="L171" s="36">
        <v>0</v>
      </c>
      <c r="M171" s="36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46">
        <v>0</v>
      </c>
    </row>
    <row r="172" spans="1:48" ht="12.75">
      <c r="A172" s="34">
        <v>171</v>
      </c>
      <c r="B172" s="165">
        <v>46.12055</v>
      </c>
      <c r="C172" s="165">
        <v>-91.21719</v>
      </c>
      <c r="D172" s="10">
        <v>24.5</v>
      </c>
      <c r="E172" s="10">
        <v>0</v>
      </c>
      <c r="F172" s="149">
        <v>0</v>
      </c>
      <c r="G172" s="34">
        <v>0</v>
      </c>
      <c r="H172" s="96">
        <v>0</v>
      </c>
      <c r="I172" s="10">
        <v>0</v>
      </c>
      <c r="J172" s="36">
        <v>0</v>
      </c>
      <c r="K172" s="36">
        <v>0</v>
      </c>
      <c r="L172" s="36">
        <v>0</v>
      </c>
      <c r="M172" s="36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46">
        <v>0</v>
      </c>
    </row>
    <row r="173" spans="1:48" ht="12.75">
      <c r="A173" s="34">
        <v>172</v>
      </c>
      <c r="B173" s="165">
        <v>46.12055</v>
      </c>
      <c r="C173" s="165">
        <v>-91.21672</v>
      </c>
      <c r="D173" s="10">
        <v>26.5</v>
      </c>
      <c r="E173" s="10">
        <v>0</v>
      </c>
      <c r="F173" s="149">
        <v>0</v>
      </c>
      <c r="G173" s="34">
        <v>0</v>
      </c>
      <c r="H173" s="96">
        <v>0</v>
      </c>
      <c r="I173" s="10">
        <v>0</v>
      </c>
      <c r="J173" s="36">
        <v>0</v>
      </c>
      <c r="K173" s="36">
        <v>0</v>
      </c>
      <c r="L173" s="36">
        <v>0</v>
      </c>
      <c r="M173" s="36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46">
        <v>0</v>
      </c>
    </row>
    <row r="174" spans="1:48" ht="12.75">
      <c r="A174" s="34">
        <v>173</v>
      </c>
      <c r="B174" s="165">
        <v>46.12056</v>
      </c>
      <c r="C174" s="165">
        <v>-91.21626</v>
      </c>
      <c r="D174" s="10">
        <v>28</v>
      </c>
      <c r="E174" s="10">
        <v>0</v>
      </c>
      <c r="F174" s="149">
        <v>0</v>
      </c>
      <c r="G174" s="34">
        <v>0</v>
      </c>
      <c r="H174" s="96">
        <v>0</v>
      </c>
      <c r="I174" s="10">
        <v>0</v>
      </c>
      <c r="J174" s="36">
        <v>0</v>
      </c>
      <c r="K174" s="36">
        <v>0</v>
      </c>
      <c r="L174" s="36">
        <v>0</v>
      </c>
      <c r="M174" s="36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46">
        <v>0</v>
      </c>
    </row>
    <row r="175" spans="1:48" ht="12.75">
      <c r="A175" s="34">
        <v>174</v>
      </c>
      <c r="B175" s="165">
        <v>46.12056</v>
      </c>
      <c r="C175" s="165">
        <v>-91.21579</v>
      </c>
      <c r="D175" s="10">
        <v>26</v>
      </c>
      <c r="E175" s="10">
        <v>0</v>
      </c>
      <c r="F175" s="149">
        <v>0</v>
      </c>
      <c r="G175" s="34">
        <v>0</v>
      </c>
      <c r="H175" s="96">
        <v>0</v>
      </c>
      <c r="I175" s="10">
        <v>0</v>
      </c>
      <c r="J175" s="36">
        <v>0</v>
      </c>
      <c r="K175" s="36">
        <v>0</v>
      </c>
      <c r="L175" s="36">
        <v>0</v>
      </c>
      <c r="M175" s="36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46">
        <v>0</v>
      </c>
    </row>
    <row r="176" spans="1:48" ht="12.75">
      <c r="A176" s="34">
        <v>175</v>
      </c>
      <c r="B176" s="165">
        <v>46.12057</v>
      </c>
      <c r="C176" s="165">
        <v>-91.21532</v>
      </c>
      <c r="D176" s="10">
        <v>24.5</v>
      </c>
      <c r="E176" s="10">
        <v>0</v>
      </c>
      <c r="F176" s="149">
        <v>0</v>
      </c>
      <c r="G176" s="34">
        <v>0</v>
      </c>
      <c r="H176" s="96">
        <v>0</v>
      </c>
      <c r="I176" s="10">
        <v>0</v>
      </c>
      <c r="J176" s="36">
        <v>0</v>
      </c>
      <c r="K176" s="36">
        <v>0</v>
      </c>
      <c r="L176" s="36">
        <v>0</v>
      </c>
      <c r="M176" s="36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46">
        <v>0</v>
      </c>
    </row>
    <row r="177" spans="1:48" ht="12.75">
      <c r="A177" s="34">
        <v>176</v>
      </c>
      <c r="B177" s="165">
        <v>46.12057</v>
      </c>
      <c r="C177" s="165">
        <v>-91.21486</v>
      </c>
      <c r="D177" s="10">
        <v>20</v>
      </c>
      <c r="E177" s="10">
        <v>0</v>
      </c>
      <c r="F177" s="149">
        <v>0</v>
      </c>
      <c r="G177" s="34">
        <v>0</v>
      </c>
      <c r="H177" s="96">
        <v>0</v>
      </c>
      <c r="I177" s="10">
        <v>0</v>
      </c>
      <c r="J177" s="36">
        <v>0</v>
      </c>
      <c r="K177" s="36">
        <v>0</v>
      </c>
      <c r="L177" s="36">
        <v>0</v>
      </c>
      <c r="M177" s="36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46">
        <v>0</v>
      </c>
    </row>
    <row r="178" spans="1:48" ht="12.75">
      <c r="A178" s="34">
        <v>177</v>
      </c>
      <c r="B178" s="165">
        <v>46.12058</v>
      </c>
      <c r="C178" s="165">
        <v>-91.21439</v>
      </c>
      <c r="D178" s="10">
        <v>18.5</v>
      </c>
      <c r="E178" s="10">
        <v>0</v>
      </c>
      <c r="F178" s="149">
        <v>0</v>
      </c>
      <c r="G178" s="34">
        <v>0</v>
      </c>
      <c r="H178" s="96">
        <v>0</v>
      </c>
      <c r="I178" s="10">
        <v>0</v>
      </c>
      <c r="J178" s="36">
        <v>0</v>
      </c>
      <c r="K178" s="36">
        <v>0</v>
      </c>
      <c r="L178" s="36">
        <v>0</v>
      </c>
      <c r="M178" s="36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46">
        <v>0</v>
      </c>
    </row>
    <row r="179" spans="1:48" ht="12.75">
      <c r="A179" s="34">
        <v>178</v>
      </c>
      <c r="B179" s="165">
        <v>46.12058</v>
      </c>
      <c r="C179" s="165">
        <v>-91.21393</v>
      </c>
      <c r="D179" s="10">
        <v>14.5</v>
      </c>
      <c r="E179" s="10" t="s">
        <v>563</v>
      </c>
      <c r="F179" s="149">
        <v>0</v>
      </c>
      <c r="G179" s="34">
        <v>0</v>
      </c>
      <c r="H179" s="96">
        <v>0</v>
      </c>
      <c r="I179" s="10">
        <v>0</v>
      </c>
      <c r="J179" s="36">
        <v>0</v>
      </c>
      <c r="K179" s="36">
        <v>0</v>
      </c>
      <c r="L179" s="36">
        <v>0</v>
      </c>
      <c r="M179" s="36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46">
        <v>0</v>
      </c>
    </row>
    <row r="180" spans="1:48" ht="12.75">
      <c r="A180" s="34">
        <v>179</v>
      </c>
      <c r="B180" s="165">
        <v>46.1206</v>
      </c>
      <c r="C180" s="165">
        <v>-91.21253</v>
      </c>
      <c r="D180" s="10">
        <v>5</v>
      </c>
      <c r="E180" s="10" t="s">
        <v>563</v>
      </c>
      <c r="F180" s="149">
        <v>1</v>
      </c>
      <c r="G180" s="34">
        <v>1</v>
      </c>
      <c r="H180" s="96">
        <v>5</v>
      </c>
      <c r="I180" s="10">
        <v>3</v>
      </c>
      <c r="J180" s="36">
        <v>0</v>
      </c>
      <c r="K180" s="36">
        <v>0</v>
      </c>
      <c r="L180" s="36">
        <v>1</v>
      </c>
      <c r="M180" s="36">
        <v>0</v>
      </c>
      <c r="N180" s="10">
        <v>0</v>
      </c>
      <c r="O180" s="10">
        <v>3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1</v>
      </c>
      <c r="AE180" s="10">
        <v>0</v>
      </c>
      <c r="AF180" s="10">
        <v>0</v>
      </c>
      <c r="AG180" s="10">
        <v>4</v>
      </c>
      <c r="AH180" s="10">
        <v>0</v>
      </c>
      <c r="AI180" s="10">
        <v>1</v>
      </c>
      <c r="AJ180" s="10">
        <v>2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46">
        <v>0</v>
      </c>
    </row>
    <row r="181" spans="1:48" ht="12.75">
      <c r="A181" s="34">
        <v>180</v>
      </c>
      <c r="B181" s="165">
        <v>46.1206</v>
      </c>
      <c r="C181" s="165">
        <v>-91.21206</v>
      </c>
      <c r="D181" s="10">
        <v>6.5</v>
      </c>
      <c r="E181" s="10" t="s">
        <v>563</v>
      </c>
      <c r="F181" s="149">
        <v>1</v>
      </c>
      <c r="G181" s="34">
        <v>1</v>
      </c>
      <c r="H181" s="96">
        <v>4</v>
      </c>
      <c r="I181" s="10">
        <v>1</v>
      </c>
      <c r="J181" s="36">
        <v>0</v>
      </c>
      <c r="K181" s="36">
        <v>0</v>
      </c>
      <c r="L181" s="36">
        <v>1</v>
      </c>
      <c r="M181" s="36">
        <v>0</v>
      </c>
      <c r="N181" s="10">
        <v>0</v>
      </c>
      <c r="O181" s="10">
        <v>1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1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1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46">
        <v>1</v>
      </c>
    </row>
    <row r="182" spans="1:48" ht="12.75">
      <c r="A182" s="34">
        <v>181</v>
      </c>
      <c r="B182" s="165">
        <v>46.12083</v>
      </c>
      <c r="C182" s="165">
        <v>-91.22092</v>
      </c>
      <c r="D182" s="10">
        <v>6.5</v>
      </c>
      <c r="E182" s="10" t="s">
        <v>563</v>
      </c>
      <c r="F182" s="149">
        <v>1</v>
      </c>
      <c r="G182" s="34">
        <v>1</v>
      </c>
      <c r="H182" s="96">
        <v>2</v>
      </c>
      <c r="I182" s="10">
        <v>1</v>
      </c>
      <c r="J182" s="36">
        <v>0</v>
      </c>
      <c r="K182" s="36">
        <v>0</v>
      </c>
      <c r="L182" s="36">
        <v>1</v>
      </c>
      <c r="M182" s="36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1</v>
      </c>
      <c r="U182" s="10">
        <v>0</v>
      </c>
      <c r="V182" s="10">
        <v>4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4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46">
        <v>0</v>
      </c>
    </row>
    <row r="183" spans="1:48" ht="12.75">
      <c r="A183" s="34">
        <v>182</v>
      </c>
      <c r="B183" s="165">
        <v>46.12084</v>
      </c>
      <c r="C183" s="165">
        <v>-91.22046</v>
      </c>
      <c r="D183" s="10">
        <v>19.5</v>
      </c>
      <c r="E183" s="10">
        <v>0</v>
      </c>
      <c r="F183" s="149">
        <v>0</v>
      </c>
      <c r="G183" s="34">
        <v>0</v>
      </c>
      <c r="H183" s="96">
        <v>0</v>
      </c>
      <c r="I183" s="10">
        <v>0</v>
      </c>
      <c r="J183" s="36">
        <v>0</v>
      </c>
      <c r="K183" s="36">
        <v>0</v>
      </c>
      <c r="L183" s="36">
        <v>0</v>
      </c>
      <c r="M183" s="36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46">
        <v>0</v>
      </c>
    </row>
    <row r="184" spans="1:48" ht="12.75">
      <c r="A184" s="34">
        <v>183</v>
      </c>
      <c r="B184" s="165">
        <v>46.12084</v>
      </c>
      <c r="C184" s="165">
        <v>-91.21999</v>
      </c>
      <c r="D184" s="10">
        <v>17</v>
      </c>
      <c r="E184" s="10">
        <v>0</v>
      </c>
      <c r="F184" s="149">
        <v>0</v>
      </c>
      <c r="G184" s="34">
        <v>0</v>
      </c>
      <c r="H184" s="96">
        <v>0</v>
      </c>
      <c r="I184" s="10">
        <v>0</v>
      </c>
      <c r="J184" s="36">
        <v>0</v>
      </c>
      <c r="K184" s="36">
        <v>0</v>
      </c>
      <c r="L184" s="36">
        <v>0</v>
      </c>
      <c r="M184" s="36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46">
        <v>0</v>
      </c>
    </row>
    <row r="185" spans="1:48" ht="12.75">
      <c r="A185" s="34">
        <v>184</v>
      </c>
      <c r="B185" s="165">
        <v>46.12086</v>
      </c>
      <c r="C185" s="165">
        <v>-91.21813</v>
      </c>
      <c r="D185" s="10">
        <v>2.5</v>
      </c>
      <c r="E185" s="10" t="s">
        <v>564</v>
      </c>
      <c r="F185" s="149">
        <v>1</v>
      </c>
      <c r="G185" s="34">
        <v>1</v>
      </c>
      <c r="H185" s="96">
        <v>4</v>
      </c>
      <c r="I185" s="10">
        <v>1</v>
      </c>
      <c r="J185" s="36">
        <v>0</v>
      </c>
      <c r="K185" s="36">
        <v>0</v>
      </c>
      <c r="L185" s="36">
        <v>1</v>
      </c>
      <c r="M185" s="36">
        <v>0</v>
      </c>
      <c r="N185" s="10">
        <v>1</v>
      </c>
      <c r="O185" s="10">
        <v>0</v>
      </c>
      <c r="P185" s="10">
        <v>1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4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1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46">
        <v>0</v>
      </c>
    </row>
    <row r="186" spans="1:48" ht="12.75">
      <c r="A186" s="34">
        <v>185</v>
      </c>
      <c r="B186" s="165">
        <v>46.12087</v>
      </c>
      <c r="C186" s="165">
        <v>-91.21766</v>
      </c>
      <c r="D186" s="10">
        <v>24</v>
      </c>
      <c r="E186" s="10">
        <v>0</v>
      </c>
      <c r="F186" s="149">
        <v>0</v>
      </c>
      <c r="G186" s="34">
        <v>0</v>
      </c>
      <c r="H186" s="96">
        <v>0</v>
      </c>
      <c r="I186" s="10">
        <v>0</v>
      </c>
      <c r="J186" s="36">
        <v>0</v>
      </c>
      <c r="K186" s="36">
        <v>0</v>
      </c>
      <c r="L186" s="36">
        <v>0</v>
      </c>
      <c r="M186" s="36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46">
        <v>0</v>
      </c>
    </row>
    <row r="187" spans="1:48" ht="12.75">
      <c r="A187" s="34">
        <v>186</v>
      </c>
      <c r="B187" s="165">
        <v>46.12087</v>
      </c>
      <c r="C187" s="165">
        <v>-91.2172</v>
      </c>
      <c r="D187" s="10">
        <v>24</v>
      </c>
      <c r="E187" s="10">
        <v>0</v>
      </c>
      <c r="F187" s="149">
        <v>0</v>
      </c>
      <c r="G187" s="34">
        <v>0</v>
      </c>
      <c r="H187" s="96">
        <v>0</v>
      </c>
      <c r="I187" s="10">
        <v>0</v>
      </c>
      <c r="J187" s="36">
        <v>0</v>
      </c>
      <c r="K187" s="36">
        <v>0</v>
      </c>
      <c r="L187" s="36">
        <v>0</v>
      </c>
      <c r="M187" s="36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46">
        <v>0</v>
      </c>
    </row>
    <row r="188" spans="1:48" ht="12.75">
      <c r="A188" s="34">
        <v>187</v>
      </c>
      <c r="B188" s="165">
        <v>46.12088</v>
      </c>
      <c r="C188" s="165">
        <v>-91.21673</v>
      </c>
      <c r="D188" s="10">
        <v>24.5</v>
      </c>
      <c r="E188" s="10">
        <v>0</v>
      </c>
      <c r="F188" s="149">
        <v>0</v>
      </c>
      <c r="G188" s="34">
        <v>0</v>
      </c>
      <c r="H188" s="96">
        <v>0</v>
      </c>
      <c r="I188" s="10">
        <v>0</v>
      </c>
      <c r="J188" s="36">
        <v>0</v>
      </c>
      <c r="K188" s="36">
        <v>0</v>
      </c>
      <c r="L188" s="36">
        <v>0</v>
      </c>
      <c r="M188" s="36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46">
        <v>0</v>
      </c>
    </row>
    <row r="189" spans="1:48" ht="12.75">
      <c r="A189" s="34">
        <v>188</v>
      </c>
      <c r="B189" s="165">
        <v>46.12088</v>
      </c>
      <c r="C189" s="165">
        <v>-91.21626</v>
      </c>
      <c r="D189" s="10">
        <v>25</v>
      </c>
      <c r="E189" s="10">
        <v>0</v>
      </c>
      <c r="F189" s="149">
        <v>0</v>
      </c>
      <c r="G189" s="34">
        <v>0</v>
      </c>
      <c r="H189" s="96">
        <v>0</v>
      </c>
      <c r="I189" s="10">
        <v>0</v>
      </c>
      <c r="J189" s="36">
        <v>0</v>
      </c>
      <c r="K189" s="36">
        <v>0</v>
      </c>
      <c r="L189" s="36">
        <v>0</v>
      </c>
      <c r="M189" s="36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46">
        <v>0</v>
      </c>
    </row>
    <row r="190" spans="1:48" ht="12.75">
      <c r="A190" s="34">
        <v>189</v>
      </c>
      <c r="B190" s="165">
        <v>46.12089</v>
      </c>
      <c r="C190" s="165">
        <v>-91.2158</v>
      </c>
      <c r="D190" s="10">
        <v>25</v>
      </c>
      <c r="E190" s="10">
        <v>0</v>
      </c>
      <c r="F190" s="149">
        <v>0</v>
      </c>
      <c r="G190" s="34">
        <v>0</v>
      </c>
      <c r="H190" s="96">
        <v>0</v>
      </c>
      <c r="I190" s="10">
        <v>0</v>
      </c>
      <c r="J190" s="36">
        <v>0</v>
      </c>
      <c r="K190" s="36">
        <v>0</v>
      </c>
      <c r="L190" s="36">
        <v>0</v>
      </c>
      <c r="M190" s="36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46">
        <v>0</v>
      </c>
    </row>
    <row r="191" spans="1:48" ht="12.75">
      <c r="A191" s="34">
        <v>190</v>
      </c>
      <c r="B191" s="165">
        <v>46.12089</v>
      </c>
      <c r="C191" s="165">
        <v>-91.21533</v>
      </c>
      <c r="D191" s="10">
        <v>26.5</v>
      </c>
      <c r="E191" s="10">
        <v>0</v>
      </c>
      <c r="F191" s="149">
        <v>0</v>
      </c>
      <c r="G191" s="34">
        <v>0</v>
      </c>
      <c r="H191" s="96">
        <v>0</v>
      </c>
      <c r="I191" s="10">
        <v>0</v>
      </c>
      <c r="J191" s="36">
        <v>0</v>
      </c>
      <c r="K191" s="36">
        <v>0</v>
      </c>
      <c r="L191" s="36">
        <v>0</v>
      </c>
      <c r="M191" s="36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46">
        <v>0</v>
      </c>
    </row>
    <row r="192" spans="1:48" ht="12.75">
      <c r="A192" s="34">
        <v>191</v>
      </c>
      <c r="B192" s="165">
        <v>46.1209</v>
      </c>
      <c r="C192" s="165">
        <v>-91.21487</v>
      </c>
      <c r="D192" s="10">
        <v>25.5</v>
      </c>
      <c r="E192" s="10">
        <v>0</v>
      </c>
      <c r="F192" s="149">
        <v>0</v>
      </c>
      <c r="G192" s="34">
        <v>0</v>
      </c>
      <c r="H192" s="96">
        <v>0</v>
      </c>
      <c r="I192" s="10">
        <v>0</v>
      </c>
      <c r="J192" s="36">
        <v>0</v>
      </c>
      <c r="K192" s="36">
        <v>0</v>
      </c>
      <c r="L192" s="36">
        <v>0</v>
      </c>
      <c r="M192" s="36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46">
        <v>0</v>
      </c>
    </row>
    <row r="193" spans="1:48" ht="12.75">
      <c r="A193" s="34">
        <v>192</v>
      </c>
      <c r="B193" s="165">
        <v>46.1209</v>
      </c>
      <c r="C193" s="165">
        <v>-91.2144</v>
      </c>
      <c r="D193" s="10">
        <v>24</v>
      </c>
      <c r="E193" s="10">
        <v>0</v>
      </c>
      <c r="F193" s="149">
        <v>0</v>
      </c>
      <c r="G193" s="34">
        <v>0</v>
      </c>
      <c r="H193" s="96">
        <v>0</v>
      </c>
      <c r="I193" s="10">
        <v>0</v>
      </c>
      <c r="J193" s="36">
        <v>0</v>
      </c>
      <c r="K193" s="36">
        <v>0</v>
      </c>
      <c r="L193" s="36">
        <v>0</v>
      </c>
      <c r="M193" s="36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46">
        <v>0</v>
      </c>
    </row>
    <row r="194" spans="1:48" ht="12.75">
      <c r="A194" s="34">
        <v>193</v>
      </c>
      <c r="B194" s="165">
        <v>46.12091</v>
      </c>
      <c r="C194" s="165">
        <v>-91.21394</v>
      </c>
      <c r="D194" s="10">
        <v>19.5</v>
      </c>
      <c r="E194" s="10">
        <v>0</v>
      </c>
      <c r="F194" s="149">
        <v>0</v>
      </c>
      <c r="G194" s="34">
        <v>0</v>
      </c>
      <c r="H194" s="96">
        <v>0</v>
      </c>
      <c r="I194" s="10">
        <v>0</v>
      </c>
      <c r="J194" s="36">
        <v>0</v>
      </c>
      <c r="K194" s="36">
        <v>0</v>
      </c>
      <c r="L194" s="36">
        <v>0</v>
      </c>
      <c r="M194" s="36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46">
        <v>0</v>
      </c>
    </row>
    <row r="195" spans="1:48" ht="12.75">
      <c r="A195" s="34">
        <v>194</v>
      </c>
      <c r="B195" s="165">
        <v>46.12091</v>
      </c>
      <c r="C195" s="165">
        <v>-91.21347</v>
      </c>
      <c r="D195" s="10">
        <v>14.5</v>
      </c>
      <c r="E195" s="10" t="s">
        <v>563</v>
      </c>
      <c r="F195" s="149">
        <v>0</v>
      </c>
      <c r="G195" s="34">
        <v>0</v>
      </c>
      <c r="H195" s="96">
        <v>0</v>
      </c>
      <c r="I195" s="10">
        <v>0</v>
      </c>
      <c r="J195" s="36">
        <v>0</v>
      </c>
      <c r="K195" s="36">
        <v>0</v>
      </c>
      <c r="L195" s="36">
        <v>0</v>
      </c>
      <c r="M195" s="36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46">
        <v>0</v>
      </c>
    </row>
    <row r="196" spans="1:48" ht="12.75">
      <c r="A196" s="34">
        <v>195</v>
      </c>
      <c r="B196" s="165">
        <v>46.12092</v>
      </c>
      <c r="C196" s="165">
        <v>-91.213</v>
      </c>
      <c r="D196" s="10">
        <v>15</v>
      </c>
      <c r="E196" s="10" t="s">
        <v>563</v>
      </c>
      <c r="F196" s="149">
        <v>0</v>
      </c>
      <c r="G196" s="34">
        <v>0</v>
      </c>
      <c r="H196" s="96">
        <v>0</v>
      </c>
      <c r="I196" s="10">
        <v>0</v>
      </c>
      <c r="J196" s="36">
        <v>0</v>
      </c>
      <c r="K196" s="36">
        <v>0</v>
      </c>
      <c r="L196" s="36">
        <v>0</v>
      </c>
      <c r="M196" s="36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46">
        <v>0</v>
      </c>
    </row>
    <row r="197" spans="1:48" ht="12.75">
      <c r="A197" s="34">
        <v>196</v>
      </c>
      <c r="B197" s="165">
        <v>46.12092</v>
      </c>
      <c r="C197" s="165">
        <v>-91.21254</v>
      </c>
      <c r="D197" s="10">
        <v>14</v>
      </c>
      <c r="E197" s="10" t="s">
        <v>563</v>
      </c>
      <c r="F197" s="149">
        <v>1</v>
      </c>
      <c r="G197" s="34">
        <v>0</v>
      </c>
      <c r="H197" s="96">
        <v>0</v>
      </c>
      <c r="I197" s="10">
        <v>0</v>
      </c>
      <c r="J197" s="36">
        <v>0</v>
      </c>
      <c r="K197" s="36">
        <v>0</v>
      </c>
      <c r="L197" s="36">
        <v>0</v>
      </c>
      <c r="M197" s="36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46">
        <v>0</v>
      </c>
    </row>
    <row r="198" spans="1:48" ht="12.75">
      <c r="A198" s="34">
        <v>197</v>
      </c>
      <c r="B198" s="165">
        <v>46.12093</v>
      </c>
      <c r="C198" s="165">
        <v>-91.21207</v>
      </c>
      <c r="D198" s="10">
        <v>15</v>
      </c>
      <c r="E198" s="10" t="s">
        <v>563</v>
      </c>
      <c r="F198" s="149">
        <v>0</v>
      </c>
      <c r="G198" s="34">
        <v>0</v>
      </c>
      <c r="H198" s="96">
        <v>0</v>
      </c>
      <c r="I198" s="10">
        <v>0</v>
      </c>
      <c r="J198" s="36">
        <v>0</v>
      </c>
      <c r="K198" s="36">
        <v>0</v>
      </c>
      <c r="L198" s="36">
        <v>0</v>
      </c>
      <c r="M198" s="36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46">
        <v>0</v>
      </c>
    </row>
    <row r="199" spans="1:48" ht="12.75">
      <c r="A199" s="34">
        <v>198</v>
      </c>
      <c r="B199" s="165">
        <v>46.12093</v>
      </c>
      <c r="C199" s="165">
        <v>-91.21161</v>
      </c>
      <c r="D199" s="10">
        <v>13</v>
      </c>
      <c r="E199" s="10" t="s">
        <v>563</v>
      </c>
      <c r="F199" s="149">
        <v>1</v>
      </c>
      <c r="G199" s="34">
        <v>0</v>
      </c>
      <c r="H199" s="96">
        <v>0</v>
      </c>
      <c r="I199" s="10">
        <v>0</v>
      </c>
      <c r="J199" s="36">
        <v>0</v>
      </c>
      <c r="K199" s="36">
        <v>0</v>
      </c>
      <c r="L199" s="36">
        <v>0</v>
      </c>
      <c r="M199" s="36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46">
        <v>0</v>
      </c>
    </row>
    <row r="200" spans="1:48" ht="12.75">
      <c r="A200" s="34">
        <v>199</v>
      </c>
      <c r="B200" s="165">
        <v>46.12094</v>
      </c>
      <c r="C200" s="165">
        <v>-91.21114</v>
      </c>
      <c r="D200" s="10">
        <v>10.5</v>
      </c>
      <c r="E200" s="10" t="s">
        <v>563</v>
      </c>
      <c r="F200" s="149">
        <v>1</v>
      </c>
      <c r="G200" s="34">
        <v>1</v>
      </c>
      <c r="H200" s="96">
        <v>1</v>
      </c>
      <c r="I200" s="10">
        <v>1</v>
      </c>
      <c r="J200" s="36">
        <v>0</v>
      </c>
      <c r="K200" s="36">
        <v>0</v>
      </c>
      <c r="L200" s="36">
        <v>0</v>
      </c>
      <c r="M200" s="36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1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46">
        <v>0</v>
      </c>
    </row>
    <row r="201" spans="1:48" ht="12.75">
      <c r="A201" s="34">
        <v>200</v>
      </c>
      <c r="B201" s="165">
        <v>46.12094</v>
      </c>
      <c r="C201" s="165">
        <v>-91.21067</v>
      </c>
      <c r="D201" s="10">
        <v>6</v>
      </c>
      <c r="E201" s="10" t="s">
        <v>565</v>
      </c>
      <c r="F201" s="149">
        <v>1</v>
      </c>
      <c r="G201" s="34">
        <v>1</v>
      </c>
      <c r="H201" s="96">
        <v>2</v>
      </c>
      <c r="I201" s="10">
        <v>1</v>
      </c>
      <c r="J201" s="36">
        <v>0</v>
      </c>
      <c r="K201" s="36">
        <v>0</v>
      </c>
      <c r="L201" s="36">
        <v>1</v>
      </c>
      <c r="M201" s="36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1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46">
        <v>1</v>
      </c>
    </row>
    <row r="202" spans="1:48" ht="12.75">
      <c r="A202" s="34">
        <v>201</v>
      </c>
      <c r="B202" s="165">
        <v>46.12116</v>
      </c>
      <c r="C202" s="165">
        <v>-91.22093</v>
      </c>
      <c r="D202" s="10">
        <v>3.5</v>
      </c>
      <c r="E202" s="10" t="s">
        <v>563</v>
      </c>
      <c r="F202" s="149">
        <v>1</v>
      </c>
      <c r="G202" s="34">
        <v>1</v>
      </c>
      <c r="H202" s="96">
        <v>8</v>
      </c>
      <c r="I202" s="10">
        <v>3</v>
      </c>
      <c r="J202" s="36">
        <v>0</v>
      </c>
      <c r="K202" s="36">
        <v>0</v>
      </c>
      <c r="L202" s="36">
        <v>1</v>
      </c>
      <c r="M202" s="36">
        <v>2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2</v>
      </c>
      <c r="T202" s="10">
        <v>0</v>
      </c>
      <c r="U202" s="10">
        <v>0</v>
      </c>
      <c r="V202" s="10">
        <v>1</v>
      </c>
      <c r="W202" s="10">
        <v>0</v>
      </c>
      <c r="X202" s="10">
        <v>0</v>
      </c>
      <c r="Y202" s="10">
        <v>0</v>
      </c>
      <c r="Z202" s="10">
        <v>0</v>
      </c>
      <c r="AA202" s="10">
        <v>2</v>
      </c>
      <c r="AB202" s="10">
        <v>2</v>
      </c>
      <c r="AC202" s="10">
        <v>0</v>
      </c>
      <c r="AD202" s="10">
        <v>0</v>
      </c>
      <c r="AE202" s="10">
        <v>0</v>
      </c>
      <c r="AF202" s="10">
        <v>0</v>
      </c>
      <c r="AG202" s="10">
        <v>1</v>
      </c>
      <c r="AH202" s="10">
        <v>0</v>
      </c>
      <c r="AI202" s="10">
        <v>1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46">
        <v>0</v>
      </c>
    </row>
    <row r="203" spans="1:48" ht="12.75">
      <c r="A203" s="34">
        <v>202</v>
      </c>
      <c r="B203" s="165">
        <v>46.12116</v>
      </c>
      <c r="C203" s="165">
        <v>-91.22046</v>
      </c>
      <c r="D203" s="10">
        <v>14</v>
      </c>
      <c r="E203" s="10" t="s">
        <v>563</v>
      </c>
      <c r="F203" s="149">
        <v>1</v>
      </c>
      <c r="G203" s="34">
        <v>0</v>
      </c>
      <c r="H203" s="96">
        <v>0</v>
      </c>
      <c r="I203" s="10">
        <v>0</v>
      </c>
      <c r="J203" s="36">
        <v>0</v>
      </c>
      <c r="K203" s="36">
        <v>0</v>
      </c>
      <c r="L203" s="36">
        <v>0</v>
      </c>
      <c r="M203" s="36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46">
        <v>0</v>
      </c>
    </row>
    <row r="204" spans="1:48" ht="12.75">
      <c r="A204" s="34">
        <v>203</v>
      </c>
      <c r="B204" s="165">
        <v>46.12117</v>
      </c>
      <c r="C204" s="165">
        <v>-91.22</v>
      </c>
      <c r="D204" s="10">
        <v>19.5</v>
      </c>
      <c r="E204" s="10">
        <v>0</v>
      </c>
      <c r="F204" s="149">
        <v>0</v>
      </c>
      <c r="G204" s="34">
        <v>0</v>
      </c>
      <c r="H204" s="96">
        <v>0</v>
      </c>
      <c r="I204" s="10">
        <v>0</v>
      </c>
      <c r="J204" s="36">
        <v>0</v>
      </c>
      <c r="K204" s="36">
        <v>0</v>
      </c>
      <c r="L204" s="36">
        <v>0</v>
      </c>
      <c r="M204" s="36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46">
        <v>0</v>
      </c>
    </row>
    <row r="205" spans="1:48" ht="12.75">
      <c r="A205" s="34">
        <v>204</v>
      </c>
      <c r="B205" s="165">
        <v>46.12117</v>
      </c>
      <c r="C205" s="165">
        <v>-91.21953</v>
      </c>
      <c r="D205" s="10">
        <v>7.5</v>
      </c>
      <c r="E205" s="10" t="s">
        <v>563</v>
      </c>
      <c r="F205" s="149">
        <v>1</v>
      </c>
      <c r="G205" s="34">
        <v>1</v>
      </c>
      <c r="H205" s="96">
        <v>5</v>
      </c>
      <c r="I205" s="10">
        <v>1</v>
      </c>
      <c r="J205" s="36">
        <v>0</v>
      </c>
      <c r="K205" s="36">
        <v>0</v>
      </c>
      <c r="L205" s="36">
        <v>1</v>
      </c>
      <c r="M205" s="36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1</v>
      </c>
      <c r="T205" s="10">
        <v>1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1</v>
      </c>
      <c r="AH205" s="10">
        <v>0</v>
      </c>
      <c r="AI205" s="10">
        <v>0</v>
      </c>
      <c r="AJ205" s="10">
        <v>1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46">
        <v>0</v>
      </c>
    </row>
    <row r="206" spans="1:48" ht="12.75">
      <c r="A206" s="34">
        <v>205</v>
      </c>
      <c r="B206" s="165">
        <v>46.12119</v>
      </c>
      <c r="C206" s="165">
        <v>-91.21813</v>
      </c>
      <c r="D206" s="10">
        <v>4.5</v>
      </c>
      <c r="E206" s="10" t="s">
        <v>564</v>
      </c>
      <c r="F206" s="149">
        <v>1</v>
      </c>
      <c r="G206" s="34">
        <v>1</v>
      </c>
      <c r="H206" s="96">
        <v>5</v>
      </c>
      <c r="I206" s="10">
        <v>2</v>
      </c>
      <c r="J206" s="36">
        <v>0</v>
      </c>
      <c r="K206" s="36">
        <v>0</v>
      </c>
      <c r="L206" s="36">
        <v>0</v>
      </c>
      <c r="M206" s="36">
        <v>0</v>
      </c>
      <c r="N206" s="10">
        <v>0</v>
      </c>
      <c r="O206" s="10">
        <v>1</v>
      </c>
      <c r="P206" s="10">
        <v>0</v>
      </c>
      <c r="Q206" s="10">
        <v>1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2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2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1</v>
      </c>
      <c r="AU206" s="10">
        <v>0</v>
      </c>
      <c r="AV206" s="146">
        <v>0</v>
      </c>
    </row>
    <row r="207" spans="1:48" ht="12.75">
      <c r="A207" s="34">
        <v>206</v>
      </c>
      <c r="B207" s="165">
        <v>46.12119</v>
      </c>
      <c r="C207" s="165">
        <v>-91.21767</v>
      </c>
      <c r="D207" s="10">
        <v>22</v>
      </c>
      <c r="E207" s="10">
        <v>0</v>
      </c>
      <c r="F207" s="149">
        <v>0</v>
      </c>
      <c r="G207" s="34">
        <v>0</v>
      </c>
      <c r="H207" s="96">
        <v>0</v>
      </c>
      <c r="I207" s="10">
        <v>0</v>
      </c>
      <c r="J207" s="36">
        <v>0</v>
      </c>
      <c r="K207" s="36">
        <v>0</v>
      </c>
      <c r="L207" s="36">
        <v>0</v>
      </c>
      <c r="M207" s="36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46">
        <v>0</v>
      </c>
    </row>
    <row r="208" spans="1:48" ht="12.75">
      <c r="A208" s="34">
        <v>207</v>
      </c>
      <c r="B208" s="165">
        <v>46.1212</v>
      </c>
      <c r="C208" s="165">
        <v>-91.2172</v>
      </c>
      <c r="D208" s="10">
        <v>23</v>
      </c>
      <c r="E208" s="10">
        <v>0</v>
      </c>
      <c r="F208" s="149">
        <v>0</v>
      </c>
      <c r="G208" s="34">
        <v>0</v>
      </c>
      <c r="H208" s="96">
        <v>0</v>
      </c>
      <c r="I208" s="10">
        <v>0</v>
      </c>
      <c r="J208" s="36">
        <v>0</v>
      </c>
      <c r="K208" s="36">
        <v>0</v>
      </c>
      <c r="L208" s="36">
        <v>0</v>
      </c>
      <c r="M208" s="36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46">
        <v>0</v>
      </c>
    </row>
    <row r="209" spans="1:48" ht="12.75">
      <c r="A209" s="34">
        <v>208</v>
      </c>
      <c r="B209" s="165">
        <v>46.1212</v>
      </c>
      <c r="C209" s="165">
        <v>-91.21674</v>
      </c>
      <c r="D209" s="10">
        <v>18</v>
      </c>
      <c r="E209" s="10">
        <v>0</v>
      </c>
      <c r="F209" s="149">
        <v>0</v>
      </c>
      <c r="G209" s="34">
        <v>0</v>
      </c>
      <c r="H209" s="96">
        <v>0</v>
      </c>
      <c r="I209" s="10">
        <v>0</v>
      </c>
      <c r="J209" s="36">
        <v>0</v>
      </c>
      <c r="K209" s="36">
        <v>0</v>
      </c>
      <c r="L209" s="36">
        <v>0</v>
      </c>
      <c r="M209" s="36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46">
        <v>0</v>
      </c>
    </row>
    <row r="210" spans="1:48" ht="12.75">
      <c r="A210" s="34">
        <v>209</v>
      </c>
      <c r="B210" s="165">
        <v>46.12121</v>
      </c>
      <c r="C210" s="165">
        <v>-91.21627</v>
      </c>
      <c r="D210" s="10">
        <v>18.5</v>
      </c>
      <c r="E210" s="10">
        <v>0</v>
      </c>
      <c r="F210" s="149">
        <v>0</v>
      </c>
      <c r="G210" s="34">
        <v>0</v>
      </c>
      <c r="H210" s="96">
        <v>0</v>
      </c>
      <c r="I210" s="10">
        <v>0</v>
      </c>
      <c r="J210" s="36">
        <v>0</v>
      </c>
      <c r="K210" s="36">
        <v>0</v>
      </c>
      <c r="L210" s="36">
        <v>0</v>
      </c>
      <c r="M210" s="36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46">
        <v>0</v>
      </c>
    </row>
    <row r="211" spans="1:48" ht="12.75">
      <c r="A211" s="34">
        <v>210</v>
      </c>
      <c r="B211" s="165">
        <v>46.12121</v>
      </c>
      <c r="C211" s="165">
        <v>-91.21581</v>
      </c>
      <c r="D211" s="10">
        <v>19.5</v>
      </c>
      <c r="E211" s="10">
        <v>0</v>
      </c>
      <c r="F211" s="149">
        <v>0</v>
      </c>
      <c r="G211" s="34">
        <v>0</v>
      </c>
      <c r="H211" s="96">
        <v>0</v>
      </c>
      <c r="I211" s="10">
        <v>0</v>
      </c>
      <c r="J211" s="36">
        <v>0</v>
      </c>
      <c r="K211" s="36">
        <v>0</v>
      </c>
      <c r="L211" s="36">
        <v>0</v>
      </c>
      <c r="M211" s="36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46">
        <v>0</v>
      </c>
    </row>
    <row r="212" spans="1:48" ht="12.75">
      <c r="A212" s="34">
        <v>211</v>
      </c>
      <c r="B212" s="165">
        <v>46.12122</v>
      </c>
      <c r="C212" s="165">
        <v>-91.21534</v>
      </c>
      <c r="D212" s="10">
        <v>18.5</v>
      </c>
      <c r="E212" s="10">
        <v>0</v>
      </c>
      <c r="F212" s="149">
        <v>0</v>
      </c>
      <c r="G212" s="34">
        <v>0</v>
      </c>
      <c r="H212" s="96">
        <v>0</v>
      </c>
      <c r="I212" s="10">
        <v>0</v>
      </c>
      <c r="J212" s="36">
        <v>0</v>
      </c>
      <c r="K212" s="36">
        <v>0</v>
      </c>
      <c r="L212" s="36">
        <v>0</v>
      </c>
      <c r="M212" s="36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46">
        <v>0</v>
      </c>
    </row>
    <row r="213" spans="1:48" ht="12.75">
      <c r="A213" s="34">
        <v>212</v>
      </c>
      <c r="B213" s="165">
        <v>46.12122</v>
      </c>
      <c r="C213" s="165">
        <v>-91.21487</v>
      </c>
      <c r="D213" s="10">
        <v>19.5</v>
      </c>
      <c r="E213" s="10">
        <v>0</v>
      </c>
      <c r="F213" s="149">
        <v>0</v>
      </c>
      <c r="G213" s="34">
        <v>0</v>
      </c>
      <c r="H213" s="96">
        <v>0</v>
      </c>
      <c r="I213" s="10">
        <v>0</v>
      </c>
      <c r="J213" s="36">
        <v>0</v>
      </c>
      <c r="K213" s="36">
        <v>0</v>
      </c>
      <c r="L213" s="36">
        <v>0</v>
      </c>
      <c r="M213" s="36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46">
        <v>0</v>
      </c>
    </row>
    <row r="214" spans="1:48" ht="12.75">
      <c r="A214" s="34">
        <v>213</v>
      </c>
      <c r="B214" s="165">
        <v>46.12123</v>
      </c>
      <c r="C214" s="165">
        <v>-91.21441</v>
      </c>
      <c r="D214" s="10">
        <v>24</v>
      </c>
      <c r="E214" s="10">
        <v>0</v>
      </c>
      <c r="F214" s="149">
        <v>0</v>
      </c>
      <c r="G214" s="34">
        <v>0</v>
      </c>
      <c r="H214" s="96">
        <v>0</v>
      </c>
      <c r="I214" s="10">
        <v>0</v>
      </c>
      <c r="J214" s="36">
        <v>0</v>
      </c>
      <c r="K214" s="36">
        <v>0</v>
      </c>
      <c r="L214" s="36">
        <v>0</v>
      </c>
      <c r="M214" s="36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V214" s="146">
        <v>0</v>
      </c>
    </row>
    <row r="215" spans="1:48" ht="12.75">
      <c r="A215" s="34">
        <v>214</v>
      </c>
      <c r="B215" s="165">
        <v>46.12123</v>
      </c>
      <c r="C215" s="165">
        <v>-91.21394</v>
      </c>
      <c r="D215" s="10">
        <v>23.5</v>
      </c>
      <c r="E215" s="10">
        <v>0</v>
      </c>
      <c r="F215" s="149">
        <v>0</v>
      </c>
      <c r="G215" s="34">
        <v>0</v>
      </c>
      <c r="H215" s="96">
        <v>0</v>
      </c>
      <c r="I215" s="10">
        <v>0</v>
      </c>
      <c r="J215" s="36">
        <v>0</v>
      </c>
      <c r="K215" s="36">
        <v>0</v>
      </c>
      <c r="L215" s="36">
        <v>0</v>
      </c>
      <c r="M215" s="36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46">
        <v>0</v>
      </c>
    </row>
    <row r="216" spans="1:48" ht="12.75">
      <c r="A216" s="34">
        <v>215</v>
      </c>
      <c r="B216" s="165">
        <v>46.12124</v>
      </c>
      <c r="C216" s="165">
        <v>-91.21348</v>
      </c>
      <c r="D216" s="10">
        <v>20</v>
      </c>
      <c r="E216" s="10">
        <v>0</v>
      </c>
      <c r="F216" s="149">
        <v>0</v>
      </c>
      <c r="G216" s="34">
        <v>0</v>
      </c>
      <c r="H216" s="96">
        <v>0</v>
      </c>
      <c r="I216" s="10">
        <v>0</v>
      </c>
      <c r="J216" s="36">
        <v>0</v>
      </c>
      <c r="K216" s="36">
        <v>0</v>
      </c>
      <c r="L216" s="36">
        <v>0</v>
      </c>
      <c r="M216" s="36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46">
        <v>0</v>
      </c>
    </row>
    <row r="217" spans="1:48" ht="12.75">
      <c r="A217" s="34">
        <v>216</v>
      </c>
      <c r="B217" s="165">
        <v>46.12124</v>
      </c>
      <c r="C217" s="165">
        <v>-91.21301</v>
      </c>
      <c r="D217" s="10">
        <v>20.5</v>
      </c>
      <c r="E217" s="10">
        <v>0</v>
      </c>
      <c r="F217" s="149">
        <v>0</v>
      </c>
      <c r="G217" s="34">
        <v>0</v>
      </c>
      <c r="H217" s="96">
        <v>0</v>
      </c>
      <c r="I217" s="10">
        <v>0</v>
      </c>
      <c r="J217" s="36">
        <v>0</v>
      </c>
      <c r="K217" s="36">
        <v>0</v>
      </c>
      <c r="L217" s="36">
        <v>0</v>
      </c>
      <c r="M217" s="36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46">
        <v>0</v>
      </c>
    </row>
    <row r="218" spans="1:48" ht="12.75">
      <c r="A218" s="34">
        <v>217</v>
      </c>
      <c r="B218" s="165">
        <v>46.12125</v>
      </c>
      <c r="C218" s="165">
        <v>-91.21254</v>
      </c>
      <c r="D218" s="10">
        <v>19.5</v>
      </c>
      <c r="E218" s="10">
        <v>0</v>
      </c>
      <c r="F218" s="149">
        <v>0</v>
      </c>
      <c r="G218" s="34">
        <v>0</v>
      </c>
      <c r="H218" s="96">
        <v>0</v>
      </c>
      <c r="I218" s="10">
        <v>0</v>
      </c>
      <c r="J218" s="36">
        <v>0</v>
      </c>
      <c r="K218" s="36">
        <v>0</v>
      </c>
      <c r="L218" s="36">
        <v>0</v>
      </c>
      <c r="M218" s="36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46">
        <v>0</v>
      </c>
    </row>
    <row r="219" spans="1:48" ht="12.75">
      <c r="A219" s="34">
        <v>218</v>
      </c>
      <c r="B219" s="165">
        <v>46.12125</v>
      </c>
      <c r="C219" s="165">
        <v>-91.21208</v>
      </c>
      <c r="D219" s="10">
        <v>19.5</v>
      </c>
      <c r="E219" s="10">
        <v>0</v>
      </c>
      <c r="F219" s="149">
        <v>0</v>
      </c>
      <c r="G219" s="34">
        <v>0</v>
      </c>
      <c r="H219" s="96">
        <v>0</v>
      </c>
      <c r="I219" s="10">
        <v>0</v>
      </c>
      <c r="J219" s="36">
        <v>0</v>
      </c>
      <c r="K219" s="36">
        <v>0</v>
      </c>
      <c r="L219" s="36">
        <v>0</v>
      </c>
      <c r="M219" s="36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46">
        <v>0</v>
      </c>
    </row>
    <row r="220" spans="1:48" ht="12.75">
      <c r="A220" s="34">
        <v>219</v>
      </c>
      <c r="B220" s="165">
        <v>46.12125</v>
      </c>
      <c r="C220" s="165">
        <v>-91.21161</v>
      </c>
      <c r="D220" s="10">
        <v>17.5</v>
      </c>
      <c r="E220" s="10">
        <v>0</v>
      </c>
      <c r="F220" s="149">
        <v>0</v>
      </c>
      <c r="G220" s="34">
        <v>0</v>
      </c>
      <c r="H220" s="96">
        <v>0</v>
      </c>
      <c r="I220" s="10">
        <v>0</v>
      </c>
      <c r="J220" s="36">
        <v>0</v>
      </c>
      <c r="K220" s="36">
        <v>0</v>
      </c>
      <c r="L220" s="36">
        <v>0</v>
      </c>
      <c r="M220" s="36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46">
        <v>0</v>
      </c>
    </row>
    <row r="221" spans="1:48" ht="12.75">
      <c r="A221" s="34">
        <v>220</v>
      </c>
      <c r="B221" s="165">
        <v>46.12126</v>
      </c>
      <c r="C221" s="165">
        <v>-91.21115</v>
      </c>
      <c r="D221" s="10">
        <v>16</v>
      </c>
      <c r="E221" s="10">
        <v>0</v>
      </c>
      <c r="F221" s="149">
        <v>0</v>
      </c>
      <c r="G221" s="34">
        <v>0</v>
      </c>
      <c r="H221" s="96">
        <v>0</v>
      </c>
      <c r="I221" s="10">
        <v>0</v>
      </c>
      <c r="J221" s="36">
        <v>0</v>
      </c>
      <c r="K221" s="36">
        <v>0</v>
      </c>
      <c r="L221" s="36">
        <v>0</v>
      </c>
      <c r="M221" s="36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46">
        <v>0</v>
      </c>
    </row>
    <row r="222" spans="1:48" ht="12.75">
      <c r="A222" s="34">
        <v>221</v>
      </c>
      <c r="B222" s="165">
        <v>46.12127</v>
      </c>
      <c r="C222" s="165">
        <v>-91.21068</v>
      </c>
      <c r="D222" s="10">
        <v>11.5</v>
      </c>
      <c r="E222" s="10" t="s">
        <v>563</v>
      </c>
      <c r="F222" s="149">
        <v>1</v>
      </c>
      <c r="G222" s="34">
        <v>0</v>
      </c>
      <c r="H222" s="96">
        <v>0</v>
      </c>
      <c r="I222" s="10">
        <v>0</v>
      </c>
      <c r="J222" s="36">
        <v>0</v>
      </c>
      <c r="K222" s="36">
        <v>0</v>
      </c>
      <c r="L222" s="36">
        <v>0</v>
      </c>
      <c r="M222" s="36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46">
        <v>0</v>
      </c>
    </row>
    <row r="223" spans="1:48" ht="12.75">
      <c r="A223" s="34">
        <v>222</v>
      </c>
      <c r="B223" s="165">
        <v>46.12127</v>
      </c>
      <c r="C223" s="165">
        <v>-91.21021</v>
      </c>
      <c r="D223" s="10">
        <v>6.5</v>
      </c>
      <c r="E223" s="10" t="s">
        <v>563</v>
      </c>
      <c r="F223" s="149">
        <v>1</v>
      </c>
      <c r="G223" s="34">
        <v>1</v>
      </c>
      <c r="H223" s="96">
        <v>3</v>
      </c>
      <c r="I223" s="10">
        <v>1</v>
      </c>
      <c r="J223" s="36">
        <v>0</v>
      </c>
      <c r="K223" s="36">
        <v>0</v>
      </c>
      <c r="L223" s="36">
        <v>1</v>
      </c>
      <c r="M223" s="36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1</v>
      </c>
      <c r="AG223" s="10">
        <v>0</v>
      </c>
      <c r="AH223" s="10">
        <v>0</v>
      </c>
      <c r="AI223" s="10">
        <v>0</v>
      </c>
      <c r="AJ223" s="10">
        <v>1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46">
        <v>0</v>
      </c>
    </row>
    <row r="224" spans="1:48" ht="12.75">
      <c r="A224" s="34">
        <v>223</v>
      </c>
      <c r="B224" s="165">
        <v>46.12148</v>
      </c>
      <c r="C224" s="165">
        <v>-91.22094</v>
      </c>
      <c r="D224" s="10">
        <v>1.5</v>
      </c>
      <c r="E224" s="10" t="s">
        <v>563</v>
      </c>
      <c r="F224" s="149">
        <v>1</v>
      </c>
      <c r="G224" s="34">
        <v>1</v>
      </c>
      <c r="H224" s="96">
        <v>8</v>
      </c>
      <c r="I224" s="10">
        <v>3</v>
      </c>
      <c r="J224" s="36">
        <v>0</v>
      </c>
      <c r="K224" s="36">
        <v>1</v>
      </c>
      <c r="L224" s="36">
        <v>1</v>
      </c>
      <c r="M224" s="36">
        <v>0</v>
      </c>
      <c r="N224" s="10">
        <v>4</v>
      </c>
      <c r="O224" s="10">
        <v>0</v>
      </c>
      <c r="P224" s="10">
        <v>0</v>
      </c>
      <c r="Q224" s="10">
        <v>1</v>
      </c>
      <c r="R224" s="10">
        <v>0</v>
      </c>
      <c r="S224" s="10">
        <v>1</v>
      </c>
      <c r="T224" s="10">
        <v>0</v>
      </c>
      <c r="U224" s="10">
        <v>1</v>
      </c>
      <c r="V224" s="10">
        <v>4</v>
      </c>
      <c r="W224" s="10">
        <v>0</v>
      </c>
      <c r="X224" s="10">
        <v>3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1</v>
      </c>
      <c r="AF224" s="10">
        <v>0</v>
      </c>
      <c r="AG224" s="10">
        <v>1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4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46">
        <v>0</v>
      </c>
    </row>
    <row r="225" spans="1:48" ht="12.75">
      <c r="A225" s="34">
        <v>224</v>
      </c>
      <c r="B225" s="165">
        <v>46.12148</v>
      </c>
      <c r="C225" s="165">
        <v>-91.22047</v>
      </c>
      <c r="D225" s="10">
        <v>4.5</v>
      </c>
      <c r="E225" s="10" t="s">
        <v>563</v>
      </c>
      <c r="F225" s="149">
        <v>1</v>
      </c>
      <c r="G225" s="34">
        <v>1</v>
      </c>
      <c r="H225" s="96">
        <v>4</v>
      </c>
      <c r="I225" s="10">
        <v>2</v>
      </c>
      <c r="J225" s="36">
        <v>0</v>
      </c>
      <c r="K225" s="36">
        <v>0</v>
      </c>
      <c r="L225" s="36">
        <v>2</v>
      </c>
      <c r="M225" s="36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1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4</v>
      </c>
      <c r="AG225" s="10">
        <v>0</v>
      </c>
      <c r="AH225" s="10">
        <v>0</v>
      </c>
      <c r="AI225" s="10">
        <v>1</v>
      </c>
      <c r="AJ225" s="10">
        <v>2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46">
        <v>0</v>
      </c>
    </row>
    <row r="226" spans="1:48" ht="12.75">
      <c r="A226" s="34">
        <v>225</v>
      </c>
      <c r="B226" s="165">
        <v>46.12149</v>
      </c>
      <c r="C226" s="165">
        <v>-91.22001</v>
      </c>
      <c r="D226" s="10">
        <v>12</v>
      </c>
      <c r="E226" s="10" t="s">
        <v>563</v>
      </c>
      <c r="F226" s="149">
        <v>1</v>
      </c>
      <c r="G226" s="34">
        <v>1</v>
      </c>
      <c r="H226" s="96">
        <v>2</v>
      </c>
      <c r="I226" s="10">
        <v>1</v>
      </c>
      <c r="J226" s="36">
        <v>1</v>
      </c>
      <c r="K226" s="36">
        <v>0</v>
      </c>
      <c r="L226" s="36">
        <v>0</v>
      </c>
      <c r="M226" s="36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1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46">
        <v>0</v>
      </c>
    </row>
    <row r="227" spans="1:48" ht="12.75">
      <c r="A227" s="34">
        <v>226</v>
      </c>
      <c r="B227" s="165">
        <v>46.1215</v>
      </c>
      <c r="C227" s="165">
        <v>-91.21954</v>
      </c>
      <c r="D227" s="10">
        <v>15.5</v>
      </c>
      <c r="E227" s="10">
        <v>0</v>
      </c>
      <c r="F227" s="149">
        <v>0</v>
      </c>
      <c r="G227" s="34">
        <v>0</v>
      </c>
      <c r="H227" s="96">
        <v>0</v>
      </c>
      <c r="I227" s="10">
        <v>0</v>
      </c>
      <c r="J227" s="36">
        <v>0</v>
      </c>
      <c r="K227" s="36">
        <v>0</v>
      </c>
      <c r="L227" s="36">
        <v>0</v>
      </c>
      <c r="M227" s="36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46">
        <v>0</v>
      </c>
    </row>
    <row r="228" spans="1:48" ht="12.75">
      <c r="A228" s="34">
        <v>227</v>
      </c>
      <c r="B228" s="165">
        <v>46.12151</v>
      </c>
      <c r="C228" s="165">
        <v>-91.21768</v>
      </c>
      <c r="D228" s="10">
        <v>10</v>
      </c>
      <c r="E228" s="10" t="s">
        <v>563</v>
      </c>
      <c r="F228" s="149">
        <v>1</v>
      </c>
      <c r="G228" s="34">
        <v>0</v>
      </c>
      <c r="H228" s="96">
        <v>0</v>
      </c>
      <c r="I228" s="10">
        <v>0</v>
      </c>
      <c r="J228" s="36">
        <v>0</v>
      </c>
      <c r="K228" s="36">
        <v>0</v>
      </c>
      <c r="L228" s="36">
        <v>0</v>
      </c>
      <c r="M228" s="36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46">
        <v>0</v>
      </c>
    </row>
    <row r="229" spans="1:48" ht="12.75">
      <c r="A229" s="34">
        <v>228</v>
      </c>
      <c r="B229" s="165">
        <v>46.12152</v>
      </c>
      <c r="C229" s="165">
        <v>-91.21721</v>
      </c>
      <c r="D229" s="10">
        <v>5.5</v>
      </c>
      <c r="E229" s="10" t="s">
        <v>563</v>
      </c>
      <c r="F229" s="149">
        <v>1</v>
      </c>
      <c r="G229" s="34">
        <v>1</v>
      </c>
      <c r="H229" s="96">
        <v>3</v>
      </c>
      <c r="I229" s="10">
        <v>2</v>
      </c>
      <c r="J229" s="36">
        <v>0</v>
      </c>
      <c r="K229" s="36">
        <v>0</v>
      </c>
      <c r="L229" s="36">
        <v>2</v>
      </c>
      <c r="M229" s="36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1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1</v>
      </c>
      <c r="AG229" s="10">
        <v>0</v>
      </c>
      <c r="AH229" s="10">
        <v>0</v>
      </c>
      <c r="AI229" s="10">
        <v>0</v>
      </c>
      <c r="AJ229" s="10">
        <v>4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46">
        <v>0</v>
      </c>
    </row>
    <row r="230" spans="1:48" ht="12.75">
      <c r="A230" s="34">
        <v>229</v>
      </c>
      <c r="B230" s="165">
        <v>46.12152</v>
      </c>
      <c r="C230" s="165">
        <v>-91.21674</v>
      </c>
      <c r="D230" s="10">
        <v>8</v>
      </c>
      <c r="E230" s="10" t="s">
        <v>563</v>
      </c>
      <c r="F230" s="149">
        <v>1</v>
      </c>
      <c r="G230" s="34">
        <v>1</v>
      </c>
      <c r="H230" s="96">
        <v>1</v>
      </c>
      <c r="I230" s="10">
        <v>1</v>
      </c>
      <c r="J230" s="36">
        <v>0</v>
      </c>
      <c r="K230" s="36">
        <v>0</v>
      </c>
      <c r="L230" s="36">
        <v>1</v>
      </c>
      <c r="M230" s="36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46">
        <v>0</v>
      </c>
    </row>
    <row r="231" spans="1:48" ht="12.75">
      <c r="A231" s="34">
        <v>230</v>
      </c>
      <c r="B231" s="165">
        <v>46.12153</v>
      </c>
      <c r="C231" s="165">
        <v>-91.21628</v>
      </c>
      <c r="D231" s="10">
        <v>15.5</v>
      </c>
      <c r="E231" s="10">
        <v>0</v>
      </c>
      <c r="F231" s="149">
        <v>0</v>
      </c>
      <c r="G231" s="34">
        <v>0</v>
      </c>
      <c r="H231" s="96">
        <v>0</v>
      </c>
      <c r="I231" s="10">
        <v>0</v>
      </c>
      <c r="J231" s="36">
        <v>0</v>
      </c>
      <c r="K231" s="36">
        <v>0</v>
      </c>
      <c r="L231" s="36">
        <v>0</v>
      </c>
      <c r="M231" s="36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46">
        <v>0</v>
      </c>
    </row>
    <row r="232" spans="1:48" ht="12.75">
      <c r="A232" s="34">
        <v>231</v>
      </c>
      <c r="B232" s="165">
        <v>46.12154</v>
      </c>
      <c r="C232" s="165">
        <v>-91.21581</v>
      </c>
      <c r="D232" s="10">
        <v>18</v>
      </c>
      <c r="E232" s="10">
        <v>0</v>
      </c>
      <c r="F232" s="149">
        <v>0</v>
      </c>
      <c r="G232" s="34">
        <v>0</v>
      </c>
      <c r="H232" s="96">
        <v>0</v>
      </c>
      <c r="I232" s="10">
        <v>0</v>
      </c>
      <c r="J232" s="36">
        <v>0</v>
      </c>
      <c r="K232" s="36">
        <v>0</v>
      </c>
      <c r="L232" s="36">
        <v>0</v>
      </c>
      <c r="M232" s="36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46">
        <v>0</v>
      </c>
    </row>
    <row r="233" spans="1:48" ht="12.75">
      <c r="A233" s="34">
        <v>232</v>
      </c>
      <c r="B233" s="165">
        <v>46.12154</v>
      </c>
      <c r="C233" s="165">
        <v>-91.21535</v>
      </c>
      <c r="D233" s="10">
        <v>18.5</v>
      </c>
      <c r="E233" s="10">
        <v>0</v>
      </c>
      <c r="F233" s="149">
        <v>0</v>
      </c>
      <c r="G233" s="34">
        <v>0</v>
      </c>
      <c r="H233" s="96">
        <v>0</v>
      </c>
      <c r="I233" s="10">
        <v>0</v>
      </c>
      <c r="J233" s="36">
        <v>0</v>
      </c>
      <c r="K233" s="36">
        <v>0</v>
      </c>
      <c r="L233" s="36">
        <v>0</v>
      </c>
      <c r="M233" s="36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46">
        <v>0</v>
      </c>
    </row>
    <row r="234" spans="1:48" ht="12.75">
      <c r="A234" s="34">
        <v>233</v>
      </c>
      <c r="B234" s="165">
        <v>46.12154</v>
      </c>
      <c r="C234" s="165">
        <v>-91.21488</v>
      </c>
      <c r="D234" s="10">
        <v>20</v>
      </c>
      <c r="E234" s="10">
        <v>0</v>
      </c>
      <c r="F234" s="149">
        <v>0</v>
      </c>
      <c r="G234" s="34">
        <v>0</v>
      </c>
      <c r="H234" s="96">
        <v>0</v>
      </c>
      <c r="I234" s="10">
        <v>0</v>
      </c>
      <c r="J234" s="36">
        <v>0</v>
      </c>
      <c r="K234" s="36">
        <v>0</v>
      </c>
      <c r="L234" s="36">
        <v>0</v>
      </c>
      <c r="M234" s="36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46">
        <v>0</v>
      </c>
    </row>
    <row r="235" spans="1:48" ht="12.75">
      <c r="A235" s="34">
        <v>234</v>
      </c>
      <c r="B235" s="165">
        <v>46.12155</v>
      </c>
      <c r="C235" s="165">
        <v>-91.21441</v>
      </c>
      <c r="D235" s="10">
        <v>25</v>
      </c>
      <c r="E235" s="10">
        <v>0</v>
      </c>
      <c r="F235" s="149">
        <v>0</v>
      </c>
      <c r="G235" s="34">
        <v>0</v>
      </c>
      <c r="H235" s="96">
        <v>0</v>
      </c>
      <c r="I235" s="10">
        <v>0</v>
      </c>
      <c r="J235" s="36">
        <v>0</v>
      </c>
      <c r="K235" s="36">
        <v>0</v>
      </c>
      <c r="L235" s="36">
        <v>0</v>
      </c>
      <c r="M235" s="36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46">
        <v>0</v>
      </c>
    </row>
    <row r="236" spans="1:48" ht="12.75">
      <c r="A236" s="34">
        <v>235</v>
      </c>
      <c r="B236" s="165">
        <v>46.12155</v>
      </c>
      <c r="C236" s="165">
        <v>-91.21395</v>
      </c>
      <c r="D236" s="10">
        <v>25</v>
      </c>
      <c r="E236" s="10">
        <v>0</v>
      </c>
      <c r="F236" s="149">
        <v>0</v>
      </c>
      <c r="G236" s="34">
        <v>0</v>
      </c>
      <c r="H236" s="96">
        <v>0</v>
      </c>
      <c r="I236" s="10">
        <v>0</v>
      </c>
      <c r="J236" s="36">
        <v>0</v>
      </c>
      <c r="K236" s="36">
        <v>0</v>
      </c>
      <c r="L236" s="36">
        <v>0</v>
      </c>
      <c r="M236" s="36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46">
        <v>0</v>
      </c>
    </row>
    <row r="237" spans="1:48" ht="12.75">
      <c r="A237" s="34">
        <v>236</v>
      </c>
      <c r="B237" s="165">
        <v>46.12156</v>
      </c>
      <c r="C237" s="165">
        <v>-91.21348</v>
      </c>
      <c r="D237" s="10">
        <v>23.5</v>
      </c>
      <c r="E237" s="10">
        <v>0</v>
      </c>
      <c r="F237" s="149">
        <v>0</v>
      </c>
      <c r="G237" s="34">
        <v>0</v>
      </c>
      <c r="H237" s="96">
        <v>0</v>
      </c>
      <c r="I237" s="10">
        <v>0</v>
      </c>
      <c r="J237" s="36">
        <v>0</v>
      </c>
      <c r="K237" s="36">
        <v>0</v>
      </c>
      <c r="L237" s="36">
        <v>0</v>
      </c>
      <c r="M237" s="36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46">
        <v>0</v>
      </c>
    </row>
    <row r="238" spans="1:48" ht="12.75">
      <c r="A238" s="34">
        <v>237</v>
      </c>
      <c r="B238" s="165">
        <v>46.12157</v>
      </c>
      <c r="C238" s="165">
        <v>-91.21302</v>
      </c>
      <c r="D238" s="10">
        <v>25</v>
      </c>
      <c r="E238" s="10">
        <v>0</v>
      </c>
      <c r="F238" s="149">
        <v>0</v>
      </c>
      <c r="G238" s="34">
        <v>0</v>
      </c>
      <c r="H238" s="96">
        <v>0</v>
      </c>
      <c r="I238" s="10">
        <v>0</v>
      </c>
      <c r="J238" s="36">
        <v>0</v>
      </c>
      <c r="K238" s="36">
        <v>0</v>
      </c>
      <c r="L238" s="36">
        <v>0</v>
      </c>
      <c r="M238" s="36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46">
        <v>0</v>
      </c>
    </row>
    <row r="239" spans="1:48" ht="12.75">
      <c r="A239" s="34">
        <v>238</v>
      </c>
      <c r="B239" s="165">
        <v>46.12157</v>
      </c>
      <c r="C239" s="165">
        <v>-91.21255</v>
      </c>
      <c r="D239" s="10">
        <v>22</v>
      </c>
      <c r="E239" s="10">
        <v>0</v>
      </c>
      <c r="F239" s="149">
        <v>0</v>
      </c>
      <c r="G239" s="34">
        <v>0</v>
      </c>
      <c r="H239" s="96">
        <v>0</v>
      </c>
      <c r="I239" s="10">
        <v>0</v>
      </c>
      <c r="J239" s="36">
        <v>0</v>
      </c>
      <c r="K239" s="36">
        <v>0</v>
      </c>
      <c r="L239" s="36">
        <v>0</v>
      </c>
      <c r="M239" s="36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46">
        <v>0</v>
      </c>
    </row>
    <row r="240" spans="1:48" ht="12.75">
      <c r="A240" s="34">
        <v>239</v>
      </c>
      <c r="B240" s="165">
        <v>46.12157</v>
      </c>
      <c r="C240" s="165">
        <v>-91.21209</v>
      </c>
      <c r="D240" s="10">
        <v>21.5</v>
      </c>
      <c r="E240" s="10">
        <v>0</v>
      </c>
      <c r="F240" s="149">
        <v>0</v>
      </c>
      <c r="G240" s="34">
        <v>0</v>
      </c>
      <c r="H240" s="96">
        <v>0</v>
      </c>
      <c r="I240" s="10">
        <v>0</v>
      </c>
      <c r="J240" s="36">
        <v>0</v>
      </c>
      <c r="K240" s="36">
        <v>0</v>
      </c>
      <c r="L240" s="36">
        <v>0</v>
      </c>
      <c r="M240" s="36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46">
        <v>0</v>
      </c>
    </row>
    <row r="241" spans="1:48" ht="12.75">
      <c r="A241" s="34">
        <v>240</v>
      </c>
      <c r="B241" s="165">
        <v>46.12158</v>
      </c>
      <c r="C241" s="165">
        <v>-91.21162</v>
      </c>
      <c r="D241" s="10">
        <v>20</v>
      </c>
      <c r="E241" s="10">
        <v>0</v>
      </c>
      <c r="F241" s="149">
        <v>0</v>
      </c>
      <c r="G241" s="34">
        <v>0</v>
      </c>
      <c r="H241" s="96">
        <v>0</v>
      </c>
      <c r="I241" s="10">
        <v>0</v>
      </c>
      <c r="J241" s="36">
        <v>0</v>
      </c>
      <c r="K241" s="36">
        <v>0</v>
      </c>
      <c r="L241" s="36">
        <v>0</v>
      </c>
      <c r="M241" s="36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46">
        <v>0</v>
      </c>
    </row>
    <row r="242" spans="1:48" ht="12.75">
      <c r="A242" s="34">
        <v>241</v>
      </c>
      <c r="B242" s="165">
        <v>46.12158</v>
      </c>
      <c r="C242" s="165">
        <v>-91.21115</v>
      </c>
      <c r="D242" s="10">
        <v>18.5</v>
      </c>
      <c r="E242" s="10">
        <v>0</v>
      </c>
      <c r="F242" s="149">
        <v>0</v>
      </c>
      <c r="G242" s="34">
        <v>0</v>
      </c>
      <c r="H242" s="96">
        <v>0</v>
      </c>
      <c r="I242" s="10">
        <v>0</v>
      </c>
      <c r="J242" s="36">
        <v>0</v>
      </c>
      <c r="K242" s="36">
        <v>0</v>
      </c>
      <c r="L242" s="36">
        <v>0</v>
      </c>
      <c r="M242" s="36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46">
        <v>0</v>
      </c>
    </row>
    <row r="243" spans="1:48" ht="12.75">
      <c r="A243" s="34">
        <v>242</v>
      </c>
      <c r="B243" s="165">
        <v>46.12159</v>
      </c>
      <c r="C243" s="165">
        <v>-91.21069</v>
      </c>
      <c r="D243" s="10">
        <v>16</v>
      </c>
      <c r="E243" s="10">
        <v>0</v>
      </c>
      <c r="F243" s="149">
        <v>0</v>
      </c>
      <c r="G243" s="34">
        <v>0</v>
      </c>
      <c r="H243" s="96">
        <v>0</v>
      </c>
      <c r="I243" s="10">
        <v>0</v>
      </c>
      <c r="J243" s="36">
        <v>0</v>
      </c>
      <c r="K243" s="36">
        <v>0</v>
      </c>
      <c r="L243" s="36">
        <v>0</v>
      </c>
      <c r="M243" s="36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46">
        <v>0</v>
      </c>
    </row>
    <row r="244" spans="1:48" ht="12.75">
      <c r="A244" s="34">
        <v>243</v>
      </c>
      <c r="B244" s="165">
        <v>46.12159</v>
      </c>
      <c r="C244" s="165">
        <v>-91.21022</v>
      </c>
      <c r="D244" s="10">
        <v>12.5</v>
      </c>
      <c r="E244" s="10" t="s">
        <v>563</v>
      </c>
      <c r="F244" s="149">
        <v>1</v>
      </c>
      <c r="G244" s="34">
        <v>0</v>
      </c>
      <c r="H244" s="96">
        <v>0</v>
      </c>
      <c r="I244" s="10">
        <v>0</v>
      </c>
      <c r="J244" s="36">
        <v>0</v>
      </c>
      <c r="K244" s="36">
        <v>0</v>
      </c>
      <c r="L244" s="36">
        <v>0</v>
      </c>
      <c r="M244" s="36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46">
        <v>0</v>
      </c>
    </row>
    <row r="245" spans="1:48" ht="12.75">
      <c r="A245" s="34">
        <v>244</v>
      </c>
      <c r="B245" s="165">
        <v>46.1216</v>
      </c>
      <c r="C245" s="165">
        <v>-91.20976</v>
      </c>
      <c r="D245" s="10">
        <v>7</v>
      </c>
      <c r="E245" s="10" t="s">
        <v>563</v>
      </c>
      <c r="F245" s="149">
        <v>1</v>
      </c>
      <c r="G245" s="34">
        <v>1</v>
      </c>
      <c r="H245" s="96">
        <v>2</v>
      </c>
      <c r="I245" s="10">
        <v>2</v>
      </c>
      <c r="J245" s="36">
        <v>0</v>
      </c>
      <c r="K245" s="36">
        <v>0</v>
      </c>
      <c r="L245" s="36">
        <v>0</v>
      </c>
      <c r="M245" s="36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1</v>
      </c>
      <c r="T245" s="10">
        <v>2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46">
        <v>1</v>
      </c>
    </row>
    <row r="246" spans="1:48" ht="12.75">
      <c r="A246" s="34">
        <v>245</v>
      </c>
      <c r="B246" s="165">
        <v>46.1216</v>
      </c>
      <c r="C246" s="165">
        <v>-91.20929</v>
      </c>
      <c r="D246" s="10">
        <v>3.5</v>
      </c>
      <c r="E246" s="10" t="s">
        <v>563</v>
      </c>
      <c r="F246" s="149">
        <v>1</v>
      </c>
      <c r="G246" s="34">
        <v>1</v>
      </c>
      <c r="H246" s="96">
        <v>6</v>
      </c>
      <c r="I246" s="10">
        <v>2</v>
      </c>
      <c r="J246" s="36">
        <v>0</v>
      </c>
      <c r="K246" s="36">
        <v>0</v>
      </c>
      <c r="L246" s="36">
        <v>1</v>
      </c>
      <c r="M246" s="36">
        <v>0</v>
      </c>
      <c r="N246" s="10">
        <v>0</v>
      </c>
      <c r="O246" s="10">
        <v>0</v>
      </c>
      <c r="P246" s="10">
        <v>2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2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1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1</v>
      </c>
      <c r="AJ246" s="10">
        <v>1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46">
        <v>0</v>
      </c>
    </row>
    <row r="247" spans="1:48" ht="12.75">
      <c r="A247" s="34">
        <v>246</v>
      </c>
      <c r="B247" s="165">
        <v>46.12181</v>
      </c>
      <c r="C247" s="165">
        <v>-91.22048</v>
      </c>
      <c r="D247" s="10">
        <v>4</v>
      </c>
      <c r="E247" s="10" t="s">
        <v>563</v>
      </c>
      <c r="F247" s="149">
        <v>1</v>
      </c>
      <c r="G247" s="34">
        <v>1</v>
      </c>
      <c r="H247" s="96">
        <v>6</v>
      </c>
      <c r="I247" s="10">
        <v>3</v>
      </c>
      <c r="J247" s="36">
        <v>0</v>
      </c>
      <c r="K247" s="36">
        <v>0</v>
      </c>
      <c r="L247" s="36">
        <v>0</v>
      </c>
      <c r="M247" s="36">
        <v>3</v>
      </c>
      <c r="N247" s="10">
        <v>0</v>
      </c>
      <c r="O247" s="10">
        <v>0</v>
      </c>
      <c r="P247" s="10">
        <v>1</v>
      </c>
      <c r="Q247" s="10">
        <v>1</v>
      </c>
      <c r="R247" s="10">
        <v>0</v>
      </c>
      <c r="S247" s="10">
        <v>1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1</v>
      </c>
      <c r="AJ247" s="10">
        <v>1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46">
        <v>0</v>
      </c>
    </row>
    <row r="248" spans="1:48" ht="12.75">
      <c r="A248" s="34">
        <v>247</v>
      </c>
      <c r="B248" s="165">
        <v>46.12181</v>
      </c>
      <c r="C248" s="165">
        <v>-91.22001</v>
      </c>
      <c r="D248" s="10">
        <v>4.5</v>
      </c>
      <c r="E248" s="10" t="s">
        <v>563</v>
      </c>
      <c r="F248" s="149">
        <v>1</v>
      </c>
      <c r="G248" s="34">
        <v>1</v>
      </c>
      <c r="H248" s="96">
        <v>4</v>
      </c>
      <c r="I248" s="10">
        <v>2</v>
      </c>
      <c r="J248" s="36">
        <v>0</v>
      </c>
      <c r="K248" s="36">
        <v>0</v>
      </c>
      <c r="L248" s="36">
        <v>1</v>
      </c>
      <c r="M248" s="36">
        <v>0</v>
      </c>
      <c r="N248" s="10">
        <v>0</v>
      </c>
      <c r="O248" s="10">
        <v>0</v>
      </c>
      <c r="P248" s="10">
        <v>0</v>
      </c>
      <c r="Q248" s="10">
        <v>1</v>
      </c>
      <c r="R248" s="10">
        <v>0</v>
      </c>
      <c r="S248" s="10">
        <v>1</v>
      </c>
      <c r="T248" s="10">
        <v>0</v>
      </c>
      <c r="U248" s="10">
        <v>2</v>
      </c>
      <c r="V248" s="10">
        <v>4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4</v>
      </c>
      <c r="AH248" s="10">
        <v>0</v>
      </c>
      <c r="AI248" s="10">
        <v>0</v>
      </c>
      <c r="AJ248" s="10">
        <v>4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46">
        <v>0</v>
      </c>
    </row>
    <row r="249" spans="1:48" ht="12.75">
      <c r="A249" s="34">
        <v>248</v>
      </c>
      <c r="B249" s="165">
        <v>46.12182</v>
      </c>
      <c r="C249" s="165">
        <v>-91.21955</v>
      </c>
      <c r="D249" s="10">
        <v>15</v>
      </c>
      <c r="E249" s="10" t="s">
        <v>563</v>
      </c>
      <c r="F249" s="149">
        <v>0</v>
      </c>
      <c r="G249" s="34">
        <v>0</v>
      </c>
      <c r="H249" s="96">
        <v>0</v>
      </c>
      <c r="I249" s="10">
        <v>0</v>
      </c>
      <c r="J249" s="36">
        <v>0</v>
      </c>
      <c r="K249" s="36">
        <v>0</v>
      </c>
      <c r="L249" s="36">
        <v>0</v>
      </c>
      <c r="M249" s="36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46">
        <v>0</v>
      </c>
    </row>
    <row r="250" spans="1:48" ht="12.75">
      <c r="A250" s="34">
        <v>249</v>
      </c>
      <c r="B250" s="165">
        <v>46.12182</v>
      </c>
      <c r="C250" s="165">
        <v>-91.21908</v>
      </c>
      <c r="D250" s="10">
        <v>12</v>
      </c>
      <c r="E250" s="10" t="s">
        <v>563</v>
      </c>
      <c r="F250" s="149">
        <v>1</v>
      </c>
      <c r="G250" s="34">
        <v>0</v>
      </c>
      <c r="H250" s="96">
        <v>0</v>
      </c>
      <c r="I250" s="10">
        <v>0</v>
      </c>
      <c r="J250" s="36">
        <v>0</v>
      </c>
      <c r="K250" s="36">
        <v>0</v>
      </c>
      <c r="L250" s="36">
        <v>0</v>
      </c>
      <c r="M250" s="36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46">
        <v>0</v>
      </c>
    </row>
    <row r="251" spans="1:48" ht="12.75">
      <c r="A251" s="34">
        <v>250</v>
      </c>
      <c r="B251" s="165">
        <v>46.12183</v>
      </c>
      <c r="C251" s="165">
        <v>-91.21861</v>
      </c>
      <c r="D251" s="10">
        <v>4</v>
      </c>
      <c r="E251" s="10" t="s">
        <v>564</v>
      </c>
      <c r="F251" s="149">
        <v>1</v>
      </c>
      <c r="G251" s="34">
        <v>1</v>
      </c>
      <c r="H251" s="96">
        <v>3</v>
      </c>
      <c r="I251" s="10">
        <v>2</v>
      </c>
      <c r="J251" s="36">
        <v>0</v>
      </c>
      <c r="K251" s="36">
        <v>0</v>
      </c>
      <c r="L251" s="36">
        <v>1</v>
      </c>
      <c r="M251" s="36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2</v>
      </c>
      <c r="V251" s="10">
        <v>1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4</v>
      </c>
      <c r="AC251" s="10">
        <v>0</v>
      </c>
      <c r="AD251" s="10">
        <v>0</v>
      </c>
      <c r="AE251" s="10">
        <v>0</v>
      </c>
      <c r="AF251" s="10">
        <v>4</v>
      </c>
      <c r="AG251" s="10">
        <v>4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46">
        <v>1</v>
      </c>
    </row>
    <row r="252" spans="1:48" ht="12.75">
      <c r="A252" s="34">
        <v>251</v>
      </c>
      <c r="B252" s="165">
        <v>46.12183</v>
      </c>
      <c r="C252" s="165">
        <v>-91.21815</v>
      </c>
      <c r="D252" s="10">
        <v>4</v>
      </c>
      <c r="E252" s="10" t="s">
        <v>563</v>
      </c>
      <c r="F252" s="149">
        <v>1</v>
      </c>
      <c r="G252" s="34">
        <v>1</v>
      </c>
      <c r="H252" s="96">
        <v>4</v>
      </c>
      <c r="I252" s="10">
        <v>3</v>
      </c>
      <c r="J252" s="36">
        <v>0</v>
      </c>
      <c r="K252" s="36">
        <v>0</v>
      </c>
      <c r="L252" s="36">
        <v>1</v>
      </c>
      <c r="M252" s="36">
        <v>0</v>
      </c>
      <c r="N252" s="10">
        <v>0</v>
      </c>
      <c r="O252" s="10">
        <v>0</v>
      </c>
      <c r="P252" s="10">
        <v>0</v>
      </c>
      <c r="Q252" s="10">
        <v>4</v>
      </c>
      <c r="R252" s="10">
        <v>0</v>
      </c>
      <c r="S252" s="10">
        <v>0</v>
      </c>
      <c r="T252" s="10">
        <v>0</v>
      </c>
      <c r="U252" s="10">
        <v>3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1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1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46">
        <v>2</v>
      </c>
    </row>
    <row r="253" spans="1:48" ht="12.75">
      <c r="A253" s="34">
        <v>252</v>
      </c>
      <c r="B253" s="165">
        <v>46.12184</v>
      </c>
      <c r="C253" s="165">
        <v>-91.21768</v>
      </c>
      <c r="D253" s="10">
        <v>12.5</v>
      </c>
      <c r="E253" s="10" t="s">
        <v>563</v>
      </c>
      <c r="F253" s="149">
        <v>1</v>
      </c>
      <c r="G253" s="34">
        <v>0</v>
      </c>
      <c r="H253" s="96">
        <v>0</v>
      </c>
      <c r="I253" s="10">
        <v>0</v>
      </c>
      <c r="J253" s="36">
        <v>0</v>
      </c>
      <c r="K253" s="36">
        <v>0</v>
      </c>
      <c r="L253" s="36">
        <v>0</v>
      </c>
      <c r="M253" s="36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46">
        <v>0</v>
      </c>
    </row>
    <row r="254" spans="1:48" ht="12.75">
      <c r="A254" s="34">
        <v>253</v>
      </c>
      <c r="B254" s="165">
        <v>46.12184</v>
      </c>
      <c r="C254" s="165">
        <v>-91.21722</v>
      </c>
      <c r="D254" s="10">
        <v>12</v>
      </c>
      <c r="E254" s="10" t="s">
        <v>563</v>
      </c>
      <c r="F254" s="149">
        <v>1</v>
      </c>
      <c r="G254" s="34">
        <v>0</v>
      </c>
      <c r="H254" s="96">
        <v>0</v>
      </c>
      <c r="I254" s="10">
        <v>0</v>
      </c>
      <c r="J254" s="36">
        <v>0</v>
      </c>
      <c r="K254" s="36">
        <v>0</v>
      </c>
      <c r="L254" s="36">
        <v>0</v>
      </c>
      <c r="M254" s="36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46">
        <v>0</v>
      </c>
    </row>
    <row r="255" spans="1:48" ht="12.75">
      <c r="A255" s="34">
        <v>254</v>
      </c>
      <c r="B255" s="165">
        <v>46.12185</v>
      </c>
      <c r="C255" s="165">
        <v>-91.21675</v>
      </c>
      <c r="D255" s="10">
        <v>14</v>
      </c>
      <c r="E255" s="10" t="s">
        <v>563</v>
      </c>
      <c r="F255" s="149">
        <v>1</v>
      </c>
      <c r="G255" s="34">
        <v>1</v>
      </c>
      <c r="H255" s="96">
        <v>1</v>
      </c>
      <c r="I255" s="10">
        <v>1</v>
      </c>
      <c r="J255" s="36">
        <v>0</v>
      </c>
      <c r="K255" s="36">
        <v>0</v>
      </c>
      <c r="L255" s="36">
        <v>1</v>
      </c>
      <c r="M255" s="36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46">
        <v>0</v>
      </c>
    </row>
    <row r="256" spans="1:48" ht="12.75">
      <c r="A256" s="34">
        <v>255</v>
      </c>
      <c r="B256" s="165">
        <v>46.12185</v>
      </c>
      <c r="C256" s="165">
        <v>-91.21628</v>
      </c>
      <c r="D256" s="10">
        <v>19</v>
      </c>
      <c r="E256" s="10">
        <v>0</v>
      </c>
      <c r="F256" s="149">
        <v>0</v>
      </c>
      <c r="G256" s="34">
        <v>0</v>
      </c>
      <c r="H256" s="96">
        <v>0</v>
      </c>
      <c r="I256" s="10">
        <v>0</v>
      </c>
      <c r="J256" s="36">
        <v>0</v>
      </c>
      <c r="K256" s="36">
        <v>0</v>
      </c>
      <c r="L256" s="36">
        <v>0</v>
      </c>
      <c r="M256" s="36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46">
        <v>0</v>
      </c>
    </row>
    <row r="257" spans="1:48" ht="12.75">
      <c r="A257" s="34">
        <v>256</v>
      </c>
      <c r="B257" s="165">
        <v>46.12186</v>
      </c>
      <c r="C257" s="165">
        <v>-91.21582</v>
      </c>
      <c r="D257" s="10">
        <v>18</v>
      </c>
      <c r="E257" s="10">
        <v>0</v>
      </c>
      <c r="F257" s="149">
        <v>0</v>
      </c>
      <c r="G257" s="34">
        <v>0</v>
      </c>
      <c r="H257" s="96">
        <v>0</v>
      </c>
      <c r="I257" s="10">
        <v>0</v>
      </c>
      <c r="J257" s="36">
        <v>0</v>
      </c>
      <c r="K257" s="36">
        <v>0</v>
      </c>
      <c r="L257" s="36">
        <v>0</v>
      </c>
      <c r="M257" s="36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46">
        <v>0</v>
      </c>
    </row>
    <row r="258" spans="1:48" ht="12.75">
      <c r="A258" s="34">
        <v>257</v>
      </c>
      <c r="B258" s="165">
        <v>46.12186</v>
      </c>
      <c r="C258" s="165">
        <v>-91.21535</v>
      </c>
      <c r="D258" s="10">
        <v>22.5</v>
      </c>
      <c r="E258" s="10">
        <v>0</v>
      </c>
      <c r="F258" s="149">
        <v>0</v>
      </c>
      <c r="G258" s="34">
        <v>0</v>
      </c>
      <c r="H258" s="96">
        <v>0</v>
      </c>
      <c r="I258" s="10">
        <v>0</v>
      </c>
      <c r="J258" s="36">
        <v>0</v>
      </c>
      <c r="K258" s="36">
        <v>0</v>
      </c>
      <c r="L258" s="36">
        <v>0</v>
      </c>
      <c r="M258" s="36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46">
        <v>0</v>
      </c>
    </row>
    <row r="259" spans="1:48" ht="12.75">
      <c r="A259" s="34">
        <v>258</v>
      </c>
      <c r="B259" s="165">
        <v>46.12187</v>
      </c>
      <c r="C259" s="165">
        <v>-91.21489</v>
      </c>
      <c r="D259" s="10">
        <v>28.5</v>
      </c>
      <c r="E259" s="10">
        <v>0</v>
      </c>
      <c r="F259" s="149">
        <v>0</v>
      </c>
      <c r="G259" s="34">
        <v>0</v>
      </c>
      <c r="H259" s="96">
        <v>0</v>
      </c>
      <c r="I259" s="10">
        <v>0</v>
      </c>
      <c r="J259" s="36">
        <v>0</v>
      </c>
      <c r="K259" s="36">
        <v>0</v>
      </c>
      <c r="L259" s="36">
        <v>0</v>
      </c>
      <c r="M259" s="36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46">
        <v>0</v>
      </c>
    </row>
    <row r="260" spans="1:48" ht="12.75">
      <c r="A260" s="34">
        <v>259</v>
      </c>
      <c r="B260" s="165">
        <v>46.12187</v>
      </c>
      <c r="C260" s="165">
        <v>-91.21442</v>
      </c>
      <c r="D260" s="10">
        <v>25.5</v>
      </c>
      <c r="E260" s="10">
        <v>0</v>
      </c>
      <c r="F260" s="149">
        <v>0</v>
      </c>
      <c r="G260" s="34">
        <v>0</v>
      </c>
      <c r="H260" s="96">
        <v>0</v>
      </c>
      <c r="I260" s="10">
        <v>0</v>
      </c>
      <c r="J260" s="36">
        <v>0</v>
      </c>
      <c r="K260" s="36">
        <v>0</v>
      </c>
      <c r="L260" s="36">
        <v>0</v>
      </c>
      <c r="M260" s="36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46">
        <v>0</v>
      </c>
    </row>
    <row r="261" spans="1:48" ht="12.75">
      <c r="A261" s="34">
        <v>260</v>
      </c>
      <c r="B261" s="165">
        <v>46.12188</v>
      </c>
      <c r="C261" s="165">
        <v>-91.21396</v>
      </c>
      <c r="D261" s="10">
        <v>25.5</v>
      </c>
      <c r="E261" s="10">
        <v>0</v>
      </c>
      <c r="F261" s="149">
        <v>0</v>
      </c>
      <c r="G261" s="34">
        <v>0</v>
      </c>
      <c r="H261" s="96">
        <v>0</v>
      </c>
      <c r="I261" s="10">
        <v>0</v>
      </c>
      <c r="J261" s="36">
        <v>0</v>
      </c>
      <c r="K261" s="36">
        <v>0</v>
      </c>
      <c r="L261" s="36">
        <v>0</v>
      </c>
      <c r="M261" s="36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46">
        <v>0</v>
      </c>
    </row>
    <row r="262" spans="1:48" ht="12.75">
      <c r="A262" s="34">
        <v>261</v>
      </c>
      <c r="B262" s="165">
        <v>46.12188</v>
      </c>
      <c r="C262" s="165">
        <v>-91.21349</v>
      </c>
      <c r="D262" s="10">
        <v>22.5</v>
      </c>
      <c r="E262" s="10">
        <v>0</v>
      </c>
      <c r="F262" s="149">
        <v>0</v>
      </c>
      <c r="G262" s="34">
        <v>0</v>
      </c>
      <c r="H262" s="96">
        <v>0</v>
      </c>
      <c r="I262" s="10">
        <v>0</v>
      </c>
      <c r="J262" s="36">
        <v>0</v>
      </c>
      <c r="K262" s="36">
        <v>0</v>
      </c>
      <c r="L262" s="36">
        <v>0</v>
      </c>
      <c r="M262" s="36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46">
        <v>0</v>
      </c>
    </row>
    <row r="263" spans="1:48" ht="12.75">
      <c r="A263" s="34">
        <v>262</v>
      </c>
      <c r="B263" s="165">
        <v>46.12189</v>
      </c>
      <c r="C263" s="165">
        <v>-91.21302</v>
      </c>
      <c r="D263" s="10">
        <v>19</v>
      </c>
      <c r="E263" s="10">
        <v>0</v>
      </c>
      <c r="F263" s="149">
        <v>0</v>
      </c>
      <c r="G263" s="34">
        <v>0</v>
      </c>
      <c r="H263" s="96">
        <v>0</v>
      </c>
      <c r="I263" s="10">
        <v>0</v>
      </c>
      <c r="J263" s="36">
        <v>0</v>
      </c>
      <c r="K263" s="36">
        <v>0</v>
      </c>
      <c r="L263" s="36">
        <v>0</v>
      </c>
      <c r="M263" s="36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46">
        <v>0</v>
      </c>
    </row>
    <row r="264" spans="1:48" ht="12.75">
      <c r="A264" s="34">
        <v>263</v>
      </c>
      <c r="B264" s="165">
        <v>46.12189</v>
      </c>
      <c r="C264" s="165">
        <v>-91.21256</v>
      </c>
      <c r="D264" s="10">
        <v>21.5</v>
      </c>
      <c r="E264" s="10">
        <v>0</v>
      </c>
      <c r="F264" s="149">
        <v>0</v>
      </c>
      <c r="G264" s="34">
        <v>0</v>
      </c>
      <c r="H264" s="96">
        <v>0</v>
      </c>
      <c r="I264" s="10">
        <v>0</v>
      </c>
      <c r="J264" s="36">
        <v>0</v>
      </c>
      <c r="K264" s="36">
        <v>0</v>
      </c>
      <c r="L264" s="36">
        <v>0</v>
      </c>
      <c r="M264" s="36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46">
        <v>0</v>
      </c>
    </row>
    <row r="265" spans="1:48" ht="12.75">
      <c r="A265" s="34">
        <v>264</v>
      </c>
      <c r="B265" s="165">
        <v>46.1219</v>
      </c>
      <c r="C265" s="165">
        <v>-91.21209</v>
      </c>
      <c r="D265" s="10">
        <v>21.5</v>
      </c>
      <c r="E265" s="10">
        <v>0</v>
      </c>
      <c r="F265" s="149">
        <v>0</v>
      </c>
      <c r="G265" s="34">
        <v>0</v>
      </c>
      <c r="H265" s="96">
        <v>0</v>
      </c>
      <c r="I265" s="10">
        <v>0</v>
      </c>
      <c r="J265" s="36">
        <v>0</v>
      </c>
      <c r="K265" s="36">
        <v>0</v>
      </c>
      <c r="L265" s="36">
        <v>0</v>
      </c>
      <c r="M265" s="36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46">
        <v>0</v>
      </c>
    </row>
    <row r="266" spans="1:48" ht="12.75">
      <c r="A266" s="34">
        <v>265</v>
      </c>
      <c r="B266" s="165">
        <v>46.1219</v>
      </c>
      <c r="C266" s="165">
        <v>-91.21163</v>
      </c>
      <c r="D266" s="10">
        <v>23</v>
      </c>
      <c r="E266" s="10">
        <v>0</v>
      </c>
      <c r="F266" s="149">
        <v>0</v>
      </c>
      <c r="G266" s="34">
        <v>0</v>
      </c>
      <c r="H266" s="96">
        <v>0</v>
      </c>
      <c r="I266" s="10">
        <v>0</v>
      </c>
      <c r="J266" s="36">
        <v>0</v>
      </c>
      <c r="K266" s="36">
        <v>0</v>
      </c>
      <c r="L266" s="36">
        <v>0</v>
      </c>
      <c r="M266" s="36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46">
        <v>0</v>
      </c>
    </row>
    <row r="267" spans="1:48" ht="12.75">
      <c r="A267" s="34">
        <v>266</v>
      </c>
      <c r="B267" s="165">
        <v>46.12191</v>
      </c>
      <c r="C267" s="165">
        <v>-91.21116</v>
      </c>
      <c r="D267" s="10">
        <v>18</v>
      </c>
      <c r="E267" s="10">
        <v>0</v>
      </c>
      <c r="F267" s="149">
        <v>0</v>
      </c>
      <c r="G267" s="34">
        <v>0</v>
      </c>
      <c r="H267" s="96">
        <v>0</v>
      </c>
      <c r="I267" s="10">
        <v>0</v>
      </c>
      <c r="J267" s="36">
        <v>0</v>
      </c>
      <c r="K267" s="36">
        <v>0</v>
      </c>
      <c r="L267" s="36">
        <v>0</v>
      </c>
      <c r="M267" s="36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46">
        <v>0</v>
      </c>
    </row>
    <row r="268" spans="1:48" ht="12.75">
      <c r="A268" s="34">
        <v>267</v>
      </c>
      <c r="B268" s="165">
        <v>46.12191</v>
      </c>
      <c r="C268" s="165">
        <v>-91.2107</v>
      </c>
      <c r="D268" s="10">
        <v>17.5</v>
      </c>
      <c r="E268" s="10">
        <v>0</v>
      </c>
      <c r="F268" s="149">
        <v>0</v>
      </c>
      <c r="G268" s="34">
        <v>0</v>
      </c>
      <c r="H268" s="96">
        <v>0</v>
      </c>
      <c r="I268" s="10">
        <v>0</v>
      </c>
      <c r="J268" s="36">
        <v>0</v>
      </c>
      <c r="K268" s="36">
        <v>0</v>
      </c>
      <c r="L268" s="36">
        <v>0</v>
      </c>
      <c r="M268" s="36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46">
        <v>0</v>
      </c>
    </row>
    <row r="269" spans="1:48" ht="12.75">
      <c r="A269" s="34">
        <v>268</v>
      </c>
      <c r="B269" s="165">
        <v>46.12192</v>
      </c>
      <c r="C269" s="165">
        <v>-91.21023</v>
      </c>
      <c r="D269" s="10">
        <v>16.5</v>
      </c>
      <c r="E269" s="10">
        <v>0</v>
      </c>
      <c r="F269" s="149">
        <v>0</v>
      </c>
      <c r="G269" s="34">
        <v>0</v>
      </c>
      <c r="H269" s="96">
        <v>0</v>
      </c>
      <c r="I269" s="10">
        <v>0</v>
      </c>
      <c r="J269" s="36">
        <v>0</v>
      </c>
      <c r="K269" s="36">
        <v>0</v>
      </c>
      <c r="L269" s="36">
        <v>0</v>
      </c>
      <c r="M269" s="36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46">
        <v>0</v>
      </c>
    </row>
    <row r="270" spans="1:48" ht="12.75">
      <c r="A270" s="34">
        <v>269</v>
      </c>
      <c r="B270" s="165">
        <v>46.12192</v>
      </c>
      <c r="C270" s="165">
        <v>-91.20976</v>
      </c>
      <c r="D270" s="10">
        <v>14</v>
      </c>
      <c r="E270" s="10" t="s">
        <v>563</v>
      </c>
      <c r="F270" s="149">
        <v>1</v>
      </c>
      <c r="G270" s="34">
        <v>0</v>
      </c>
      <c r="H270" s="96">
        <v>0</v>
      </c>
      <c r="I270" s="10">
        <v>0</v>
      </c>
      <c r="J270" s="36">
        <v>0</v>
      </c>
      <c r="K270" s="36">
        <v>0</v>
      </c>
      <c r="L270" s="36">
        <v>0</v>
      </c>
      <c r="M270" s="36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46">
        <v>0</v>
      </c>
    </row>
    <row r="271" spans="1:48" ht="12.75">
      <c r="A271" s="34">
        <v>270</v>
      </c>
      <c r="B271" s="165">
        <v>46.12193</v>
      </c>
      <c r="C271" s="165">
        <v>-91.2093</v>
      </c>
      <c r="D271" s="10">
        <v>4</v>
      </c>
      <c r="E271" s="10" t="s">
        <v>563</v>
      </c>
      <c r="F271" s="149">
        <v>1</v>
      </c>
      <c r="G271" s="34">
        <v>1</v>
      </c>
      <c r="H271" s="96">
        <v>6</v>
      </c>
      <c r="I271" s="10">
        <v>2</v>
      </c>
      <c r="J271" s="36">
        <v>0</v>
      </c>
      <c r="K271" s="36">
        <v>0</v>
      </c>
      <c r="L271" s="36">
        <v>4</v>
      </c>
      <c r="M271" s="36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1</v>
      </c>
      <c r="T271" s="10">
        <v>0</v>
      </c>
      <c r="U271" s="10">
        <v>4</v>
      </c>
      <c r="V271" s="10">
        <v>2</v>
      </c>
      <c r="W271" s="10">
        <v>0</v>
      </c>
      <c r="X271" s="10">
        <v>0</v>
      </c>
      <c r="Y271" s="10">
        <v>0</v>
      </c>
      <c r="Z271" s="10">
        <v>0</v>
      </c>
      <c r="AA271" s="10">
        <v>1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1</v>
      </c>
      <c r="AH271" s="10">
        <v>0</v>
      </c>
      <c r="AI271" s="10">
        <v>1</v>
      </c>
      <c r="AJ271" s="10">
        <v>1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46">
        <v>0</v>
      </c>
    </row>
    <row r="272" spans="1:48" ht="12.75">
      <c r="A272" s="34">
        <v>271</v>
      </c>
      <c r="B272" s="165">
        <v>46.12213</v>
      </c>
      <c r="C272" s="165">
        <v>-91.22048</v>
      </c>
      <c r="D272" s="10">
        <v>3.5</v>
      </c>
      <c r="E272" s="10" t="s">
        <v>563</v>
      </c>
      <c r="F272" s="149">
        <v>1</v>
      </c>
      <c r="G272" s="34">
        <v>1</v>
      </c>
      <c r="H272" s="96">
        <v>6</v>
      </c>
      <c r="I272" s="10">
        <v>2</v>
      </c>
      <c r="J272" s="36">
        <v>4</v>
      </c>
      <c r="K272" s="36">
        <v>0</v>
      </c>
      <c r="L272" s="36">
        <v>0</v>
      </c>
      <c r="M272" s="36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2</v>
      </c>
      <c r="T272" s="10">
        <v>0</v>
      </c>
      <c r="U272" s="10">
        <v>0</v>
      </c>
      <c r="V272" s="10">
        <v>4</v>
      </c>
      <c r="W272" s="10">
        <v>0</v>
      </c>
      <c r="X272" s="10">
        <v>4</v>
      </c>
      <c r="Y272" s="10">
        <v>1</v>
      </c>
      <c r="Z272" s="10">
        <v>0</v>
      </c>
      <c r="AA272" s="10">
        <v>1</v>
      </c>
      <c r="AB272" s="10">
        <v>0</v>
      </c>
      <c r="AC272" s="10">
        <v>0</v>
      </c>
      <c r="AD272" s="10">
        <v>0</v>
      </c>
      <c r="AE272" s="10">
        <v>0</v>
      </c>
      <c r="AF272" s="10">
        <v>4</v>
      </c>
      <c r="AG272" s="10">
        <v>1</v>
      </c>
      <c r="AH272" s="10">
        <v>0</v>
      </c>
      <c r="AI272" s="10">
        <v>0</v>
      </c>
      <c r="AJ272" s="10">
        <v>1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1</v>
      </c>
      <c r="AT272" s="10">
        <v>0</v>
      </c>
      <c r="AU272" s="10">
        <v>0</v>
      </c>
      <c r="AV272" s="146">
        <v>0</v>
      </c>
    </row>
    <row r="273" spans="1:48" ht="12.75">
      <c r="A273" s="34">
        <v>272</v>
      </c>
      <c r="B273" s="165">
        <v>46.12214</v>
      </c>
      <c r="C273" s="165">
        <v>-91.22002</v>
      </c>
      <c r="D273" s="10">
        <v>4</v>
      </c>
      <c r="E273" s="10" t="s">
        <v>563</v>
      </c>
      <c r="F273" s="149">
        <v>1</v>
      </c>
      <c r="G273" s="34">
        <v>1</v>
      </c>
      <c r="H273" s="96">
        <v>6</v>
      </c>
      <c r="I273" s="10">
        <v>3</v>
      </c>
      <c r="J273" s="36">
        <v>0</v>
      </c>
      <c r="K273" s="36">
        <v>0</v>
      </c>
      <c r="L273" s="36">
        <v>1</v>
      </c>
      <c r="M273" s="36">
        <v>0</v>
      </c>
      <c r="N273" s="10">
        <v>0</v>
      </c>
      <c r="O273" s="10">
        <v>0</v>
      </c>
      <c r="P273" s="10">
        <v>1</v>
      </c>
      <c r="Q273" s="10">
        <v>1</v>
      </c>
      <c r="R273" s="10">
        <v>0</v>
      </c>
      <c r="S273" s="10">
        <v>0</v>
      </c>
      <c r="T273" s="10">
        <v>0</v>
      </c>
      <c r="U273" s="10">
        <v>3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1</v>
      </c>
      <c r="AF273" s="10">
        <v>0</v>
      </c>
      <c r="AG273" s="10">
        <v>0</v>
      </c>
      <c r="AH273" s="10">
        <v>0</v>
      </c>
      <c r="AI273" s="10">
        <v>0</v>
      </c>
      <c r="AJ273" s="10">
        <v>1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46">
        <v>0</v>
      </c>
    </row>
    <row r="274" spans="1:48" ht="12.75">
      <c r="A274" s="34">
        <v>273</v>
      </c>
      <c r="B274" s="165">
        <v>46.12214</v>
      </c>
      <c r="C274" s="165">
        <v>-91.21955</v>
      </c>
      <c r="D274" s="10">
        <v>13</v>
      </c>
      <c r="E274" s="10" t="s">
        <v>563</v>
      </c>
      <c r="F274" s="149">
        <v>1</v>
      </c>
      <c r="G274" s="34">
        <v>0</v>
      </c>
      <c r="H274" s="96">
        <v>0</v>
      </c>
      <c r="I274" s="10">
        <v>0</v>
      </c>
      <c r="J274" s="36">
        <v>0</v>
      </c>
      <c r="K274" s="36">
        <v>0</v>
      </c>
      <c r="L274" s="36">
        <v>0</v>
      </c>
      <c r="M274" s="36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46">
        <v>0</v>
      </c>
    </row>
    <row r="275" spans="1:48" ht="12.75">
      <c r="A275" s="34">
        <v>274</v>
      </c>
      <c r="B275" s="165">
        <v>46.12215</v>
      </c>
      <c r="C275" s="165">
        <v>-91.21909</v>
      </c>
      <c r="D275" s="10">
        <v>17</v>
      </c>
      <c r="E275" s="10">
        <v>0</v>
      </c>
      <c r="F275" s="149">
        <v>0</v>
      </c>
      <c r="G275" s="34">
        <v>0</v>
      </c>
      <c r="H275" s="96">
        <v>0</v>
      </c>
      <c r="I275" s="10">
        <v>0</v>
      </c>
      <c r="J275" s="36">
        <v>0</v>
      </c>
      <c r="K275" s="36">
        <v>0</v>
      </c>
      <c r="L275" s="36">
        <v>0</v>
      </c>
      <c r="M275" s="36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46">
        <v>0</v>
      </c>
    </row>
    <row r="276" spans="1:48" ht="12.75">
      <c r="A276" s="34">
        <v>275</v>
      </c>
      <c r="B276" s="165">
        <v>46.12215</v>
      </c>
      <c r="C276" s="165">
        <v>-91.21862</v>
      </c>
      <c r="D276" s="10">
        <v>13.5</v>
      </c>
      <c r="E276" s="10" t="s">
        <v>563</v>
      </c>
      <c r="F276" s="149">
        <v>1</v>
      </c>
      <c r="G276" s="34">
        <v>0</v>
      </c>
      <c r="H276" s="96">
        <v>0</v>
      </c>
      <c r="I276" s="10">
        <v>0</v>
      </c>
      <c r="J276" s="36">
        <v>0</v>
      </c>
      <c r="K276" s="36">
        <v>0</v>
      </c>
      <c r="L276" s="36">
        <v>0</v>
      </c>
      <c r="M276" s="36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46">
        <v>0</v>
      </c>
    </row>
    <row r="277" spans="1:48" ht="12.75">
      <c r="A277" s="34">
        <v>276</v>
      </c>
      <c r="B277" s="165">
        <v>46.12216</v>
      </c>
      <c r="C277" s="165">
        <v>-91.21816</v>
      </c>
      <c r="D277" s="10">
        <v>13</v>
      </c>
      <c r="E277" s="10" t="s">
        <v>563</v>
      </c>
      <c r="F277" s="149">
        <v>1</v>
      </c>
      <c r="G277" s="34">
        <v>0</v>
      </c>
      <c r="H277" s="96">
        <v>0</v>
      </c>
      <c r="I277" s="10">
        <v>0</v>
      </c>
      <c r="J277" s="36">
        <v>0</v>
      </c>
      <c r="K277" s="36">
        <v>0</v>
      </c>
      <c r="L277" s="36">
        <v>0</v>
      </c>
      <c r="M277" s="36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46">
        <v>0</v>
      </c>
    </row>
    <row r="278" spans="1:48" ht="12.75">
      <c r="A278" s="34">
        <v>277</v>
      </c>
      <c r="B278" s="165">
        <v>46.12216</v>
      </c>
      <c r="C278" s="165">
        <v>-91.21769</v>
      </c>
      <c r="D278" s="10">
        <v>15.5</v>
      </c>
      <c r="E278" s="10">
        <v>0</v>
      </c>
      <c r="F278" s="149">
        <v>0</v>
      </c>
      <c r="G278" s="34">
        <v>0</v>
      </c>
      <c r="H278" s="96">
        <v>0</v>
      </c>
      <c r="I278" s="10">
        <v>0</v>
      </c>
      <c r="J278" s="36">
        <v>0</v>
      </c>
      <c r="K278" s="36">
        <v>0</v>
      </c>
      <c r="L278" s="36">
        <v>0</v>
      </c>
      <c r="M278" s="36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46">
        <v>0</v>
      </c>
    </row>
    <row r="279" spans="1:48" ht="12.75">
      <c r="A279" s="34">
        <v>278</v>
      </c>
      <c r="B279" s="165">
        <v>46.12217</v>
      </c>
      <c r="C279" s="165">
        <v>-91.21722</v>
      </c>
      <c r="D279" s="10">
        <v>16.5</v>
      </c>
      <c r="E279" s="10">
        <v>0</v>
      </c>
      <c r="F279" s="149">
        <v>0</v>
      </c>
      <c r="G279" s="34">
        <v>0</v>
      </c>
      <c r="H279" s="96">
        <v>0</v>
      </c>
      <c r="I279" s="10">
        <v>0</v>
      </c>
      <c r="J279" s="36">
        <v>0</v>
      </c>
      <c r="K279" s="36">
        <v>0</v>
      </c>
      <c r="L279" s="36">
        <v>0</v>
      </c>
      <c r="M279" s="36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46">
        <v>0</v>
      </c>
    </row>
    <row r="280" spans="1:48" ht="12.75">
      <c r="A280" s="34">
        <v>279</v>
      </c>
      <c r="B280" s="165">
        <v>46.12217</v>
      </c>
      <c r="C280" s="165">
        <v>-91.21676</v>
      </c>
      <c r="D280" s="10">
        <v>18</v>
      </c>
      <c r="E280" s="10">
        <v>0</v>
      </c>
      <c r="F280" s="149">
        <v>0</v>
      </c>
      <c r="G280" s="34">
        <v>0</v>
      </c>
      <c r="H280" s="96">
        <v>0</v>
      </c>
      <c r="I280" s="10">
        <v>0</v>
      </c>
      <c r="J280" s="36">
        <v>0</v>
      </c>
      <c r="K280" s="36">
        <v>0</v>
      </c>
      <c r="L280" s="36">
        <v>0</v>
      </c>
      <c r="M280" s="36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46">
        <v>0</v>
      </c>
    </row>
    <row r="281" spans="1:48" ht="12.75">
      <c r="A281" s="34">
        <v>280</v>
      </c>
      <c r="B281" s="165">
        <v>46.12218</v>
      </c>
      <c r="C281" s="165">
        <v>-91.21629</v>
      </c>
      <c r="D281" s="10">
        <v>16.5</v>
      </c>
      <c r="E281" s="10">
        <v>0</v>
      </c>
      <c r="F281" s="149">
        <v>0</v>
      </c>
      <c r="G281" s="34">
        <v>0</v>
      </c>
      <c r="H281" s="96">
        <v>0</v>
      </c>
      <c r="I281" s="10">
        <v>0</v>
      </c>
      <c r="J281" s="36">
        <v>0</v>
      </c>
      <c r="K281" s="36">
        <v>0</v>
      </c>
      <c r="L281" s="36">
        <v>0</v>
      </c>
      <c r="M281" s="36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46">
        <v>0</v>
      </c>
    </row>
    <row r="282" spans="1:48" ht="12.75">
      <c r="A282" s="34">
        <v>281</v>
      </c>
      <c r="B282" s="165">
        <v>46.12218</v>
      </c>
      <c r="C282" s="165">
        <v>-91.21583</v>
      </c>
      <c r="D282" s="10">
        <v>17.5</v>
      </c>
      <c r="E282" s="10">
        <v>0</v>
      </c>
      <c r="F282" s="149">
        <v>0</v>
      </c>
      <c r="G282" s="34">
        <v>0</v>
      </c>
      <c r="H282" s="96">
        <v>0</v>
      </c>
      <c r="I282" s="10">
        <v>0</v>
      </c>
      <c r="J282" s="36">
        <v>0</v>
      </c>
      <c r="K282" s="36">
        <v>0</v>
      </c>
      <c r="L282" s="36">
        <v>0</v>
      </c>
      <c r="M282" s="36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46">
        <v>0</v>
      </c>
    </row>
    <row r="283" spans="1:48" ht="12.75">
      <c r="A283" s="34">
        <v>282</v>
      </c>
      <c r="B283" s="165">
        <v>46.12219</v>
      </c>
      <c r="C283" s="165">
        <v>-91.21536</v>
      </c>
      <c r="D283" s="10">
        <v>22.5</v>
      </c>
      <c r="E283" s="10">
        <v>0</v>
      </c>
      <c r="F283" s="149">
        <v>0</v>
      </c>
      <c r="G283" s="34">
        <v>0</v>
      </c>
      <c r="H283" s="96">
        <v>0</v>
      </c>
      <c r="I283" s="10">
        <v>0</v>
      </c>
      <c r="J283" s="36">
        <v>0</v>
      </c>
      <c r="K283" s="36">
        <v>0</v>
      </c>
      <c r="L283" s="36">
        <v>0</v>
      </c>
      <c r="M283" s="36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46">
        <v>0</v>
      </c>
    </row>
    <row r="284" spans="1:48" ht="12.75">
      <c r="A284" s="34">
        <v>283</v>
      </c>
      <c r="B284" s="165">
        <v>46.12219</v>
      </c>
      <c r="C284" s="165">
        <v>-91.2149</v>
      </c>
      <c r="D284" s="10">
        <v>26.5</v>
      </c>
      <c r="E284" s="10">
        <v>0</v>
      </c>
      <c r="F284" s="149">
        <v>0</v>
      </c>
      <c r="G284" s="34">
        <v>0</v>
      </c>
      <c r="H284" s="96">
        <v>0</v>
      </c>
      <c r="I284" s="10">
        <v>0</v>
      </c>
      <c r="J284" s="36">
        <v>0</v>
      </c>
      <c r="K284" s="36">
        <v>0</v>
      </c>
      <c r="L284" s="36">
        <v>0</v>
      </c>
      <c r="M284" s="36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46">
        <v>0</v>
      </c>
    </row>
    <row r="285" spans="1:48" ht="12.75">
      <c r="A285" s="34">
        <v>284</v>
      </c>
      <c r="B285" s="165">
        <v>46.1222</v>
      </c>
      <c r="C285" s="165">
        <v>-91.21443</v>
      </c>
      <c r="D285" s="10">
        <v>26.5</v>
      </c>
      <c r="E285" s="10">
        <v>0</v>
      </c>
      <c r="F285" s="149">
        <v>0</v>
      </c>
      <c r="G285" s="34">
        <v>0</v>
      </c>
      <c r="H285" s="96">
        <v>0</v>
      </c>
      <c r="I285" s="10">
        <v>0</v>
      </c>
      <c r="J285" s="36">
        <v>0</v>
      </c>
      <c r="K285" s="36">
        <v>0</v>
      </c>
      <c r="L285" s="36">
        <v>0</v>
      </c>
      <c r="M285" s="36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46">
        <v>0</v>
      </c>
    </row>
    <row r="286" spans="1:48" ht="12.75">
      <c r="A286" s="34">
        <v>285</v>
      </c>
      <c r="B286" s="165">
        <v>46.1222</v>
      </c>
      <c r="C286" s="165">
        <v>-91.21396</v>
      </c>
      <c r="D286" s="10">
        <v>21</v>
      </c>
      <c r="E286" s="10">
        <v>0</v>
      </c>
      <c r="F286" s="149">
        <v>0</v>
      </c>
      <c r="G286" s="34">
        <v>0</v>
      </c>
      <c r="H286" s="96">
        <v>0</v>
      </c>
      <c r="I286" s="10">
        <v>0</v>
      </c>
      <c r="J286" s="36">
        <v>0</v>
      </c>
      <c r="K286" s="36">
        <v>0</v>
      </c>
      <c r="L286" s="36">
        <v>0</v>
      </c>
      <c r="M286" s="36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46">
        <v>0</v>
      </c>
    </row>
    <row r="287" spans="1:48" ht="12.75">
      <c r="A287" s="34">
        <v>286</v>
      </c>
      <c r="B287" s="165">
        <v>46.12221</v>
      </c>
      <c r="C287" s="165">
        <v>-91.2135</v>
      </c>
      <c r="D287" s="10">
        <v>18.5</v>
      </c>
      <c r="E287" s="10">
        <v>0</v>
      </c>
      <c r="F287" s="149">
        <v>0</v>
      </c>
      <c r="G287" s="34">
        <v>0</v>
      </c>
      <c r="H287" s="96">
        <v>0</v>
      </c>
      <c r="I287" s="10">
        <v>0</v>
      </c>
      <c r="J287" s="36">
        <v>0</v>
      </c>
      <c r="K287" s="36">
        <v>0</v>
      </c>
      <c r="L287" s="36">
        <v>0</v>
      </c>
      <c r="M287" s="36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46">
        <v>0</v>
      </c>
    </row>
    <row r="288" spans="1:48" ht="12.75">
      <c r="A288" s="34">
        <v>287</v>
      </c>
      <c r="B288" s="165">
        <v>46.12221</v>
      </c>
      <c r="C288" s="165">
        <v>-91.21303</v>
      </c>
      <c r="D288" s="10">
        <v>18.5</v>
      </c>
      <c r="E288" s="10">
        <v>0</v>
      </c>
      <c r="F288" s="149">
        <v>0</v>
      </c>
      <c r="G288" s="34">
        <v>0</v>
      </c>
      <c r="H288" s="96">
        <v>0</v>
      </c>
      <c r="I288" s="10">
        <v>0</v>
      </c>
      <c r="J288" s="36">
        <v>0</v>
      </c>
      <c r="K288" s="36">
        <v>0</v>
      </c>
      <c r="L288" s="36">
        <v>0</v>
      </c>
      <c r="M288" s="36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46">
        <v>0</v>
      </c>
    </row>
    <row r="289" spans="1:48" ht="12.75">
      <c r="A289" s="34">
        <v>288</v>
      </c>
      <c r="B289" s="165">
        <v>46.12222</v>
      </c>
      <c r="C289" s="165">
        <v>-91.21257</v>
      </c>
      <c r="D289" s="10">
        <v>21.5</v>
      </c>
      <c r="E289" s="10">
        <v>0</v>
      </c>
      <c r="F289" s="149">
        <v>0</v>
      </c>
      <c r="G289" s="34">
        <v>0</v>
      </c>
      <c r="H289" s="96">
        <v>0</v>
      </c>
      <c r="I289" s="10">
        <v>0</v>
      </c>
      <c r="J289" s="36">
        <v>0</v>
      </c>
      <c r="K289" s="36">
        <v>0</v>
      </c>
      <c r="L289" s="36">
        <v>0</v>
      </c>
      <c r="M289" s="36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V289" s="146">
        <v>0</v>
      </c>
    </row>
    <row r="290" spans="1:48" ht="12.75">
      <c r="A290" s="34">
        <v>289</v>
      </c>
      <c r="B290" s="165">
        <v>46.12222</v>
      </c>
      <c r="C290" s="165">
        <v>-91.2121</v>
      </c>
      <c r="D290" s="10">
        <v>22.5</v>
      </c>
      <c r="E290" s="10">
        <v>0</v>
      </c>
      <c r="F290" s="149">
        <v>0</v>
      </c>
      <c r="G290" s="34">
        <v>0</v>
      </c>
      <c r="H290" s="96">
        <v>0</v>
      </c>
      <c r="I290" s="10">
        <v>0</v>
      </c>
      <c r="J290" s="36">
        <v>0</v>
      </c>
      <c r="K290" s="36">
        <v>0</v>
      </c>
      <c r="L290" s="36">
        <v>0</v>
      </c>
      <c r="M290" s="36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46">
        <v>0</v>
      </c>
    </row>
    <row r="291" spans="1:48" ht="12.75">
      <c r="A291" s="34">
        <v>290</v>
      </c>
      <c r="B291" s="165">
        <v>46.12223</v>
      </c>
      <c r="C291" s="165">
        <v>-91.21163</v>
      </c>
      <c r="D291" s="10">
        <v>21</v>
      </c>
      <c r="E291" s="10">
        <v>0</v>
      </c>
      <c r="F291" s="149">
        <v>0</v>
      </c>
      <c r="G291" s="34">
        <v>0</v>
      </c>
      <c r="H291" s="96">
        <v>0</v>
      </c>
      <c r="I291" s="10">
        <v>0</v>
      </c>
      <c r="J291" s="36">
        <v>0</v>
      </c>
      <c r="K291" s="36">
        <v>0</v>
      </c>
      <c r="L291" s="36">
        <v>0</v>
      </c>
      <c r="M291" s="36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V291" s="146">
        <v>0</v>
      </c>
    </row>
    <row r="292" spans="1:48" ht="12.75">
      <c r="A292" s="34">
        <v>291</v>
      </c>
      <c r="B292" s="165">
        <v>46.12223</v>
      </c>
      <c r="C292" s="165">
        <v>-91.21117</v>
      </c>
      <c r="D292" s="10">
        <v>18</v>
      </c>
      <c r="E292" s="10">
        <v>0</v>
      </c>
      <c r="F292" s="149">
        <v>0</v>
      </c>
      <c r="G292" s="34">
        <v>0</v>
      </c>
      <c r="H292" s="96">
        <v>0</v>
      </c>
      <c r="I292" s="10">
        <v>0</v>
      </c>
      <c r="J292" s="36">
        <v>0</v>
      </c>
      <c r="K292" s="36">
        <v>0</v>
      </c>
      <c r="L292" s="36">
        <v>0</v>
      </c>
      <c r="M292" s="36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46">
        <v>0</v>
      </c>
    </row>
    <row r="293" spans="1:48" ht="12.75">
      <c r="A293" s="34">
        <v>292</v>
      </c>
      <c r="B293" s="165">
        <v>46.12224</v>
      </c>
      <c r="C293" s="165">
        <v>-91.2107</v>
      </c>
      <c r="D293" s="10">
        <v>17.5</v>
      </c>
      <c r="E293" s="10">
        <v>0</v>
      </c>
      <c r="F293" s="149">
        <v>0</v>
      </c>
      <c r="G293" s="34">
        <v>0</v>
      </c>
      <c r="H293" s="96">
        <v>0</v>
      </c>
      <c r="I293" s="10">
        <v>0</v>
      </c>
      <c r="J293" s="36">
        <v>0</v>
      </c>
      <c r="K293" s="36">
        <v>0</v>
      </c>
      <c r="L293" s="36">
        <v>0</v>
      </c>
      <c r="M293" s="36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46">
        <v>0</v>
      </c>
    </row>
    <row r="294" spans="1:48" ht="12.75">
      <c r="A294" s="34">
        <v>293</v>
      </c>
      <c r="B294" s="165">
        <v>46.12224</v>
      </c>
      <c r="C294" s="165">
        <v>-91.21024</v>
      </c>
      <c r="D294" s="10">
        <v>16</v>
      </c>
      <c r="E294" s="10">
        <v>0</v>
      </c>
      <c r="F294" s="149">
        <v>0</v>
      </c>
      <c r="G294" s="34">
        <v>0</v>
      </c>
      <c r="H294" s="96">
        <v>0</v>
      </c>
      <c r="I294" s="10">
        <v>0</v>
      </c>
      <c r="J294" s="36">
        <v>0</v>
      </c>
      <c r="K294" s="36">
        <v>0</v>
      </c>
      <c r="L294" s="36">
        <v>0</v>
      </c>
      <c r="M294" s="36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46">
        <v>0</v>
      </c>
    </row>
    <row r="295" spans="1:48" ht="12.75">
      <c r="A295" s="34">
        <v>294</v>
      </c>
      <c r="B295" s="165">
        <v>46.12225</v>
      </c>
      <c r="C295" s="165">
        <v>-91.20977</v>
      </c>
      <c r="D295" s="10">
        <v>14</v>
      </c>
      <c r="E295" s="10" t="s">
        <v>563</v>
      </c>
      <c r="F295" s="149">
        <v>1</v>
      </c>
      <c r="G295" s="34">
        <v>0</v>
      </c>
      <c r="H295" s="96">
        <v>0</v>
      </c>
      <c r="I295" s="10">
        <v>0</v>
      </c>
      <c r="J295" s="36">
        <v>0</v>
      </c>
      <c r="K295" s="36">
        <v>0</v>
      </c>
      <c r="L295" s="36">
        <v>0</v>
      </c>
      <c r="M295" s="36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46">
        <v>0</v>
      </c>
    </row>
    <row r="296" spans="1:48" ht="12.75">
      <c r="A296" s="34">
        <v>295</v>
      </c>
      <c r="B296" s="165">
        <v>46.12225</v>
      </c>
      <c r="C296" s="165">
        <v>-91.20931</v>
      </c>
      <c r="D296" s="10">
        <v>4</v>
      </c>
      <c r="E296" s="10" t="s">
        <v>563</v>
      </c>
      <c r="F296" s="149">
        <v>1</v>
      </c>
      <c r="G296" s="34">
        <v>1</v>
      </c>
      <c r="H296" s="96">
        <v>5</v>
      </c>
      <c r="I296" s="10">
        <v>2</v>
      </c>
      <c r="J296" s="36">
        <v>0</v>
      </c>
      <c r="K296" s="36">
        <v>0</v>
      </c>
      <c r="L296" s="36">
        <v>1</v>
      </c>
      <c r="M296" s="36">
        <v>0</v>
      </c>
      <c r="N296" s="10">
        <v>0</v>
      </c>
      <c r="O296" s="10">
        <v>0</v>
      </c>
      <c r="P296" s="10">
        <v>0</v>
      </c>
      <c r="Q296" s="10">
        <v>4</v>
      </c>
      <c r="R296" s="10">
        <v>0</v>
      </c>
      <c r="S296" s="10">
        <v>1</v>
      </c>
      <c r="T296" s="10">
        <v>0</v>
      </c>
      <c r="U296" s="10">
        <v>4</v>
      </c>
      <c r="V296" s="10">
        <v>1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2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1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46">
        <v>0</v>
      </c>
    </row>
    <row r="297" spans="1:48" ht="12.75">
      <c r="A297" s="34">
        <v>296</v>
      </c>
      <c r="B297" s="165">
        <v>46.12246</v>
      </c>
      <c r="C297" s="165">
        <v>-91.22003</v>
      </c>
      <c r="D297" s="10">
        <v>4</v>
      </c>
      <c r="E297" s="10" t="s">
        <v>563</v>
      </c>
      <c r="F297" s="149">
        <v>1</v>
      </c>
      <c r="G297" s="34">
        <v>1</v>
      </c>
      <c r="H297" s="96">
        <v>5</v>
      </c>
      <c r="I297" s="10">
        <v>3</v>
      </c>
      <c r="J297" s="36">
        <v>0</v>
      </c>
      <c r="K297" s="36">
        <v>0</v>
      </c>
      <c r="L297" s="36">
        <v>1</v>
      </c>
      <c r="M297" s="36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1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1</v>
      </c>
      <c r="AG297" s="10">
        <v>3</v>
      </c>
      <c r="AH297" s="10">
        <v>0</v>
      </c>
      <c r="AI297" s="10">
        <v>2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46">
        <v>0</v>
      </c>
    </row>
    <row r="298" spans="1:48" ht="12.75">
      <c r="A298" s="34">
        <v>297</v>
      </c>
      <c r="B298" s="165">
        <v>46.12247</v>
      </c>
      <c r="C298" s="165">
        <v>-91.21956</v>
      </c>
      <c r="D298" s="10">
        <v>13</v>
      </c>
      <c r="E298" s="10" t="s">
        <v>563</v>
      </c>
      <c r="F298" s="149">
        <v>1</v>
      </c>
      <c r="G298" s="34">
        <v>0</v>
      </c>
      <c r="H298" s="96">
        <v>0</v>
      </c>
      <c r="I298" s="10">
        <v>0</v>
      </c>
      <c r="J298" s="36">
        <v>0</v>
      </c>
      <c r="K298" s="36">
        <v>0</v>
      </c>
      <c r="L298" s="36">
        <v>0</v>
      </c>
      <c r="M298" s="36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46">
        <v>0</v>
      </c>
    </row>
    <row r="299" spans="1:48" ht="12.75">
      <c r="A299" s="34">
        <v>298</v>
      </c>
      <c r="B299" s="165">
        <v>46.12247</v>
      </c>
      <c r="C299" s="165">
        <v>-91.2191</v>
      </c>
      <c r="D299" s="10">
        <v>16</v>
      </c>
      <c r="E299" s="10">
        <v>0</v>
      </c>
      <c r="F299" s="149">
        <v>0</v>
      </c>
      <c r="G299" s="34">
        <v>0</v>
      </c>
      <c r="H299" s="96">
        <v>0</v>
      </c>
      <c r="I299" s="10">
        <v>0</v>
      </c>
      <c r="J299" s="36">
        <v>0</v>
      </c>
      <c r="K299" s="36">
        <v>0</v>
      </c>
      <c r="L299" s="36">
        <v>0</v>
      </c>
      <c r="M299" s="36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46">
        <v>0</v>
      </c>
    </row>
    <row r="300" spans="1:48" ht="12.75">
      <c r="A300" s="34">
        <v>299</v>
      </c>
      <c r="B300" s="165">
        <v>46.12248</v>
      </c>
      <c r="C300" s="165">
        <v>-91.21863</v>
      </c>
      <c r="D300" s="10">
        <v>15.5</v>
      </c>
      <c r="E300" s="10">
        <v>0</v>
      </c>
      <c r="F300" s="149">
        <v>0</v>
      </c>
      <c r="G300" s="34">
        <v>0</v>
      </c>
      <c r="H300" s="96">
        <v>0</v>
      </c>
      <c r="I300" s="10">
        <v>0</v>
      </c>
      <c r="J300" s="36">
        <v>0</v>
      </c>
      <c r="K300" s="36">
        <v>0</v>
      </c>
      <c r="L300" s="36">
        <v>0</v>
      </c>
      <c r="M300" s="36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46">
        <v>0</v>
      </c>
    </row>
    <row r="301" spans="1:48" ht="12.75">
      <c r="A301" s="34">
        <v>300</v>
      </c>
      <c r="B301" s="165">
        <v>46.12248</v>
      </c>
      <c r="C301" s="165">
        <v>-91.21816</v>
      </c>
      <c r="D301" s="10">
        <v>16</v>
      </c>
      <c r="E301" s="10">
        <v>0</v>
      </c>
      <c r="F301" s="149">
        <v>0</v>
      </c>
      <c r="G301" s="34">
        <v>0</v>
      </c>
      <c r="H301" s="96">
        <v>0</v>
      </c>
      <c r="I301" s="10">
        <v>0</v>
      </c>
      <c r="J301" s="36">
        <v>0</v>
      </c>
      <c r="K301" s="36">
        <v>0</v>
      </c>
      <c r="L301" s="36">
        <v>0</v>
      </c>
      <c r="M301" s="36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46">
        <v>0</v>
      </c>
    </row>
    <row r="302" spans="1:48" ht="12.75">
      <c r="A302" s="34">
        <v>301</v>
      </c>
      <c r="B302" s="165">
        <v>46.12249</v>
      </c>
      <c r="C302" s="165">
        <v>-91.2177</v>
      </c>
      <c r="D302" s="10">
        <v>17</v>
      </c>
      <c r="E302" s="10">
        <v>0</v>
      </c>
      <c r="F302" s="149">
        <v>0</v>
      </c>
      <c r="G302" s="34">
        <v>0</v>
      </c>
      <c r="H302" s="96">
        <v>0</v>
      </c>
      <c r="I302" s="10">
        <v>0</v>
      </c>
      <c r="J302" s="36">
        <v>0</v>
      </c>
      <c r="K302" s="36">
        <v>0</v>
      </c>
      <c r="L302" s="36">
        <v>0</v>
      </c>
      <c r="M302" s="36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46">
        <v>0</v>
      </c>
    </row>
    <row r="303" spans="1:48" ht="12.75">
      <c r="A303" s="34">
        <v>302</v>
      </c>
      <c r="B303" s="165">
        <v>46.12249</v>
      </c>
      <c r="C303" s="165">
        <v>-91.21723</v>
      </c>
      <c r="D303" s="10">
        <v>16.5</v>
      </c>
      <c r="E303" s="10">
        <v>0</v>
      </c>
      <c r="F303" s="149">
        <v>0</v>
      </c>
      <c r="G303" s="34">
        <v>0</v>
      </c>
      <c r="H303" s="96">
        <v>0</v>
      </c>
      <c r="I303" s="10">
        <v>0</v>
      </c>
      <c r="J303" s="36">
        <v>0</v>
      </c>
      <c r="K303" s="36">
        <v>0</v>
      </c>
      <c r="L303" s="36">
        <v>0</v>
      </c>
      <c r="M303" s="36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46">
        <v>0</v>
      </c>
    </row>
    <row r="304" spans="1:48" ht="12.75">
      <c r="A304" s="34">
        <v>303</v>
      </c>
      <c r="B304" s="165">
        <v>46.1225</v>
      </c>
      <c r="C304" s="165">
        <v>-91.21677</v>
      </c>
      <c r="D304" s="10">
        <v>15.5</v>
      </c>
      <c r="E304" s="10">
        <v>0</v>
      </c>
      <c r="F304" s="149">
        <v>0</v>
      </c>
      <c r="G304" s="34">
        <v>0</v>
      </c>
      <c r="H304" s="96">
        <v>0</v>
      </c>
      <c r="I304" s="10">
        <v>0</v>
      </c>
      <c r="J304" s="36">
        <v>0</v>
      </c>
      <c r="K304" s="36">
        <v>0</v>
      </c>
      <c r="L304" s="36">
        <v>0</v>
      </c>
      <c r="M304" s="36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46">
        <v>0</v>
      </c>
    </row>
    <row r="305" spans="1:48" ht="12.75">
      <c r="A305" s="34">
        <v>304</v>
      </c>
      <c r="B305" s="165">
        <v>46.1225</v>
      </c>
      <c r="C305" s="165">
        <v>-91.2163</v>
      </c>
      <c r="D305" s="10">
        <v>10.5</v>
      </c>
      <c r="E305" s="10" t="s">
        <v>563</v>
      </c>
      <c r="F305" s="149">
        <v>1</v>
      </c>
      <c r="G305" s="34">
        <v>1</v>
      </c>
      <c r="H305" s="96">
        <v>1</v>
      </c>
      <c r="I305" s="10">
        <v>1</v>
      </c>
      <c r="J305" s="36">
        <v>0</v>
      </c>
      <c r="K305" s="36">
        <v>0</v>
      </c>
      <c r="L305" s="36">
        <v>0</v>
      </c>
      <c r="M305" s="36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1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46">
        <v>1</v>
      </c>
    </row>
    <row r="306" spans="1:48" ht="12.75">
      <c r="A306" s="34">
        <v>305</v>
      </c>
      <c r="B306" s="165">
        <v>46.12251</v>
      </c>
      <c r="C306" s="165">
        <v>-91.21583</v>
      </c>
      <c r="D306" s="10">
        <v>12</v>
      </c>
      <c r="E306" s="10" t="s">
        <v>565</v>
      </c>
      <c r="F306" s="149">
        <v>1</v>
      </c>
      <c r="G306" s="34">
        <v>0</v>
      </c>
      <c r="H306" s="96">
        <v>0</v>
      </c>
      <c r="I306" s="10">
        <v>0</v>
      </c>
      <c r="J306" s="36">
        <v>0</v>
      </c>
      <c r="K306" s="36">
        <v>0</v>
      </c>
      <c r="L306" s="36">
        <v>0</v>
      </c>
      <c r="M306" s="36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46">
        <v>0</v>
      </c>
    </row>
    <row r="307" spans="1:48" ht="12.75">
      <c r="A307" s="34">
        <v>306</v>
      </c>
      <c r="B307" s="165">
        <v>46.12251</v>
      </c>
      <c r="C307" s="165">
        <v>-91.21537</v>
      </c>
      <c r="D307" s="10">
        <v>19.5</v>
      </c>
      <c r="E307" s="10">
        <v>0</v>
      </c>
      <c r="F307" s="149">
        <v>0</v>
      </c>
      <c r="G307" s="34">
        <v>0</v>
      </c>
      <c r="H307" s="96">
        <v>0</v>
      </c>
      <c r="I307" s="10">
        <v>0</v>
      </c>
      <c r="J307" s="36">
        <v>0</v>
      </c>
      <c r="K307" s="36">
        <v>0</v>
      </c>
      <c r="L307" s="36">
        <v>0</v>
      </c>
      <c r="M307" s="36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46">
        <v>0</v>
      </c>
    </row>
    <row r="308" spans="1:48" ht="12.75">
      <c r="A308" s="34">
        <v>307</v>
      </c>
      <c r="B308" s="165">
        <v>46.12252</v>
      </c>
      <c r="C308" s="165">
        <v>-91.2149</v>
      </c>
      <c r="D308" s="10">
        <v>26</v>
      </c>
      <c r="E308" s="10">
        <v>0</v>
      </c>
      <c r="F308" s="149">
        <v>0</v>
      </c>
      <c r="G308" s="34">
        <v>0</v>
      </c>
      <c r="H308" s="96">
        <v>0</v>
      </c>
      <c r="I308" s="10">
        <v>0</v>
      </c>
      <c r="J308" s="36">
        <v>0</v>
      </c>
      <c r="K308" s="36">
        <v>0</v>
      </c>
      <c r="L308" s="36">
        <v>0</v>
      </c>
      <c r="M308" s="36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46">
        <v>0</v>
      </c>
    </row>
    <row r="309" spans="1:48" ht="12.75">
      <c r="A309" s="34">
        <v>308</v>
      </c>
      <c r="B309" s="165">
        <v>46.12252</v>
      </c>
      <c r="C309" s="165">
        <v>-91.21444</v>
      </c>
      <c r="D309" s="10">
        <v>26</v>
      </c>
      <c r="E309" s="10">
        <v>0</v>
      </c>
      <c r="F309" s="149">
        <v>0</v>
      </c>
      <c r="G309" s="34">
        <v>0</v>
      </c>
      <c r="H309" s="96">
        <v>0</v>
      </c>
      <c r="I309" s="10">
        <v>0</v>
      </c>
      <c r="J309" s="36">
        <v>0</v>
      </c>
      <c r="K309" s="36">
        <v>0</v>
      </c>
      <c r="L309" s="36">
        <v>0</v>
      </c>
      <c r="M309" s="36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46">
        <v>0</v>
      </c>
    </row>
    <row r="310" spans="1:48" ht="12.75">
      <c r="A310" s="34">
        <v>309</v>
      </c>
      <c r="B310" s="165">
        <v>46.12253</v>
      </c>
      <c r="C310" s="165">
        <v>-91.21397</v>
      </c>
      <c r="D310" s="10">
        <v>18</v>
      </c>
      <c r="E310" s="10">
        <v>0</v>
      </c>
      <c r="F310" s="149">
        <v>0</v>
      </c>
      <c r="G310" s="34">
        <v>0</v>
      </c>
      <c r="H310" s="96">
        <v>0</v>
      </c>
      <c r="I310" s="10">
        <v>0</v>
      </c>
      <c r="J310" s="36">
        <v>0</v>
      </c>
      <c r="K310" s="36">
        <v>0</v>
      </c>
      <c r="L310" s="36">
        <v>0</v>
      </c>
      <c r="M310" s="36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46">
        <v>0</v>
      </c>
    </row>
    <row r="311" spans="1:48" ht="12.75">
      <c r="A311" s="34">
        <v>310</v>
      </c>
      <c r="B311" s="165">
        <v>46.12253</v>
      </c>
      <c r="C311" s="165">
        <v>-91.21351</v>
      </c>
      <c r="D311" s="10">
        <v>16</v>
      </c>
      <c r="E311" s="10">
        <v>0</v>
      </c>
      <c r="F311" s="149">
        <v>0</v>
      </c>
      <c r="G311" s="34">
        <v>0</v>
      </c>
      <c r="H311" s="96">
        <v>0</v>
      </c>
      <c r="I311" s="10">
        <v>0</v>
      </c>
      <c r="J311" s="36">
        <v>0</v>
      </c>
      <c r="K311" s="36">
        <v>0</v>
      </c>
      <c r="L311" s="36">
        <v>0</v>
      </c>
      <c r="M311" s="36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46">
        <v>0</v>
      </c>
    </row>
    <row r="312" spans="1:48" ht="12.75">
      <c r="A312" s="34">
        <v>311</v>
      </c>
      <c r="B312" s="165">
        <v>46.12254</v>
      </c>
      <c r="C312" s="165">
        <v>-91.21304</v>
      </c>
      <c r="D312" s="10">
        <v>16.5</v>
      </c>
      <c r="E312" s="10">
        <v>0</v>
      </c>
      <c r="F312" s="149">
        <v>0</v>
      </c>
      <c r="G312" s="34">
        <v>0</v>
      </c>
      <c r="H312" s="96">
        <v>0</v>
      </c>
      <c r="I312" s="10">
        <v>0</v>
      </c>
      <c r="J312" s="36">
        <v>0</v>
      </c>
      <c r="K312" s="36">
        <v>0</v>
      </c>
      <c r="L312" s="36">
        <v>0</v>
      </c>
      <c r="M312" s="36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46">
        <v>0</v>
      </c>
    </row>
    <row r="313" spans="1:48" ht="12.75">
      <c r="A313" s="34">
        <v>312</v>
      </c>
      <c r="B313" s="165">
        <v>46.12254</v>
      </c>
      <c r="C313" s="165">
        <v>-91.21257</v>
      </c>
      <c r="D313" s="10">
        <v>19.5</v>
      </c>
      <c r="E313" s="10">
        <v>0</v>
      </c>
      <c r="F313" s="149">
        <v>0</v>
      </c>
      <c r="G313" s="34">
        <v>0</v>
      </c>
      <c r="H313" s="96">
        <v>0</v>
      </c>
      <c r="I313" s="10">
        <v>0</v>
      </c>
      <c r="J313" s="36">
        <v>0</v>
      </c>
      <c r="K313" s="36">
        <v>0</v>
      </c>
      <c r="L313" s="36">
        <v>0</v>
      </c>
      <c r="M313" s="36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46">
        <v>0</v>
      </c>
    </row>
    <row r="314" spans="1:48" ht="12.75">
      <c r="A314" s="34">
        <v>313</v>
      </c>
      <c r="B314" s="165">
        <v>46.12255</v>
      </c>
      <c r="C314" s="165">
        <v>-91.21211</v>
      </c>
      <c r="D314" s="10">
        <v>19.5</v>
      </c>
      <c r="E314" s="10">
        <v>0</v>
      </c>
      <c r="F314" s="149">
        <v>0</v>
      </c>
      <c r="G314" s="34">
        <v>0</v>
      </c>
      <c r="H314" s="96">
        <v>0</v>
      </c>
      <c r="I314" s="10">
        <v>0</v>
      </c>
      <c r="J314" s="36">
        <v>0</v>
      </c>
      <c r="K314" s="36">
        <v>0</v>
      </c>
      <c r="L314" s="36">
        <v>0</v>
      </c>
      <c r="M314" s="36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46">
        <v>0</v>
      </c>
    </row>
    <row r="315" spans="1:48" ht="12.75">
      <c r="A315" s="34">
        <v>314</v>
      </c>
      <c r="B315" s="165">
        <v>46.12255</v>
      </c>
      <c r="C315" s="165">
        <v>-91.21164</v>
      </c>
      <c r="D315" s="10">
        <v>18.5</v>
      </c>
      <c r="E315" s="10">
        <v>0</v>
      </c>
      <c r="F315" s="149">
        <v>0</v>
      </c>
      <c r="G315" s="34">
        <v>0</v>
      </c>
      <c r="H315" s="96">
        <v>0</v>
      </c>
      <c r="I315" s="10">
        <v>0</v>
      </c>
      <c r="J315" s="36">
        <v>0</v>
      </c>
      <c r="K315" s="36">
        <v>0</v>
      </c>
      <c r="L315" s="36">
        <v>0</v>
      </c>
      <c r="M315" s="36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46">
        <v>0</v>
      </c>
    </row>
    <row r="316" spans="1:48" ht="12.75">
      <c r="A316" s="34">
        <v>315</v>
      </c>
      <c r="B316" s="165">
        <v>46.12256</v>
      </c>
      <c r="C316" s="165">
        <v>-91.21118</v>
      </c>
      <c r="D316" s="10">
        <v>16.5</v>
      </c>
      <c r="E316" s="10">
        <v>0</v>
      </c>
      <c r="F316" s="149">
        <v>0</v>
      </c>
      <c r="G316" s="34">
        <v>0</v>
      </c>
      <c r="H316" s="96">
        <v>0</v>
      </c>
      <c r="I316" s="10">
        <v>0</v>
      </c>
      <c r="J316" s="36">
        <v>0</v>
      </c>
      <c r="K316" s="36">
        <v>0</v>
      </c>
      <c r="L316" s="36">
        <v>0</v>
      </c>
      <c r="M316" s="36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46">
        <v>0</v>
      </c>
    </row>
    <row r="317" spans="1:48" ht="12.75">
      <c r="A317" s="34">
        <v>316</v>
      </c>
      <c r="B317" s="165">
        <v>46.12256</v>
      </c>
      <c r="C317" s="165">
        <v>-91.21071</v>
      </c>
      <c r="D317" s="10">
        <v>14.5</v>
      </c>
      <c r="E317" s="10" t="s">
        <v>563</v>
      </c>
      <c r="F317" s="149">
        <v>0</v>
      </c>
      <c r="G317" s="34">
        <v>0</v>
      </c>
      <c r="H317" s="96">
        <v>0</v>
      </c>
      <c r="I317" s="10">
        <v>0</v>
      </c>
      <c r="J317" s="36">
        <v>0</v>
      </c>
      <c r="K317" s="36">
        <v>0</v>
      </c>
      <c r="L317" s="36">
        <v>0</v>
      </c>
      <c r="M317" s="36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46">
        <v>0</v>
      </c>
    </row>
    <row r="318" spans="1:48" ht="12.75">
      <c r="A318" s="34">
        <v>317</v>
      </c>
      <c r="B318" s="165">
        <v>46.12257</v>
      </c>
      <c r="C318" s="165">
        <v>-91.21024</v>
      </c>
      <c r="D318" s="10">
        <v>12.5</v>
      </c>
      <c r="E318" s="10" t="s">
        <v>563</v>
      </c>
      <c r="F318" s="149">
        <v>1</v>
      </c>
      <c r="G318" s="34">
        <v>0</v>
      </c>
      <c r="H318" s="96">
        <v>0</v>
      </c>
      <c r="I318" s="10">
        <v>0</v>
      </c>
      <c r="J318" s="36">
        <v>0</v>
      </c>
      <c r="K318" s="36">
        <v>0</v>
      </c>
      <c r="L318" s="36">
        <v>0</v>
      </c>
      <c r="M318" s="36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46">
        <v>0</v>
      </c>
    </row>
    <row r="319" spans="1:48" ht="12.75">
      <c r="A319" s="34">
        <v>318</v>
      </c>
      <c r="B319" s="165">
        <v>46.12257</v>
      </c>
      <c r="C319" s="165">
        <v>-91.20978</v>
      </c>
      <c r="D319" s="10">
        <v>10</v>
      </c>
      <c r="E319" s="10" t="s">
        <v>563</v>
      </c>
      <c r="F319" s="149">
        <v>1</v>
      </c>
      <c r="G319" s="34">
        <v>1</v>
      </c>
      <c r="H319" s="96">
        <v>1</v>
      </c>
      <c r="I319" s="10">
        <v>1</v>
      </c>
      <c r="J319" s="36">
        <v>0</v>
      </c>
      <c r="K319" s="36">
        <v>0</v>
      </c>
      <c r="L319" s="36">
        <v>0</v>
      </c>
      <c r="M319" s="36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1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46">
        <v>0</v>
      </c>
    </row>
    <row r="320" spans="1:48" ht="12.75">
      <c r="A320" s="34">
        <v>319</v>
      </c>
      <c r="B320" s="165">
        <v>46.12258</v>
      </c>
      <c r="C320" s="165">
        <v>-91.20931</v>
      </c>
      <c r="D320" s="10">
        <v>3.5</v>
      </c>
      <c r="E320" s="10" t="s">
        <v>563</v>
      </c>
      <c r="F320" s="149">
        <v>1</v>
      </c>
      <c r="G320" s="34">
        <v>1</v>
      </c>
      <c r="H320" s="96">
        <v>7</v>
      </c>
      <c r="I320" s="10">
        <v>2</v>
      </c>
      <c r="J320" s="36">
        <v>0</v>
      </c>
      <c r="K320" s="36">
        <v>0</v>
      </c>
      <c r="L320" s="36">
        <v>2</v>
      </c>
      <c r="M320" s="36">
        <v>0</v>
      </c>
      <c r="N320" s="10">
        <v>0</v>
      </c>
      <c r="O320" s="10">
        <v>0</v>
      </c>
      <c r="P320" s="10">
        <v>1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1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2</v>
      </c>
      <c r="AC320" s="10">
        <v>0</v>
      </c>
      <c r="AD320" s="10">
        <v>0</v>
      </c>
      <c r="AE320" s="10">
        <v>0</v>
      </c>
      <c r="AF320" s="10">
        <v>0</v>
      </c>
      <c r="AG320" s="10">
        <v>1</v>
      </c>
      <c r="AH320" s="10">
        <v>0</v>
      </c>
      <c r="AI320" s="10">
        <v>1</v>
      </c>
      <c r="AJ320" s="10">
        <v>1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46">
        <v>0</v>
      </c>
    </row>
    <row r="321" spans="1:48" ht="12.75">
      <c r="A321" s="34">
        <v>320</v>
      </c>
      <c r="B321" s="165">
        <v>46.12279</v>
      </c>
      <c r="C321" s="165">
        <v>-91.22003</v>
      </c>
      <c r="D321" s="10">
        <v>2.5</v>
      </c>
      <c r="E321" s="10" t="s">
        <v>563</v>
      </c>
      <c r="F321" s="149">
        <v>1</v>
      </c>
      <c r="G321" s="34">
        <v>1</v>
      </c>
      <c r="H321" s="96">
        <v>10</v>
      </c>
      <c r="I321" s="10">
        <v>3</v>
      </c>
      <c r="J321" s="36">
        <v>0</v>
      </c>
      <c r="K321" s="36">
        <v>2</v>
      </c>
      <c r="L321" s="36">
        <v>1</v>
      </c>
      <c r="M321" s="36">
        <v>1</v>
      </c>
      <c r="N321" s="10">
        <v>0</v>
      </c>
      <c r="O321" s="10">
        <v>1</v>
      </c>
      <c r="P321" s="10">
        <v>1</v>
      </c>
      <c r="Q321" s="10">
        <v>0</v>
      </c>
      <c r="R321" s="10">
        <v>0</v>
      </c>
      <c r="S321" s="10">
        <v>0</v>
      </c>
      <c r="T321" s="10">
        <v>0</v>
      </c>
      <c r="U321" s="10">
        <v>2</v>
      </c>
      <c r="V321" s="10">
        <v>2</v>
      </c>
      <c r="W321" s="10">
        <v>0</v>
      </c>
      <c r="X321" s="10">
        <v>1</v>
      </c>
      <c r="Y321" s="10">
        <v>4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4</v>
      </c>
      <c r="AH321" s="10">
        <v>0</v>
      </c>
      <c r="AI321" s="10">
        <v>1</v>
      </c>
      <c r="AJ321" s="10">
        <v>0</v>
      </c>
      <c r="AK321" s="10">
        <v>0</v>
      </c>
      <c r="AL321" s="10">
        <v>0</v>
      </c>
      <c r="AM321" s="10">
        <v>0</v>
      </c>
      <c r="AN321" s="10">
        <v>1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46">
        <v>0</v>
      </c>
    </row>
    <row r="322" spans="1:48" ht="12.75">
      <c r="A322" s="34">
        <v>321</v>
      </c>
      <c r="B322" s="165">
        <v>46.12279</v>
      </c>
      <c r="C322" s="165">
        <v>-91.21957</v>
      </c>
      <c r="D322" s="10">
        <v>10.5</v>
      </c>
      <c r="E322" s="10" t="s">
        <v>563</v>
      </c>
      <c r="F322" s="149">
        <v>1</v>
      </c>
      <c r="G322" s="34">
        <v>1</v>
      </c>
      <c r="H322" s="96">
        <v>1</v>
      </c>
      <c r="I322" s="10">
        <v>1</v>
      </c>
      <c r="J322" s="36">
        <v>0</v>
      </c>
      <c r="K322" s="36">
        <v>0</v>
      </c>
      <c r="L322" s="36">
        <v>0</v>
      </c>
      <c r="M322" s="36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1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V322" s="146">
        <v>0</v>
      </c>
    </row>
    <row r="323" spans="1:48" ht="12.75">
      <c r="A323" s="34">
        <v>322</v>
      </c>
      <c r="B323" s="165">
        <v>46.1228</v>
      </c>
      <c r="C323" s="165">
        <v>-91.2191</v>
      </c>
      <c r="D323" s="10">
        <v>12.5</v>
      </c>
      <c r="E323" s="10" t="s">
        <v>563</v>
      </c>
      <c r="F323" s="149">
        <v>1</v>
      </c>
      <c r="G323" s="34">
        <v>1</v>
      </c>
      <c r="H323" s="96">
        <v>1</v>
      </c>
      <c r="I323" s="10">
        <v>1</v>
      </c>
      <c r="J323" s="36">
        <v>0</v>
      </c>
      <c r="K323" s="36">
        <v>0</v>
      </c>
      <c r="L323" s="36">
        <v>0</v>
      </c>
      <c r="M323" s="36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1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46">
        <v>0</v>
      </c>
    </row>
    <row r="324" spans="1:48" ht="12.75">
      <c r="A324" s="34">
        <v>323</v>
      </c>
      <c r="B324" s="165">
        <v>46.1228</v>
      </c>
      <c r="C324" s="165">
        <v>-91.21864</v>
      </c>
      <c r="D324" s="10">
        <v>11.5</v>
      </c>
      <c r="E324" s="10" t="s">
        <v>563</v>
      </c>
      <c r="F324" s="149">
        <v>1</v>
      </c>
      <c r="G324" s="34">
        <v>0</v>
      </c>
      <c r="H324" s="96">
        <v>0</v>
      </c>
      <c r="I324" s="10">
        <v>0</v>
      </c>
      <c r="J324" s="36">
        <v>0</v>
      </c>
      <c r="K324" s="36">
        <v>0</v>
      </c>
      <c r="L324" s="36">
        <v>0</v>
      </c>
      <c r="M324" s="36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46">
        <v>0</v>
      </c>
    </row>
    <row r="325" spans="1:48" ht="12.75">
      <c r="A325" s="34">
        <v>324</v>
      </c>
      <c r="B325" s="165">
        <v>46.12281</v>
      </c>
      <c r="C325" s="165">
        <v>-91.21817</v>
      </c>
      <c r="D325" s="10">
        <v>13</v>
      </c>
      <c r="E325" s="10" t="s">
        <v>563</v>
      </c>
      <c r="F325" s="149">
        <v>1</v>
      </c>
      <c r="G325" s="34">
        <v>0</v>
      </c>
      <c r="H325" s="96">
        <v>0</v>
      </c>
      <c r="I325" s="10">
        <v>0</v>
      </c>
      <c r="J325" s="36">
        <v>0</v>
      </c>
      <c r="K325" s="36">
        <v>0</v>
      </c>
      <c r="L325" s="36">
        <v>0</v>
      </c>
      <c r="M325" s="36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46">
        <v>0</v>
      </c>
    </row>
    <row r="326" spans="1:48" ht="12.75">
      <c r="A326" s="34">
        <v>325</v>
      </c>
      <c r="B326" s="165">
        <v>46.12281</v>
      </c>
      <c r="C326" s="165">
        <v>-91.2177</v>
      </c>
      <c r="D326" s="10">
        <v>13.5</v>
      </c>
      <c r="E326" s="10" t="s">
        <v>563</v>
      </c>
      <c r="F326" s="149">
        <v>1</v>
      </c>
      <c r="G326" s="34">
        <v>0</v>
      </c>
      <c r="H326" s="96">
        <v>0</v>
      </c>
      <c r="I326" s="10">
        <v>0</v>
      </c>
      <c r="J326" s="36">
        <v>0</v>
      </c>
      <c r="K326" s="36">
        <v>0</v>
      </c>
      <c r="L326" s="36">
        <v>0</v>
      </c>
      <c r="M326" s="36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46">
        <v>0</v>
      </c>
    </row>
    <row r="327" spans="1:48" ht="12.75">
      <c r="A327" s="34">
        <v>326</v>
      </c>
      <c r="B327" s="165">
        <v>46.12282</v>
      </c>
      <c r="C327" s="165">
        <v>-91.21724</v>
      </c>
      <c r="D327" s="10">
        <v>14.5</v>
      </c>
      <c r="E327" s="10" t="s">
        <v>563</v>
      </c>
      <c r="F327" s="149">
        <v>0</v>
      </c>
      <c r="G327" s="34">
        <v>0</v>
      </c>
      <c r="H327" s="96">
        <v>0</v>
      </c>
      <c r="I327" s="10">
        <v>0</v>
      </c>
      <c r="J327" s="36">
        <v>0</v>
      </c>
      <c r="K327" s="36">
        <v>0</v>
      </c>
      <c r="L327" s="36">
        <v>0</v>
      </c>
      <c r="M327" s="36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46">
        <v>0</v>
      </c>
    </row>
    <row r="328" spans="1:48" ht="12.75">
      <c r="A328" s="34">
        <v>327</v>
      </c>
      <c r="B328" s="165">
        <v>46.12282</v>
      </c>
      <c r="C328" s="165">
        <v>-91.21677</v>
      </c>
      <c r="D328" s="10">
        <v>16.5</v>
      </c>
      <c r="E328" s="10">
        <v>0</v>
      </c>
      <c r="F328" s="149">
        <v>0</v>
      </c>
      <c r="G328" s="34">
        <v>0</v>
      </c>
      <c r="H328" s="96">
        <v>0</v>
      </c>
      <c r="I328" s="10">
        <v>0</v>
      </c>
      <c r="J328" s="36">
        <v>0</v>
      </c>
      <c r="K328" s="36">
        <v>0</v>
      </c>
      <c r="L328" s="36">
        <v>0</v>
      </c>
      <c r="M328" s="36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46">
        <v>0</v>
      </c>
    </row>
    <row r="329" spans="1:48" ht="12.75">
      <c r="A329" s="34">
        <v>328</v>
      </c>
      <c r="B329" s="165">
        <v>46.12283</v>
      </c>
      <c r="C329" s="165">
        <v>-91.21631</v>
      </c>
      <c r="D329" s="10">
        <v>9.5</v>
      </c>
      <c r="E329" s="10" t="s">
        <v>563</v>
      </c>
      <c r="F329" s="149">
        <v>1</v>
      </c>
      <c r="G329" s="34">
        <v>1</v>
      </c>
      <c r="H329" s="96">
        <v>3</v>
      </c>
      <c r="I329" s="10">
        <v>2</v>
      </c>
      <c r="J329" s="36">
        <v>0</v>
      </c>
      <c r="K329" s="36">
        <v>0</v>
      </c>
      <c r="L329" s="36">
        <v>0</v>
      </c>
      <c r="M329" s="36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1</v>
      </c>
      <c r="T329" s="10">
        <v>2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1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46">
        <v>0</v>
      </c>
    </row>
    <row r="330" spans="1:48" ht="12.75">
      <c r="A330" s="34">
        <v>329</v>
      </c>
      <c r="B330" s="165">
        <v>46.12283</v>
      </c>
      <c r="C330" s="165">
        <v>-91.21584</v>
      </c>
      <c r="D330" s="10">
        <v>5</v>
      </c>
      <c r="E330" s="10" t="s">
        <v>565</v>
      </c>
      <c r="F330" s="149">
        <v>1</v>
      </c>
      <c r="G330" s="34">
        <v>1</v>
      </c>
      <c r="H330" s="96">
        <v>1</v>
      </c>
      <c r="I330" s="10">
        <v>2</v>
      </c>
      <c r="J330" s="36">
        <v>0</v>
      </c>
      <c r="K330" s="36">
        <v>0</v>
      </c>
      <c r="L330" s="36">
        <v>2</v>
      </c>
      <c r="M330" s="36">
        <v>0</v>
      </c>
      <c r="N330" s="10">
        <v>0</v>
      </c>
      <c r="O330" s="10">
        <v>0</v>
      </c>
      <c r="P330" s="10">
        <v>0</v>
      </c>
      <c r="Q330" s="10">
        <v>4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46">
        <v>2</v>
      </c>
    </row>
    <row r="331" spans="1:48" ht="12.75">
      <c r="A331" s="34">
        <v>330</v>
      </c>
      <c r="B331" s="165">
        <v>46.12284</v>
      </c>
      <c r="C331" s="165">
        <v>-91.21538</v>
      </c>
      <c r="D331" s="10">
        <v>16</v>
      </c>
      <c r="E331" s="10">
        <v>0</v>
      </c>
      <c r="F331" s="149">
        <v>0</v>
      </c>
      <c r="G331" s="34">
        <v>0</v>
      </c>
      <c r="H331" s="96">
        <v>0</v>
      </c>
      <c r="I331" s="10">
        <v>0</v>
      </c>
      <c r="J331" s="36">
        <v>0</v>
      </c>
      <c r="K331" s="36">
        <v>0</v>
      </c>
      <c r="L331" s="36">
        <v>0</v>
      </c>
      <c r="M331" s="36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46">
        <v>0</v>
      </c>
    </row>
    <row r="332" spans="1:48" ht="12.75">
      <c r="A332" s="34">
        <v>331</v>
      </c>
      <c r="B332" s="165">
        <v>46.12284</v>
      </c>
      <c r="C332" s="165">
        <v>-91.21491</v>
      </c>
      <c r="D332" s="10">
        <v>23.5</v>
      </c>
      <c r="E332" s="10">
        <v>0</v>
      </c>
      <c r="F332" s="149">
        <v>0</v>
      </c>
      <c r="G332" s="34">
        <v>0</v>
      </c>
      <c r="H332" s="96">
        <v>0</v>
      </c>
      <c r="I332" s="10">
        <v>0</v>
      </c>
      <c r="J332" s="36">
        <v>0</v>
      </c>
      <c r="K332" s="36">
        <v>0</v>
      </c>
      <c r="L332" s="36">
        <v>0</v>
      </c>
      <c r="M332" s="36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46">
        <v>0</v>
      </c>
    </row>
    <row r="333" spans="1:48" ht="12.75">
      <c r="A333" s="34">
        <v>332</v>
      </c>
      <c r="B333" s="165">
        <v>46.12285</v>
      </c>
      <c r="C333" s="165">
        <v>-91.21444</v>
      </c>
      <c r="D333" s="10">
        <v>25</v>
      </c>
      <c r="E333" s="10">
        <v>0</v>
      </c>
      <c r="F333" s="149">
        <v>0</v>
      </c>
      <c r="G333" s="34">
        <v>0</v>
      </c>
      <c r="H333" s="96">
        <v>0</v>
      </c>
      <c r="I333" s="10">
        <v>0</v>
      </c>
      <c r="J333" s="36">
        <v>0</v>
      </c>
      <c r="K333" s="36">
        <v>0</v>
      </c>
      <c r="L333" s="36">
        <v>0</v>
      </c>
      <c r="M333" s="36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46">
        <v>0</v>
      </c>
    </row>
    <row r="334" spans="1:48" ht="12.75">
      <c r="A334" s="34">
        <v>333</v>
      </c>
      <c r="B334" s="165">
        <v>46.12285</v>
      </c>
      <c r="C334" s="165">
        <v>-91.21398</v>
      </c>
      <c r="D334" s="10">
        <v>15</v>
      </c>
      <c r="E334" s="10" t="s">
        <v>563</v>
      </c>
      <c r="F334" s="149">
        <v>0</v>
      </c>
      <c r="G334" s="34">
        <v>0</v>
      </c>
      <c r="H334" s="96">
        <v>0</v>
      </c>
      <c r="I334" s="10">
        <v>0</v>
      </c>
      <c r="J334" s="36">
        <v>0</v>
      </c>
      <c r="K334" s="36">
        <v>0</v>
      </c>
      <c r="L334" s="36">
        <v>0</v>
      </c>
      <c r="M334" s="36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46">
        <v>0</v>
      </c>
    </row>
    <row r="335" spans="1:48" ht="12.75">
      <c r="A335" s="34">
        <v>334</v>
      </c>
      <c r="B335" s="165">
        <v>46.12286</v>
      </c>
      <c r="C335" s="165">
        <v>-91.21351</v>
      </c>
      <c r="D335" s="10">
        <v>9</v>
      </c>
      <c r="E335" s="10" t="s">
        <v>564</v>
      </c>
      <c r="F335" s="149">
        <v>1</v>
      </c>
      <c r="G335" s="34">
        <v>1</v>
      </c>
      <c r="H335" s="96">
        <v>2</v>
      </c>
      <c r="I335" s="10">
        <v>2</v>
      </c>
      <c r="J335" s="36">
        <v>0</v>
      </c>
      <c r="K335" s="36">
        <v>0</v>
      </c>
      <c r="L335" s="36">
        <v>0</v>
      </c>
      <c r="M335" s="36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1</v>
      </c>
      <c r="T335" s="10">
        <v>2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46">
        <v>1</v>
      </c>
    </row>
    <row r="336" spans="1:48" ht="12.75">
      <c r="A336" s="34">
        <v>335</v>
      </c>
      <c r="B336" s="165">
        <v>46.12286</v>
      </c>
      <c r="C336" s="165">
        <v>-91.21305</v>
      </c>
      <c r="D336" s="10">
        <v>15.5</v>
      </c>
      <c r="E336" s="10">
        <v>0</v>
      </c>
      <c r="F336" s="149">
        <v>0</v>
      </c>
      <c r="G336" s="34">
        <v>0</v>
      </c>
      <c r="H336" s="96">
        <v>0</v>
      </c>
      <c r="I336" s="10">
        <v>0</v>
      </c>
      <c r="J336" s="36">
        <v>0</v>
      </c>
      <c r="K336" s="36">
        <v>0</v>
      </c>
      <c r="L336" s="36">
        <v>0</v>
      </c>
      <c r="M336" s="36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46">
        <v>0</v>
      </c>
    </row>
    <row r="337" spans="1:48" ht="12.75">
      <c r="A337" s="34">
        <v>336</v>
      </c>
      <c r="B337" s="165">
        <v>46.12286</v>
      </c>
      <c r="C337" s="165">
        <v>-91.21258</v>
      </c>
      <c r="D337" s="10">
        <v>17.5</v>
      </c>
      <c r="E337" s="10">
        <v>0</v>
      </c>
      <c r="F337" s="149">
        <v>0</v>
      </c>
      <c r="G337" s="34">
        <v>0</v>
      </c>
      <c r="H337" s="96">
        <v>0</v>
      </c>
      <c r="I337" s="10">
        <v>0</v>
      </c>
      <c r="J337" s="36">
        <v>0</v>
      </c>
      <c r="K337" s="36">
        <v>0</v>
      </c>
      <c r="L337" s="36">
        <v>0</v>
      </c>
      <c r="M337" s="36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46">
        <v>0</v>
      </c>
    </row>
    <row r="338" spans="1:48" ht="12.75">
      <c r="A338" s="34">
        <v>337</v>
      </c>
      <c r="B338" s="165">
        <v>46.12287</v>
      </c>
      <c r="C338" s="165">
        <v>-91.21211</v>
      </c>
      <c r="D338" s="10">
        <v>21</v>
      </c>
      <c r="E338" s="10">
        <v>0</v>
      </c>
      <c r="F338" s="149">
        <v>0</v>
      </c>
      <c r="G338" s="34">
        <v>0</v>
      </c>
      <c r="H338" s="96">
        <v>0</v>
      </c>
      <c r="I338" s="10">
        <v>0</v>
      </c>
      <c r="J338" s="36">
        <v>0</v>
      </c>
      <c r="K338" s="36">
        <v>0</v>
      </c>
      <c r="L338" s="36">
        <v>0</v>
      </c>
      <c r="M338" s="36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0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V338" s="146">
        <v>0</v>
      </c>
    </row>
    <row r="339" spans="1:48" ht="12.75">
      <c r="A339" s="34">
        <v>338</v>
      </c>
      <c r="B339" s="165">
        <v>46.12288</v>
      </c>
      <c r="C339" s="165">
        <v>-91.21165</v>
      </c>
      <c r="D339" s="10">
        <v>19</v>
      </c>
      <c r="E339" s="10">
        <v>0</v>
      </c>
      <c r="F339" s="149">
        <v>0</v>
      </c>
      <c r="G339" s="34">
        <v>0</v>
      </c>
      <c r="H339" s="96">
        <v>0</v>
      </c>
      <c r="I339" s="10">
        <v>0</v>
      </c>
      <c r="J339" s="36">
        <v>0</v>
      </c>
      <c r="K339" s="36">
        <v>0</v>
      </c>
      <c r="L339" s="36">
        <v>0</v>
      </c>
      <c r="M339" s="36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46">
        <v>0</v>
      </c>
    </row>
    <row r="340" spans="1:48" ht="12.75">
      <c r="A340" s="34">
        <v>339</v>
      </c>
      <c r="B340" s="165">
        <v>46.12288</v>
      </c>
      <c r="C340" s="165">
        <v>-91.21118</v>
      </c>
      <c r="D340" s="10">
        <v>17.5</v>
      </c>
      <c r="E340" s="10">
        <v>0</v>
      </c>
      <c r="F340" s="149">
        <v>0</v>
      </c>
      <c r="G340" s="34">
        <v>0</v>
      </c>
      <c r="H340" s="96">
        <v>0</v>
      </c>
      <c r="I340" s="10">
        <v>0</v>
      </c>
      <c r="J340" s="36">
        <v>0</v>
      </c>
      <c r="K340" s="36">
        <v>0</v>
      </c>
      <c r="L340" s="36">
        <v>0</v>
      </c>
      <c r="M340" s="36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46">
        <v>0</v>
      </c>
    </row>
    <row r="341" spans="1:48" ht="12.75">
      <c r="A341" s="34">
        <v>340</v>
      </c>
      <c r="B341" s="165">
        <v>46.12289</v>
      </c>
      <c r="C341" s="165">
        <v>-91.21072</v>
      </c>
      <c r="D341" s="10">
        <v>12</v>
      </c>
      <c r="E341" s="10" t="s">
        <v>563</v>
      </c>
      <c r="F341" s="149">
        <v>1</v>
      </c>
      <c r="G341" s="34">
        <v>0</v>
      </c>
      <c r="H341" s="96">
        <v>0</v>
      </c>
      <c r="I341" s="10">
        <v>0</v>
      </c>
      <c r="J341" s="36">
        <v>0</v>
      </c>
      <c r="K341" s="36">
        <v>0</v>
      </c>
      <c r="L341" s="36">
        <v>0</v>
      </c>
      <c r="M341" s="36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46">
        <v>0</v>
      </c>
    </row>
    <row r="342" spans="1:48" ht="12.75">
      <c r="A342" s="34">
        <v>341</v>
      </c>
      <c r="B342" s="165">
        <v>46.12289</v>
      </c>
      <c r="C342" s="165">
        <v>-91.21025</v>
      </c>
      <c r="D342" s="10">
        <v>6</v>
      </c>
      <c r="E342" s="10" t="s">
        <v>563</v>
      </c>
      <c r="F342" s="149">
        <v>1</v>
      </c>
      <c r="G342" s="34">
        <v>1</v>
      </c>
      <c r="H342" s="96">
        <v>3</v>
      </c>
      <c r="I342" s="10">
        <v>2</v>
      </c>
      <c r="J342" s="36">
        <v>0</v>
      </c>
      <c r="K342" s="36">
        <v>0</v>
      </c>
      <c r="L342" s="36">
        <v>1</v>
      </c>
      <c r="M342" s="36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1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2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0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46">
        <v>0</v>
      </c>
    </row>
    <row r="343" spans="1:48" ht="12.75">
      <c r="A343" s="34">
        <v>342</v>
      </c>
      <c r="B343" s="165">
        <v>46.12312</v>
      </c>
      <c r="C343" s="165">
        <v>-91.21958</v>
      </c>
      <c r="D343" s="10">
        <v>3.5</v>
      </c>
      <c r="E343" s="10" t="s">
        <v>563</v>
      </c>
      <c r="F343" s="149">
        <v>1</v>
      </c>
      <c r="G343" s="34">
        <v>1</v>
      </c>
      <c r="H343" s="96">
        <v>7</v>
      </c>
      <c r="I343" s="10">
        <v>2</v>
      </c>
      <c r="J343" s="36">
        <v>0</v>
      </c>
      <c r="K343" s="36">
        <v>2</v>
      </c>
      <c r="L343" s="36">
        <v>1</v>
      </c>
      <c r="M343" s="36">
        <v>0</v>
      </c>
      <c r="N343" s="10">
        <v>0</v>
      </c>
      <c r="O343" s="10">
        <v>0</v>
      </c>
      <c r="P343" s="10">
        <v>1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2</v>
      </c>
      <c r="AC343" s="10">
        <v>0</v>
      </c>
      <c r="AD343" s="10">
        <v>0</v>
      </c>
      <c r="AE343" s="10">
        <v>0</v>
      </c>
      <c r="AF343" s="10">
        <v>0</v>
      </c>
      <c r="AG343" s="10">
        <v>2</v>
      </c>
      <c r="AH343" s="10">
        <v>0</v>
      </c>
      <c r="AI343" s="10">
        <v>1</v>
      </c>
      <c r="AJ343" s="10">
        <v>2</v>
      </c>
      <c r="AK343" s="10">
        <v>0</v>
      </c>
      <c r="AL343" s="10">
        <v>0</v>
      </c>
      <c r="AM343" s="10">
        <v>0</v>
      </c>
      <c r="AN343" s="10">
        <v>4</v>
      </c>
      <c r="AO343" s="10">
        <v>0</v>
      </c>
      <c r="AP343" s="10">
        <v>0</v>
      </c>
      <c r="AQ343" s="10">
        <v>0</v>
      </c>
      <c r="AR343" s="10">
        <v>0</v>
      </c>
      <c r="AS343" s="10">
        <v>4</v>
      </c>
      <c r="AT343" s="10">
        <v>0</v>
      </c>
      <c r="AU343" s="10">
        <v>0</v>
      </c>
      <c r="AV343" s="146">
        <v>0</v>
      </c>
    </row>
    <row r="344" spans="1:48" ht="12.75">
      <c r="A344" s="34">
        <v>343</v>
      </c>
      <c r="B344" s="165">
        <v>46.12312</v>
      </c>
      <c r="C344" s="165">
        <v>-91.21911</v>
      </c>
      <c r="D344" s="10">
        <v>3</v>
      </c>
      <c r="E344" s="10" t="s">
        <v>563</v>
      </c>
      <c r="F344" s="149">
        <v>1</v>
      </c>
      <c r="G344" s="34">
        <v>1</v>
      </c>
      <c r="H344" s="96">
        <v>4</v>
      </c>
      <c r="I344" s="10">
        <v>3</v>
      </c>
      <c r="J344" s="36">
        <v>0</v>
      </c>
      <c r="K344" s="36">
        <v>3</v>
      </c>
      <c r="L344" s="36">
        <v>0</v>
      </c>
      <c r="M344" s="36">
        <v>1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1</v>
      </c>
      <c r="T344" s="10">
        <v>0</v>
      </c>
      <c r="U344" s="10">
        <v>0</v>
      </c>
      <c r="V344" s="10">
        <v>4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4</v>
      </c>
      <c r="AC344" s="10">
        <v>0</v>
      </c>
      <c r="AD344" s="10">
        <v>0</v>
      </c>
      <c r="AE344" s="10">
        <v>0</v>
      </c>
      <c r="AF344" s="10">
        <v>0</v>
      </c>
      <c r="AG344" s="10">
        <v>2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>
        <v>0</v>
      </c>
      <c r="AR344" s="10">
        <v>0</v>
      </c>
      <c r="AS344" s="10">
        <v>4</v>
      </c>
      <c r="AT344" s="10">
        <v>0</v>
      </c>
      <c r="AU344" s="10">
        <v>0</v>
      </c>
      <c r="AV344" s="146">
        <v>0</v>
      </c>
    </row>
    <row r="345" spans="1:48" ht="12.75">
      <c r="A345" s="34">
        <v>344</v>
      </c>
      <c r="B345" s="165">
        <v>46.12312</v>
      </c>
      <c r="C345" s="165">
        <v>-91.21864</v>
      </c>
      <c r="D345" s="10">
        <v>3</v>
      </c>
      <c r="E345" s="10" t="s">
        <v>563</v>
      </c>
      <c r="F345" s="149">
        <v>1</v>
      </c>
      <c r="G345" s="34">
        <v>1</v>
      </c>
      <c r="H345" s="96">
        <v>6</v>
      </c>
      <c r="I345" s="10">
        <v>3</v>
      </c>
      <c r="J345" s="36">
        <v>0</v>
      </c>
      <c r="K345" s="36">
        <v>0</v>
      </c>
      <c r="L345" s="36">
        <v>4</v>
      </c>
      <c r="M345" s="36">
        <v>0</v>
      </c>
      <c r="N345" s="10">
        <v>0</v>
      </c>
      <c r="O345" s="10">
        <v>0</v>
      </c>
      <c r="P345" s="10">
        <v>0</v>
      </c>
      <c r="Q345" s="10">
        <v>1</v>
      </c>
      <c r="R345" s="10">
        <v>0</v>
      </c>
      <c r="S345" s="10">
        <v>1</v>
      </c>
      <c r="T345" s="10">
        <v>0</v>
      </c>
      <c r="U345" s="10">
        <v>2</v>
      </c>
      <c r="V345" s="10">
        <v>3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1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1</v>
      </c>
      <c r="AS345" s="10">
        <v>0</v>
      </c>
      <c r="AT345" s="10">
        <v>0</v>
      </c>
      <c r="AU345" s="10">
        <v>0</v>
      </c>
      <c r="AV345" s="146">
        <v>1</v>
      </c>
    </row>
    <row r="346" spans="1:48" ht="12.75">
      <c r="A346" s="34">
        <v>345</v>
      </c>
      <c r="B346" s="165">
        <v>46.12313</v>
      </c>
      <c r="C346" s="165">
        <v>-91.21818</v>
      </c>
      <c r="D346" s="10">
        <v>10</v>
      </c>
      <c r="E346" s="10" t="s">
        <v>563</v>
      </c>
      <c r="F346" s="149">
        <v>1</v>
      </c>
      <c r="G346" s="34">
        <v>1</v>
      </c>
      <c r="H346" s="96">
        <v>2</v>
      </c>
      <c r="I346" s="10">
        <v>1</v>
      </c>
      <c r="J346" s="36">
        <v>0</v>
      </c>
      <c r="K346" s="36">
        <v>0</v>
      </c>
      <c r="L346" s="36">
        <v>0</v>
      </c>
      <c r="M346" s="36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1</v>
      </c>
      <c r="T346" s="10">
        <v>1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46">
        <v>0</v>
      </c>
    </row>
    <row r="347" spans="1:48" ht="12.75">
      <c r="A347" s="34">
        <v>346</v>
      </c>
      <c r="B347" s="165">
        <v>46.12313</v>
      </c>
      <c r="C347" s="165">
        <v>-91.21771</v>
      </c>
      <c r="D347" s="10">
        <v>17</v>
      </c>
      <c r="E347" s="10">
        <v>0</v>
      </c>
      <c r="F347" s="149">
        <v>0</v>
      </c>
      <c r="G347" s="34">
        <v>0</v>
      </c>
      <c r="H347" s="96">
        <v>0</v>
      </c>
      <c r="I347" s="10">
        <v>0</v>
      </c>
      <c r="J347" s="36">
        <v>0</v>
      </c>
      <c r="K347" s="36">
        <v>0</v>
      </c>
      <c r="L347" s="36">
        <v>0</v>
      </c>
      <c r="M347" s="36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46">
        <v>0</v>
      </c>
    </row>
    <row r="348" spans="1:48" ht="12.75">
      <c r="A348" s="34">
        <v>347</v>
      </c>
      <c r="B348" s="165">
        <v>46.12314</v>
      </c>
      <c r="C348" s="165">
        <v>-91.21725</v>
      </c>
      <c r="D348" s="10">
        <v>14</v>
      </c>
      <c r="E348" s="10" t="s">
        <v>563</v>
      </c>
      <c r="F348" s="149">
        <v>1</v>
      </c>
      <c r="G348" s="34">
        <v>0</v>
      </c>
      <c r="H348" s="96">
        <v>0</v>
      </c>
      <c r="I348" s="10">
        <v>0</v>
      </c>
      <c r="J348" s="36">
        <v>0</v>
      </c>
      <c r="K348" s="36">
        <v>0</v>
      </c>
      <c r="L348" s="36">
        <v>0</v>
      </c>
      <c r="M348" s="36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46">
        <v>0</v>
      </c>
    </row>
    <row r="349" spans="1:48" ht="12.75">
      <c r="A349" s="34">
        <v>348</v>
      </c>
      <c r="B349" s="165">
        <v>46.12315</v>
      </c>
      <c r="C349" s="165">
        <v>-91.21678</v>
      </c>
      <c r="D349" s="10">
        <v>16.5</v>
      </c>
      <c r="E349" s="10">
        <v>0</v>
      </c>
      <c r="F349" s="149">
        <v>0</v>
      </c>
      <c r="G349" s="34">
        <v>0</v>
      </c>
      <c r="H349" s="96">
        <v>0</v>
      </c>
      <c r="I349" s="10">
        <v>0</v>
      </c>
      <c r="J349" s="36">
        <v>0</v>
      </c>
      <c r="K349" s="36">
        <v>0</v>
      </c>
      <c r="L349" s="36">
        <v>0</v>
      </c>
      <c r="M349" s="36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46">
        <v>0</v>
      </c>
    </row>
    <row r="350" spans="1:48" ht="12.75">
      <c r="A350" s="34">
        <v>349</v>
      </c>
      <c r="B350" s="165">
        <v>46.12315</v>
      </c>
      <c r="C350" s="165">
        <v>-91.21631</v>
      </c>
      <c r="D350" s="10">
        <v>10</v>
      </c>
      <c r="E350" s="10" t="s">
        <v>563</v>
      </c>
      <c r="F350" s="149">
        <v>1</v>
      </c>
      <c r="G350" s="34">
        <v>0</v>
      </c>
      <c r="H350" s="96">
        <v>0</v>
      </c>
      <c r="I350" s="10">
        <v>0</v>
      </c>
      <c r="J350" s="36">
        <v>0</v>
      </c>
      <c r="K350" s="36">
        <v>0</v>
      </c>
      <c r="L350" s="36">
        <v>0</v>
      </c>
      <c r="M350" s="36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46">
        <v>0</v>
      </c>
    </row>
    <row r="351" spans="1:48" ht="12.75">
      <c r="A351" s="34">
        <v>350</v>
      </c>
      <c r="B351" s="165">
        <v>46.12315</v>
      </c>
      <c r="C351" s="165">
        <v>-91.21585</v>
      </c>
      <c r="D351" s="10">
        <v>5</v>
      </c>
      <c r="E351" s="10" t="s">
        <v>563</v>
      </c>
      <c r="F351" s="149">
        <v>1</v>
      </c>
      <c r="G351" s="34">
        <v>1</v>
      </c>
      <c r="H351" s="96">
        <v>3</v>
      </c>
      <c r="I351" s="10">
        <v>3</v>
      </c>
      <c r="J351" s="36">
        <v>0</v>
      </c>
      <c r="K351" s="36">
        <v>0</v>
      </c>
      <c r="L351" s="36">
        <v>1</v>
      </c>
      <c r="M351" s="36">
        <v>0</v>
      </c>
      <c r="N351" s="10">
        <v>0</v>
      </c>
      <c r="O351" s="10">
        <v>0</v>
      </c>
      <c r="P351" s="10">
        <v>0</v>
      </c>
      <c r="Q351" s="10">
        <v>4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3</v>
      </c>
      <c r="AH351" s="10">
        <v>0</v>
      </c>
      <c r="AI351" s="10">
        <v>0</v>
      </c>
      <c r="AJ351" s="10">
        <v>1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46">
        <v>1</v>
      </c>
    </row>
    <row r="352" spans="1:48" ht="12.75">
      <c r="A352" s="34">
        <v>351</v>
      </c>
      <c r="B352" s="165">
        <v>46.12316</v>
      </c>
      <c r="C352" s="165">
        <v>-91.21538</v>
      </c>
      <c r="D352" s="10">
        <v>10</v>
      </c>
      <c r="E352" s="10" t="s">
        <v>563</v>
      </c>
      <c r="F352" s="149">
        <v>1</v>
      </c>
      <c r="G352" s="34">
        <v>1</v>
      </c>
      <c r="H352" s="96">
        <v>2</v>
      </c>
      <c r="I352" s="10">
        <v>1</v>
      </c>
      <c r="J352" s="36">
        <v>0</v>
      </c>
      <c r="K352" s="36">
        <v>0</v>
      </c>
      <c r="L352" s="36">
        <v>1</v>
      </c>
      <c r="M352" s="36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1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0</v>
      </c>
      <c r="AO352" s="10">
        <v>0</v>
      </c>
      <c r="AP352" s="10">
        <v>0</v>
      </c>
      <c r="AQ352" s="10">
        <v>0</v>
      </c>
      <c r="AR352" s="10">
        <v>0</v>
      </c>
      <c r="AS352" s="10">
        <v>0</v>
      </c>
      <c r="AT352" s="10">
        <v>0</v>
      </c>
      <c r="AU352" s="10">
        <v>0</v>
      </c>
      <c r="AV352" s="146">
        <v>1</v>
      </c>
    </row>
    <row r="353" spans="1:48" ht="12.75">
      <c r="A353" s="34">
        <v>352</v>
      </c>
      <c r="B353" s="165">
        <v>46.12316</v>
      </c>
      <c r="C353" s="165">
        <v>-91.21492</v>
      </c>
      <c r="D353" s="10">
        <v>15.5</v>
      </c>
      <c r="E353" s="10">
        <v>0</v>
      </c>
      <c r="F353" s="149">
        <v>0</v>
      </c>
      <c r="G353" s="34">
        <v>0</v>
      </c>
      <c r="H353" s="96">
        <v>0</v>
      </c>
      <c r="I353" s="10">
        <v>0</v>
      </c>
      <c r="J353" s="36">
        <v>0</v>
      </c>
      <c r="K353" s="36">
        <v>0</v>
      </c>
      <c r="L353" s="36">
        <v>0</v>
      </c>
      <c r="M353" s="36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46">
        <v>0</v>
      </c>
    </row>
    <row r="354" spans="1:48" ht="12.75">
      <c r="A354" s="34">
        <v>353</v>
      </c>
      <c r="B354" s="165">
        <v>46.12317</v>
      </c>
      <c r="C354" s="165">
        <v>-91.21445</v>
      </c>
      <c r="D354" s="10">
        <v>13</v>
      </c>
      <c r="E354" s="10" t="s">
        <v>563</v>
      </c>
      <c r="F354" s="149">
        <v>1</v>
      </c>
      <c r="G354" s="34">
        <v>0</v>
      </c>
      <c r="H354" s="96">
        <v>0</v>
      </c>
      <c r="I354" s="10">
        <v>0</v>
      </c>
      <c r="J354" s="36">
        <v>0</v>
      </c>
      <c r="K354" s="36">
        <v>0</v>
      </c>
      <c r="L354" s="36">
        <v>0</v>
      </c>
      <c r="M354" s="36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  <c r="AU354" s="10">
        <v>0</v>
      </c>
      <c r="AV354" s="146">
        <v>0</v>
      </c>
    </row>
    <row r="355" spans="1:48" ht="12.75">
      <c r="A355" s="34">
        <v>354</v>
      </c>
      <c r="B355" s="165">
        <v>46.12317</v>
      </c>
      <c r="C355" s="165">
        <v>-91.21398</v>
      </c>
      <c r="D355" s="10">
        <v>13</v>
      </c>
      <c r="E355" s="10" t="s">
        <v>563</v>
      </c>
      <c r="F355" s="149">
        <v>1</v>
      </c>
      <c r="G355" s="34">
        <v>0</v>
      </c>
      <c r="H355" s="96">
        <v>0</v>
      </c>
      <c r="I355" s="10">
        <v>0</v>
      </c>
      <c r="J355" s="36">
        <v>0</v>
      </c>
      <c r="K355" s="36">
        <v>0</v>
      </c>
      <c r="L355" s="36">
        <v>0</v>
      </c>
      <c r="M355" s="36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0</v>
      </c>
      <c r="AV355" s="146">
        <v>0</v>
      </c>
    </row>
    <row r="356" spans="1:48" ht="12.75">
      <c r="A356" s="34">
        <v>355</v>
      </c>
      <c r="B356" s="165">
        <v>46.12318</v>
      </c>
      <c r="C356" s="165">
        <v>-91.21352</v>
      </c>
      <c r="D356" s="10">
        <v>6.5</v>
      </c>
      <c r="E356" s="10" t="s">
        <v>563</v>
      </c>
      <c r="F356" s="149">
        <v>1</v>
      </c>
      <c r="G356" s="34">
        <v>1</v>
      </c>
      <c r="H356" s="96">
        <v>1</v>
      </c>
      <c r="I356" s="10">
        <v>2</v>
      </c>
      <c r="J356" s="36">
        <v>0</v>
      </c>
      <c r="K356" s="36">
        <v>0</v>
      </c>
      <c r="L356" s="36">
        <v>2</v>
      </c>
      <c r="M356" s="36">
        <v>0</v>
      </c>
      <c r="N356" s="10">
        <v>0</v>
      </c>
      <c r="O356" s="10">
        <v>0</v>
      </c>
      <c r="P356" s="10">
        <v>0</v>
      </c>
      <c r="Q356" s="10">
        <v>4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4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46">
        <v>0</v>
      </c>
    </row>
    <row r="357" spans="1:48" ht="12.75">
      <c r="A357" s="34">
        <v>356</v>
      </c>
      <c r="B357" s="165">
        <v>46.12318</v>
      </c>
      <c r="C357" s="165">
        <v>-91.21305</v>
      </c>
      <c r="D357" s="10">
        <v>12.5</v>
      </c>
      <c r="E357" s="10" t="s">
        <v>563</v>
      </c>
      <c r="F357" s="149">
        <v>1</v>
      </c>
      <c r="G357" s="34">
        <v>0</v>
      </c>
      <c r="H357" s="96">
        <v>0</v>
      </c>
      <c r="I357" s="10">
        <v>0</v>
      </c>
      <c r="J357" s="36">
        <v>0</v>
      </c>
      <c r="K357" s="36">
        <v>0</v>
      </c>
      <c r="L357" s="36">
        <v>0</v>
      </c>
      <c r="M357" s="36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46">
        <v>0</v>
      </c>
    </row>
    <row r="358" spans="1:48" ht="12.75">
      <c r="A358" s="34">
        <v>357</v>
      </c>
      <c r="B358" s="165">
        <v>46.12319</v>
      </c>
      <c r="C358" s="165">
        <v>-91.21259</v>
      </c>
      <c r="D358" s="10">
        <v>18</v>
      </c>
      <c r="E358" s="10">
        <v>0</v>
      </c>
      <c r="F358" s="149">
        <v>0</v>
      </c>
      <c r="G358" s="34">
        <v>0</v>
      </c>
      <c r="H358" s="96">
        <v>0</v>
      </c>
      <c r="I358" s="10">
        <v>0</v>
      </c>
      <c r="J358" s="36">
        <v>0</v>
      </c>
      <c r="K358" s="36">
        <v>0</v>
      </c>
      <c r="L358" s="36">
        <v>0</v>
      </c>
      <c r="M358" s="36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46">
        <v>0</v>
      </c>
    </row>
    <row r="359" spans="1:48" ht="12.75">
      <c r="A359" s="34">
        <v>358</v>
      </c>
      <c r="B359" s="165">
        <v>46.12319</v>
      </c>
      <c r="C359" s="165">
        <v>-91.21212</v>
      </c>
      <c r="D359" s="10">
        <v>17.5</v>
      </c>
      <c r="E359" s="10">
        <v>0</v>
      </c>
      <c r="F359" s="149">
        <v>0</v>
      </c>
      <c r="G359" s="34">
        <v>0</v>
      </c>
      <c r="H359" s="96">
        <v>0</v>
      </c>
      <c r="I359" s="10">
        <v>0</v>
      </c>
      <c r="J359" s="36">
        <v>0</v>
      </c>
      <c r="K359" s="36">
        <v>0</v>
      </c>
      <c r="L359" s="36">
        <v>0</v>
      </c>
      <c r="M359" s="36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46">
        <v>0</v>
      </c>
    </row>
    <row r="360" spans="1:48" ht="12.75">
      <c r="A360" s="34">
        <v>359</v>
      </c>
      <c r="B360" s="165">
        <v>46.1232</v>
      </c>
      <c r="C360" s="165">
        <v>-91.21165</v>
      </c>
      <c r="D360" s="10">
        <v>11.5</v>
      </c>
      <c r="E360" s="10" t="s">
        <v>563</v>
      </c>
      <c r="F360" s="149">
        <v>1</v>
      </c>
      <c r="G360" s="34">
        <v>0</v>
      </c>
      <c r="H360" s="96">
        <v>0</v>
      </c>
      <c r="I360" s="10">
        <v>0</v>
      </c>
      <c r="J360" s="36">
        <v>0</v>
      </c>
      <c r="K360" s="36">
        <v>0</v>
      </c>
      <c r="L360" s="36">
        <v>0</v>
      </c>
      <c r="M360" s="36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46">
        <v>0</v>
      </c>
    </row>
    <row r="361" spans="1:48" ht="12.75">
      <c r="A361" s="34">
        <v>360</v>
      </c>
      <c r="B361" s="165">
        <v>46.1232</v>
      </c>
      <c r="C361" s="165">
        <v>-91.21119</v>
      </c>
      <c r="D361" s="10">
        <v>8</v>
      </c>
      <c r="E361" s="10" t="s">
        <v>563</v>
      </c>
      <c r="F361" s="149">
        <v>1</v>
      </c>
      <c r="G361" s="34">
        <v>1</v>
      </c>
      <c r="H361" s="96">
        <v>1</v>
      </c>
      <c r="I361" s="10">
        <v>1</v>
      </c>
      <c r="J361" s="36">
        <v>0</v>
      </c>
      <c r="K361" s="36">
        <v>0</v>
      </c>
      <c r="L361" s="36">
        <v>0</v>
      </c>
      <c r="M361" s="36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1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46">
        <v>0</v>
      </c>
    </row>
    <row r="362" spans="1:48" ht="12.75">
      <c r="A362" s="34">
        <v>361</v>
      </c>
      <c r="B362" s="165">
        <v>46.12344</v>
      </c>
      <c r="C362" s="165">
        <v>-91.21958</v>
      </c>
      <c r="D362" s="10">
        <v>2.5</v>
      </c>
      <c r="E362" s="10" t="s">
        <v>563</v>
      </c>
      <c r="F362" s="149">
        <v>1</v>
      </c>
      <c r="G362" s="34">
        <v>1</v>
      </c>
      <c r="H362" s="96">
        <v>8</v>
      </c>
      <c r="I362" s="10">
        <v>2</v>
      </c>
      <c r="J362" s="36">
        <v>0</v>
      </c>
      <c r="K362" s="36">
        <v>1</v>
      </c>
      <c r="L362" s="36">
        <v>0</v>
      </c>
      <c r="M362" s="36">
        <v>2</v>
      </c>
      <c r="N362" s="10">
        <v>0</v>
      </c>
      <c r="O362" s="10">
        <v>0</v>
      </c>
      <c r="P362" s="10">
        <v>0</v>
      </c>
      <c r="Q362" s="10">
        <v>0</v>
      </c>
      <c r="R362" s="10">
        <v>4</v>
      </c>
      <c r="S362" s="10">
        <v>0</v>
      </c>
      <c r="T362" s="10">
        <v>0</v>
      </c>
      <c r="U362" s="10">
        <v>1</v>
      </c>
      <c r="V362" s="10">
        <v>1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1</v>
      </c>
      <c r="AK362" s="10">
        <v>0</v>
      </c>
      <c r="AL362" s="10">
        <v>0</v>
      </c>
      <c r="AM362" s="10">
        <v>0</v>
      </c>
      <c r="AN362" s="10">
        <v>0</v>
      </c>
      <c r="AO362" s="10">
        <v>0</v>
      </c>
      <c r="AP362" s="10">
        <v>1</v>
      </c>
      <c r="AQ362" s="10">
        <v>0</v>
      </c>
      <c r="AR362" s="10">
        <v>0</v>
      </c>
      <c r="AS362" s="10">
        <v>1</v>
      </c>
      <c r="AT362" s="10">
        <v>0</v>
      </c>
      <c r="AU362" s="10">
        <v>1</v>
      </c>
      <c r="AV362" s="146">
        <v>1</v>
      </c>
    </row>
    <row r="363" spans="1:48" ht="12.75">
      <c r="A363" s="34">
        <v>362</v>
      </c>
      <c r="B363" s="165">
        <v>46.12344</v>
      </c>
      <c r="C363" s="165">
        <v>-91.21912</v>
      </c>
      <c r="D363" s="10">
        <v>2.5</v>
      </c>
      <c r="E363" s="10" t="s">
        <v>563</v>
      </c>
      <c r="F363" s="149">
        <v>1</v>
      </c>
      <c r="G363" s="34">
        <v>1</v>
      </c>
      <c r="H363" s="96">
        <v>4</v>
      </c>
      <c r="I363" s="10">
        <v>3</v>
      </c>
      <c r="J363" s="36">
        <v>0</v>
      </c>
      <c r="K363" s="36">
        <v>0</v>
      </c>
      <c r="L363" s="36">
        <v>0</v>
      </c>
      <c r="M363" s="36">
        <v>0</v>
      </c>
      <c r="N363" s="10">
        <v>0</v>
      </c>
      <c r="O363" s="10">
        <v>0</v>
      </c>
      <c r="P363" s="10">
        <v>1</v>
      </c>
      <c r="Q363" s="10">
        <v>0</v>
      </c>
      <c r="R363" s="10">
        <v>0</v>
      </c>
      <c r="S363" s="10">
        <v>1</v>
      </c>
      <c r="T363" s="10">
        <v>0</v>
      </c>
      <c r="U363" s="10">
        <v>0</v>
      </c>
      <c r="V363" s="10">
        <v>3</v>
      </c>
      <c r="W363" s="10">
        <v>0</v>
      </c>
      <c r="X363" s="10">
        <v>0</v>
      </c>
      <c r="Y363" s="10">
        <v>0</v>
      </c>
      <c r="Z363" s="10">
        <v>1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4</v>
      </c>
      <c r="AH363" s="10">
        <v>0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0">
        <v>0</v>
      </c>
      <c r="AS363" s="10">
        <v>4</v>
      </c>
      <c r="AT363" s="10">
        <v>0</v>
      </c>
      <c r="AU363" s="10">
        <v>0</v>
      </c>
      <c r="AV363" s="146">
        <v>0</v>
      </c>
    </row>
    <row r="364" spans="1:48" ht="12.75">
      <c r="A364" s="34">
        <v>363</v>
      </c>
      <c r="B364" s="165">
        <v>46.12345</v>
      </c>
      <c r="C364" s="165">
        <v>-91.21865</v>
      </c>
      <c r="D364" s="10">
        <v>3.5</v>
      </c>
      <c r="E364" s="10" t="s">
        <v>563</v>
      </c>
      <c r="F364" s="149">
        <v>1</v>
      </c>
      <c r="G364" s="34">
        <v>1</v>
      </c>
      <c r="H364" s="96">
        <v>4</v>
      </c>
      <c r="I364" s="10">
        <v>2</v>
      </c>
      <c r="J364" s="36">
        <v>0</v>
      </c>
      <c r="K364" s="36">
        <v>0</v>
      </c>
      <c r="L364" s="36">
        <v>0</v>
      </c>
      <c r="M364" s="36">
        <v>2</v>
      </c>
      <c r="N364" s="10">
        <v>0</v>
      </c>
      <c r="O364" s="10">
        <v>0</v>
      </c>
      <c r="P364" s="10">
        <v>0</v>
      </c>
      <c r="Q364" s="10">
        <v>1</v>
      </c>
      <c r="R364" s="10">
        <v>0</v>
      </c>
      <c r="S364" s="10">
        <v>0</v>
      </c>
      <c r="T364" s="10">
        <v>0</v>
      </c>
      <c r="U364" s="10">
        <v>2</v>
      </c>
      <c r="V364" s="10">
        <v>1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4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46">
        <v>0</v>
      </c>
    </row>
    <row r="365" spans="1:48" ht="12.75">
      <c r="A365" s="34">
        <v>364</v>
      </c>
      <c r="B365" s="165">
        <v>46.12345</v>
      </c>
      <c r="C365" s="165">
        <v>-91.21818</v>
      </c>
      <c r="D365" s="10">
        <v>10</v>
      </c>
      <c r="E365" s="10" t="s">
        <v>563</v>
      </c>
      <c r="F365" s="149">
        <v>1</v>
      </c>
      <c r="G365" s="34">
        <v>1</v>
      </c>
      <c r="H365" s="96">
        <v>1</v>
      </c>
      <c r="I365" s="10">
        <v>1</v>
      </c>
      <c r="J365" s="36">
        <v>0</v>
      </c>
      <c r="K365" s="36">
        <v>0</v>
      </c>
      <c r="L365" s="36">
        <v>0</v>
      </c>
      <c r="M365" s="36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1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46">
        <v>0</v>
      </c>
    </row>
    <row r="366" spans="1:48" ht="12.75">
      <c r="A366" s="34">
        <v>365</v>
      </c>
      <c r="B366" s="165">
        <v>46.12346</v>
      </c>
      <c r="C366" s="165">
        <v>-91.21772</v>
      </c>
      <c r="D366" s="10">
        <v>12.5</v>
      </c>
      <c r="E366" s="10" t="s">
        <v>563</v>
      </c>
      <c r="F366" s="149">
        <v>1</v>
      </c>
      <c r="G366" s="34">
        <v>1</v>
      </c>
      <c r="H366" s="96">
        <v>1</v>
      </c>
      <c r="I366" s="10">
        <v>1</v>
      </c>
      <c r="J366" s="36">
        <v>0</v>
      </c>
      <c r="K366" s="36">
        <v>0</v>
      </c>
      <c r="L366" s="36">
        <v>0</v>
      </c>
      <c r="M366" s="36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1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46">
        <v>0</v>
      </c>
    </row>
    <row r="367" spans="1:48" ht="12.75">
      <c r="A367" s="34">
        <v>366</v>
      </c>
      <c r="B367" s="165">
        <v>46.12346</v>
      </c>
      <c r="C367" s="165">
        <v>-91.21725</v>
      </c>
      <c r="D367" s="10">
        <v>14</v>
      </c>
      <c r="E367" s="10" t="s">
        <v>563</v>
      </c>
      <c r="F367" s="149">
        <v>1</v>
      </c>
      <c r="G367" s="34">
        <v>0</v>
      </c>
      <c r="H367" s="96">
        <v>0</v>
      </c>
      <c r="I367" s="10">
        <v>0</v>
      </c>
      <c r="J367" s="36">
        <v>0</v>
      </c>
      <c r="K367" s="36">
        <v>0</v>
      </c>
      <c r="L367" s="36">
        <v>0</v>
      </c>
      <c r="M367" s="36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46">
        <v>0</v>
      </c>
    </row>
    <row r="368" spans="1:48" ht="12.75">
      <c r="A368" s="34">
        <v>367</v>
      </c>
      <c r="B368" s="165">
        <v>46.12347</v>
      </c>
      <c r="C368" s="165">
        <v>-91.21679</v>
      </c>
      <c r="D368" s="10">
        <v>12.5</v>
      </c>
      <c r="E368" s="10" t="s">
        <v>563</v>
      </c>
      <c r="F368" s="149">
        <v>1</v>
      </c>
      <c r="G368" s="34">
        <v>1</v>
      </c>
      <c r="H368" s="96">
        <v>1</v>
      </c>
      <c r="I368" s="10">
        <v>1</v>
      </c>
      <c r="J368" s="36">
        <v>0</v>
      </c>
      <c r="K368" s="36">
        <v>0</v>
      </c>
      <c r="L368" s="36">
        <v>0</v>
      </c>
      <c r="M368" s="36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1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46">
        <v>0</v>
      </c>
    </row>
    <row r="369" spans="1:48" ht="12.75">
      <c r="A369" s="34">
        <v>368</v>
      </c>
      <c r="B369" s="165">
        <v>46.12347</v>
      </c>
      <c r="C369" s="165">
        <v>-91.21632</v>
      </c>
      <c r="D369" s="10">
        <v>10</v>
      </c>
      <c r="E369" s="10" t="s">
        <v>563</v>
      </c>
      <c r="F369" s="149">
        <v>1</v>
      </c>
      <c r="G369" s="34">
        <v>0</v>
      </c>
      <c r="H369" s="96">
        <v>0</v>
      </c>
      <c r="I369" s="10">
        <v>0</v>
      </c>
      <c r="J369" s="36">
        <v>0</v>
      </c>
      <c r="K369" s="36">
        <v>0</v>
      </c>
      <c r="L369" s="36">
        <v>0</v>
      </c>
      <c r="M369" s="36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46">
        <v>0</v>
      </c>
    </row>
    <row r="370" spans="1:48" ht="12.75">
      <c r="A370" s="34">
        <v>369</v>
      </c>
      <c r="B370" s="165">
        <v>46.12348</v>
      </c>
      <c r="C370" s="165">
        <v>-91.21585</v>
      </c>
      <c r="D370" s="10">
        <v>4</v>
      </c>
      <c r="E370" s="10" t="s">
        <v>563</v>
      </c>
      <c r="F370" s="149">
        <v>1</v>
      </c>
      <c r="G370" s="34">
        <v>1</v>
      </c>
      <c r="H370" s="96">
        <v>7</v>
      </c>
      <c r="I370" s="10">
        <v>3</v>
      </c>
      <c r="J370" s="36">
        <v>0</v>
      </c>
      <c r="K370" s="36">
        <v>0</v>
      </c>
      <c r="L370" s="36">
        <v>0</v>
      </c>
      <c r="M370" s="36">
        <v>0</v>
      </c>
      <c r="N370" s="10">
        <v>0</v>
      </c>
      <c r="O370" s="10">
        <v>1</v>
      </c>
      <c r="P370" s="10">
        <v>1</v>
      </c>
      <c r="Q370" s="10">
        <v>2</v>
      </c>
      <c r="R370" s="10">
        <v>0</v>
      </c>
      <c r="S370" s="10">
        <v>1</v>
      </c>
      <c r="T370" s="10">
        <v>0</v>
      </c>
      <c r="U370" s="10">
        <v>3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4</v>
      </c>
      <c r="AB370" s="10">
        <v>1</v>
      </c>
      <c r="AC370" s="10">
        <v>0</v>
      </c>
      <c r="AD370" s="10">
        <v>0</v>
      </c>
      <c r="AE370" s="10">
        <v>0</v>
      </c>
      <c r="AF370" s="10">
        <v>0</v>
      </c>
      <c r="AG370" s="10">
        <v>1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46">
        <v>0</v>
      </c>
    </row>
    <row r="371" spans="1:48" ht="12.75">
      <c r="A371" s="34">
        <v>370</v>
      </c>
      <c r="B371" s="165">
        <v>46.12348</v>
      </c>
      <c r="C371" s="165">
        <v>-91.21539</v>
      </c>
      <c r="D371" s="10">
        <v>4</v>
      </c>
      <c r="E371" s="10" t="s">
        <v>563</v>
      </c>
      <c r="F371" s="149">
        <v>1</v>
      </c>
      <c r="G371" s="34">
        <v>1</v>
      </c>
      <c r="H371" s="96">
        <v>5</v>
      </c>
      <c r="I371" s="10">
        <v>2</v>
      </c>
      <c r="J371" s="36">
        <v>0</v>
      </c>
      <c r="K371" s="36">
        <v>0</v>
      </c>
      <c r="L371" s="36">
        <v>0</v>
      </c>
      <c r="M371" s="36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1</v>
      </c>
      <c r="T371" s="10">
        <v>1</v>
      </c>
      <c r="U371" s="10">
        <v>2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1</v>
      </c>
      <c r="AH371" s="10">
        <v>0</v>
      </c>
      <c r="AI371" s="10">
        <v>0</v>
      </c>
      <c r="AJ371" s="10">
        <v>2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46">
        <v>0</v>
      </c>
    </row>
    <row r="372" spans="1:48" ht="12.75">
      <c r="A372" s="34">
        <v>371</v>
      </c>
      <c r="B372" s="165">
        <v>46.12349</v>
      </c>
      <c r="C372" s="165">
        <v>-91.21492</v>
      </c>
      <c r="D372" s="10">
        <v>6</v>
      </c>
      <c r="E372" s="10" t="s">
        <v>563</v>
      </c>
      <c r="F372" s="149">
        <v>1</v>
      </c>
      <c r="G372" s="34">
        <v>1</v>
      </c>
      <c r="H372" s="96">
        <v>4</v>
      </c>
      <c r="I372" s="10">
        <v>2</v>
      </c>
      <c r="J372" s="36">
        <v>0</v>
      </c>
      <c r="K372" s="36">
        <v>0</v>
      </c>
      <c r="L372" s="36">
        <v>0</v>
      </c>
      <c r="M372" s="36">
        <v>1</v>
      </c>
      <c r="N372" s="10">
        <v>0</v>
      </c>
      <c r="O372" s="10">
        <v>0</v>
      </c>
      <c r="P372" s="10">
        <v>0</v>
      </c>
      <c r="Q372" s="10">
        <v>1</v>
      </c>
      <c r="R372" s="10">
        <v>0</v>
      </c>
      <c r="S372" s="10">
        <v>0</v>
      </c>
      <c r="T372" s="10">
        <v>2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1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46">
        <v>1</v>
      </c>
    </row>
    <row r="373" spans="1:48" ht="12.75">
      <c r="A373" s="34">
        <v>372</v>
      </c>
      <c r="B373" s="165">
        <v>46.12349</v>
      </c>
      <c r="C373" s="165">
        <v>-91.21446</v>
      </c>
      <c r="D373" s="10">
        <v>10.5</v>
      </c>
      <c r="E373" s="10" t="s">
        <v>563</v>
      </c>
      <c r="F373" s="149">
        <v>1</v>
      </c>
      <c r="G373" s="34">
        <v>0</v>
      </c>
      <c r="H373" s="96">
        <v>0</v>
      </c>
      <c r="I373" s="10">
        <v>0</v>
      </c>
      <c r="J373" s="36">
        <v>0</v>
      </c>
      <c r="K373" s="36">
        <v>0</v>
      </c>
      <c r="L373" s="36">
        <v>0</v>
      </c>
      <c r="M373" s="36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46">
        <v>0</v>
      </c>
    </row>
    <row r="374" spans="1:48" ht="12.75">
      <c r="A374" s="34">
        <v>373</v>
      </c>
      <c r="B374" s="165">
        <v>46.1235</v>
      </c>
      <c r="C374" s="165">
        <v>-91.21399</v>
      </c>
      <c r="D374" s="10">
        <v>11</v>
      </c>
      <c r="E374" s="10" t="s">
        <v>563</v>
      </c>
      <c r="F374" s="149">
        <v>1</v>
      </c>
      <c r="G374" s="34">
        <v>1</v>
      </c>
      <c r="H374" s="96">
        <v>2</v>
      </c>
      <c r="I374" s="10">
        <v>1</v>
      </c>
      <c r="J374" s="36">
        <v>0</v>
      </c>
      <c r="K374" s="36">
        <v>0</v>
      </c>
      <c r="L374" s="36">
        <v>1</v>
      </c>
      <c r="M374" s="36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1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46">
        <v>0</v>
      </c>
    </row>
    <row r="375" spans="1:48" ht="12.75">
      <c r="A375" s="34">
        <v>374</v>
      </c>
      <c r="B375" s="165">
        <v>46.1235</v>
      </c>
      <c r="C375" s="165">
        <v>-91.21353</v>
      </c>
      <c r="D375" s="10">
        <v>10</v>
      </c>
      <c r="E375" s="10" t="s">
        <v>563</v>
      </c>
      <c r="F375" s="149">
        <v>1</v>
      </c>
      <c r="G375" s="34">
        <v>0</v>
      </c>
      <c r="H375" s="96">
        <v>0</v>
      </c>
      <c r="I375" s="10">
        <v>0</v>
      </c>
      <c r="J375" s="36">
        <v>0</v>
      </c>
      <c r="K375" s="36">
        <v>0</v>
      </c>
      <c r="L375" s="36">
        <v>0</v>
      </c>
      <c r="M375" s="36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46">
        <v>0</v>
      </c>
    </row>
    <row r="376" spans="1:48" ht="12.75">
      <c r="A376" s="34">
        <v>375</v>
      </c>
      <c r="B376" s="165">
        <v>46.12351</v>
      </c>
      <c r="C376" s="165">
        <v>-91.21306</v>
      </c>
      <c r="D376" s="10">
        <v>12</v>
      </c>
      <c r="E376" s="10" t="s">
        <v>563</v>
      </c>
      <c r="F376" s="149">
        <v>1</v>
      </c>
      <c r="G376" s="34">
        <v>0</v>
      </c>
      <c r="H376" s="96">
        <v>0</v>
      </c>
      <c r="I376" s="10">
        <v>0</v>
      </c>
      <c r="J376" s="36">
        <v>0</v>
      </c>
      <c r="K376" s="36">
        <v>0</v>
      </c>
      <c r="L376" s="36">
        <v>0</v>
      </c>
      <c r="M376" s="36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46">
        <v>0</v>
      </c>
    </row>
    <row r="377" spans="1:48" ht="12.75">
      <c r="A377" s="34">
        <v>376</v>
      </c>
      <c r="B377" s="165">
        <v>46.12351</v>
      </c>
      <c r="C377" s="165">
        <v>-91.21259</v>
      </c>
      <c r="D377" s="10">
        <v>8.5</v>
      </c>
      <c r="E377" s="10" t="s">
        <v>563</v>
      </c>
      <c r="F377" s="149">
        <v>1</v>
      </c>
      <c r="G377" s="34">
        <v>1</v>
      </c>
      <c r="H377" s="96">
        <v>2</v>
      </c>
      <c r="I377" s="10">
        <v>1</v>
      </c>
      <c r="J377" s="36">
        <v>0</v>
      </c>
      <c r="K377" s="36">
        <v>0</v>
      </c>
      <c r="L377" s="36">
        <v>1</v>
      </c>
      <c r="M377" s="36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1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4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46">
        <v>1</v>
      </c>
    </row>
    <row r="378" spans="1:48" ht="12.75">
      <c r="A378" s="34">
        <v>377</v>
      </c>
      <c r="B378" s="165">
        <v>46.12352</v>
      </c>
      <c r="C378" s="165">
        <v>-91.21213</v>
      </c>
      <c r="D378" s="10">
        <v>3.5</v>
      </c>
      <c r="E378" s="10" t="s">
        <v>564</v>
      </c>
      <c r="F378" s="149">
        <v>1</v>
      </c>
      <c r="G378" s="34">
        <v>1</v>
      </c>
      <c r="H378" s="96">
        <v>3</v>
      </c>
      <c r="I378" s="10">
        <v>2</v>
      </c>
      <c r="J378" s="36">
        <v>0</v>
      </c>
      <c r="K378" s="36">
        <v>0</v>
      </c>
      <c r="L378" s="36">
        <v>0</v>
      </c>
      <c r="M378" s="36">
        <v>2</v>
      </c>
      <c r="N378" s="10">
        <v>1</v>
      </c>
      <c r="O378" s="10">
        <v>0</v>
      </c>
      <c r="P378" s="10">
        <v>0</v>
      </c>
      <c r="Q378" s="10">
        <v>0</v>
      </c>
      <c r="R378" s="10">
        <v>0</v>
      </c>
      <c r="S378" s="10">
        <v>1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4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46">
        <v>0</v>
      </c>
    </row>
    <row r="379" spans="1:48" ht="12.75">
      <c r="A379" s="34">
        <v>378</v>
      </c>
      <c r="B379" s="165">
        <v>46.12377</v>
      </c>
      <c r="C379" s="165">
        <v>-91.21912</v>
      </c>
      <c r="D379" s="10">
        <v>3.5</v>
      </c>
      <c r="E379" s="10" t="s">
        <v>563</v>
      </c>
      <c r="F379" s="149">
        <v>1</v>
      </c>
      <c r="G379" s="34">
        <v>1</v>
      </c>
      <c r="H379" s="96">
        <v>3</v>
      </c>
      <c r="I379" s="10">
        <v>3</v>
      </c>
      <c r="J379" s="36">
        <v>0</v>
      </c>
      <c r="K379" s="36">
        <v>0</v>
      </c>
      <c r="L379" s="36">
        <v>0</v>
      </c>
      <c r="M379" s="36">
        <v>3</v>
      </c>
      <c r="N379" s="10">
        <v>0</v>
      </c>
      <c r="O379" s="10">
        <v>0</v>
      </c>
      <c r="P379" s="10">
        <v>0</v>
      </c>
      <c r="Q379" s="10">
        <v>1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1</v>
      </c>
      <c r="AK379" s="10">
        <v>0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46">
        <v>1</v>
      </c>
    </row>
    <row r="380" spans="1:48" ht="12.75">
      <c r="A380" s="34">
        <v>379</v>
      </c>
      <c r="B380" s="165">
        <v>46.12377</v>
      </c>
      <c r="C380" s="165">
        <v>-91.21866</v>
      </c>
      <c r="D380" s="10">
        <v>5</v>
      </c>
      <c r="E380" s="10" t="s">
        <v>563</v>
      </c>
      <c r="F380" s="149">
        <v>1</v>
      </c>
      <c r="G380" s="34">
        <v>1</v>
      </c>
      <c r="H380" s="96">
        <v>7</v>
      </c>
      <c r="I380" s="10">
        <v>2</v>
      </c>
      <c r="J380" s="36">
        <v>0</v>
      </c>
      <c r="K380" s="36">
        <v>0</v>
      </c>
      <c r="L380" s="36">
        <v>1</v>
      </c>
      <c r="M380" s="36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1</v>
      </c>
      <c r="T380" s="10">
        <v>0</v>
      </c>
      <c r="U380" s="10">
        <v>0</v>
      </c>
      <c r="V380" s="10">
        <v>1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1</v>
      </c>
      <c r="AC380" s="10">
        <v>0</v>
      </c>
      <c r="AD380" s="10">
        <v>0</v>
      </c>
      <c r="AE380" s="10">
        <v>1</v>
      </c>
      <c r="AF380" s="10">
        <v>0</v>
      </c>
      <c r="AG380" s="10">
        <v>0</v>
      </c>
      <c r="AH380" s="10">
        <v>0</v>
      </c>
      <c r="AI380" s="10">
        <v>1</v>
      </c>
      <c r="AJ380" s="10">
        <v>2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46">
        <v>0</v>
      </c>
    </row>
    <row r="381" spans="1:48" ht="12.75">
      <c r="A381" s="34">
        <v>380</v>
      </c>
      <c r="B381" s="165">
        <v>46.12378</v>
      </c>
      <c r="C381" s="165">
        <v>-91.21819</v>
      </c>
      <c r="D381" s="10">
        <v>10</v>
      </c>
      <c r="E381" s="10" t="s">
        <v>563</v>
      </c>
      <c r="F381" s="149">
        <v>1</v>
      </c>
      <c r="G381" s="34">
        <v>0</v>
      </c>
      <c r="H381" s="96">
        <v>0</v>
      </c>
      <c r="I381" s="10">
        <v>0</v>
      </c>
      <c r="J381" s="36">
        <v>0</v>
      </c>
      <c r="K381" s="36">
        <v>0</v>
      </c>
      <c r="L381" s="36">
        <v>0</v>
      </c>
      <c r="M381" s="36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46">
        <v>0</v>
      </c>
    </row>
    <row r="382" spans="1:48" ht="12.75">
      <c r="A382" s="34">
        <v>381</v>
      </c>
      <c r="B382" s="165">
        <v>46.12378</v>
      </c>
      <c r="C382" s="165">
        <v>-91.21773</v>
      </c>
      <c r="D382" s="10">
        <v>9.5</v>
      </c>
      <c r="E382" s="10" t="s">
        <v>563</v>
      </c>
      <c r="F382" s="149">
        <v>1</v>
      </c>
      <c r="G382" s="34">
        <v>1</v>
      </c>
      <c r="H382" s="96">
        <v>2</v>
      </c>
      <c r="I382" s="10">
        <v>1</v>
      </c>
      <c r="J382" s="36">
        <v>0</v>
      </c>
      <c r="K382" s="36">
        <v>0</v>
      </c>
      <c r="L382" s="36">
        <v>0</v>
      </c>
      <c r="M382" s="36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1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1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  <c r="AM382" s="10">
        <v>0</v>
      </c>
      <c r="AN382" s="10">
        <v>0</v>
      </c>
      <c r="AO382" s="10">
        <v>0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  <c r="AU382" s="10">
        <v>0</v>
      </c>
      <c r="AV382" s="146">
        <v>0</v>
      </c>
    </row>
    <row r="383" spans="1:48" ht="12.75">
      <c r="A383" s="34">
        <v>382</v>
      </c>
      <c r="B383" s="165">
        <v>46.12379</v>
      </c>
      <c r="C383" s="165">
        <v>-91.21726</v>
      </c>
      <c r="D383" s="10">
        <v>12</v>
      </c>
      <c r="E383" s="10" t="s">
        <v>563</v>
      </c>
      <c r="F383" s="149">
        <v>1</v>
      </c>
      <c r="G383" s="34">
        <v>0</v>
      </c>
      <c r="H383" s="96">
        <v>0</v>
      </c>
      <c r="I383" s="10">
        <v>0</v>
      </c>
      <c r="J383" s="36">
        <v>0</v>
      </c>
      <c r="K383" s="36">
        <v>0</v>
      </c>
      <c r="L383" s="36">
        <v>0</v>
      </c>
      <c r="M383" s="36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0</v>
      </c>
      <c r="AN383" s="10">
        <v>0</v>
      </c>
      <c r="AO383" s="10">
        <v>0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46">
        <v>0</v>
      </c>
    </row>
    <row r="384" spans="1:48" ht="12.75">
      <c r="A384" s="34">
        <v>383</v>
      </c>
      <c r="B384" s="165">
        <v>46.12379</v>
      </c>
      <c r="C384" s="165">
        <v>-91.21679</v>
      </c>
      <c r="D384" s="10">
        <v>7.5</v>
      </c>
      <c r="E384" s="10" t="s">
        <v>563</v>
      </c>
      <c r="F384" s="149">
        <v>1</v>
      </c>
      <c r="G384" s="34">
        <v>1</v>
      </c>
      <c r="H384" s="96">
        <v>4</v>
      </c>
      <c r="I384" s="10">
        <v>2</v>
      </c>
      <c r="J384" s="36">
        <v>0</v>
      </c>
      <c r="K384" s="36">
        <v>0</v>
      </c>
      <c r="L384" s="36">
        <v>0</v>
      </c>
      <c r="M384" s="36">
        <v>0</v>
      </c>
      <c r="N384" s="10">
        <v>0</v>
      </c>
      <c r="O384" s="10">
        <v>0</v>
      </c>
      <c r="P384" s="10">
        <v>0</v>
      </c>
      <c r="Q384" s="10">
        <v>1</v>
      </c>
      <c r="R384" s="10">
        <v>0</v>
      </c>
      <c r="S384" s="10">
        <v>0</v>
      </c>
      <c r="T384" s="10">
        <v>2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2</v>
      </c>
      <c r="AH384" s="10">
        <v>0</v>
      </c>
      <c r="AI384" s="10">
        <v>0</v>
      </c>
      <c r="AJ384" s="10">
        <v>1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46">
        <v>0</v>
      </c>
    </row>
    <row r="385" spans="1:48" ht="12.75">
      <c r="A385" s="34">
        <v>384</v>
      </c>
      <c r="B385" s="165">
        <v>46.1238</v>
      </c>
      <c r="C385" s="165">
        <v>-91.21633</v>
      </c>
      <c r="D385" s="10">
        <v>3.5</v>
      </c>
      <c r="E385" s="10" t="s">
        <v>563</v>
      </c>
      <c r="F385" s="149">
        <v>1</v>
      </c>
      <c r="G385" s="34">
        <v>1</v>
      </c>
      <c r="H385" s="96">
        <v>6</v>
      </c>
      <c r="I385" s="10">
        <v>2</v>
      </c>
      <c r="J385" s="36">
        <v>0</v>
      </c>
      <c r="K385" s="36">
        <v>0</v>
      </c>
      <c r="L385" s="36">
        <v>0</v>
      </c>
      <c r="M385" s="36">
        <v>2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1</v>
      </c>
      <c r="T385" s="10">
        <v>0</v>
      </c>
      <c r="U385" s="10">
        <v>1</v>
      </c>
      <c r="V385" s="10">
        <v>2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4</v>
      </c>
      <c r="AC385" s="10">
        <v>0</v>
      </c>
      <c r="AD385" s="10">
        <v>0</v>
      </c>
      <c r="AE385" s="10">
        <v>1</v>
      </c>
      <c r="AF385" s="10">
        <v>0</v>
      </c>
      <c r="AG385" s="10">
        <v>4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0</v>
      </c>
      <c r="AP385" s="10">
        <v>0</v>
      </c>
      <c r="AQ385" s="10">
        <v>0</v>
      </c>
      <c r="AR385" s="10">
        <v>0</v>
      </c>
      <c r="AS385" s="10">
        <v>1</v>
      </c>
      <c r="AT385" s="10">
        <v>0</v>
      </c>
      <c r="AU385" s="10">
        <v>0</v>
      </c>
      <c r="AV385" s="146">
        <v>0</v>
      </c>
    </row>
    <row r="386" spans="1:48" ht="12.75">
      <c r="A386" s="34">
        <v>385</v>
      </c>
      <c r="B386" s="165">
        <v>46.1238</v>
      </c>
      <c r="C386" s="165">
        <v>-91.21586</v>
      </c>
      <c r="D386" s="10">
        <v>3</v>
      </c>
      <c r="E386" s="10" t="s">
        <v>563</v>
      </c>
      <c r="F386" s="149">
        <v>1</v>
      </c>
      <c r="G386" s="34">
        <v>1</v>
      </c>
      <c r="H386" s="96">
        <v>7</v>
      </c>
      <c r="I386" s="10">
        <v>3</v>
      </c>
      <c r="J386" s="36">
        <v>1</v>
      </c>
      <c r="K386" s="36">
        <v>0</v>
      </c>
      <c r="L386" s="36">
        <v>0</v>
      </c>
      <c r="M386" s="36">
        <v>1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1</v>
      </c>
      <c r="T386" s="10">
        <v>0</v>
      </c>
      <c r="U386" s="10">
        <v>1</v>
      </c>
      <c r="V386" s="10">
        <v>3</v>
      </c>
      <c r="W386" s="10">
        <v>0</v>
      </c>
      <c r="X386" s="10">
        <v>4</v>
      </c>
      <c r="Y386" s="10">
        <v>0</v>
      </c>
      <c r="Z386" s="10">
        <v>0</v>
      </c>
      <c r="AA386" s="10">
        <v>0</v>
      </c>
      <c r="AB386" s="10">
        <v>4</v>
      </c>
      <c r="AC386" s="10">
        <v>0</v>
      </c>
      <c r="AD386" s="10">
        <v>0</v>
      </c>
      <c r="AE386" s="10">
        <v>0</v>
      </c>
      <c r="AF386" s="10">
        <v>0</v>
      </c>
      <c r="AG386" s="10">
        <v>4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1</v>
      </c>
      <c r="AO386" s="10">
        <v>0</v>
      </c>
      <c r="AP386" s="10">
        <v>0</v>
      </c>
      <c r="AQ386" s="10">
        <v>0</v>
      </c>
      <c r="AR386" s="10">
        <v>0</v>
      </c>
      <c r="AS386" s="10">
        <v>1</v>
      </c>
      <c r="AT386" s="10">
        <v>0</v>
      </c>
      <c r="AU386" s="10">
        <v>0</v>
      </c>
      <c r="AV386" s="146">
        <v>0</v>
      </c>
    </row>
    <row r="387" spans="1:48" ht="12.75">
      <c r="A387" s="34">
        <v>386</v>
      </c>
      <c r="B387" s="165">
        <v>46.12381</v>
      </c>
      <c r="C387" s="165">
        <v>-91.2154</v>
      </c>
      <c r="D387" s="10">
        <v>3.5</v>
      </c>
      <c r="E387" s="10" t="s">
        <v>563</v>
      </c>
      <c r="F387" s="149">
        <v>1</v>
      </c>
      <c r="G387" s="34">
        <v>1</v>
      </c>
      <c r="H387" s="96">
        <v>7</v>
      </c>
      <c r="I387" s="10">
        <v>3</v>
      </c>
      <c r="J387" s="36">
        <v>0</v>
      </c>
      <c r="K387" s="36">
        <v>1</v>
      </c>
      <c r="L387" s="36">
        <v>0</v>
      </c>
      <c r="M387" s="36">
        <v>3</v>
      </c>
      <c r="N387" s="10">
        <v>0</v>
      </c>
      <c r="O387" s="10">
        <v>0</v>
      </c>
      <c r="P387" s="10">
        <v>4</v>
      </c>
      <c r="Q387" s="10">
        <v>1</v>
      </c>
      <c r="R387" s="10">
        <v>0</v>
      </c>
      <c r="S387" s="10">
        <v>0</v>
      </c>
      <c r="T387" s="10">
        <v>0</v>
      </c>
      <c r="U387" s="10">
        <v>1</v>
      </c>
      <c r="V387" s="10">
        <v>2</v>
      </c>
      <c r="W387" s="10">
        <v>0</v>
      </c>
      <c r="X387" s="10">
        <v>0</v>
      </c>
      <c r="Y387" s="10">
        <v>4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1</v>
      </c>
      <c r="AK387" s="10">
        <v>0</v>
      </c>
      <c r="AL387" s="10">
        <v>0</v>
      </c>
      <c r="AM387" s="10">
        <v>0</v>
      </c>
      <c r="AN387" s="10">
        <v>1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46">
        <v>0</v>
      </c>
    </row>
    <row r="388" spans="1:48" ht="12.75">
      <c r="A388" s="34">
        <v>387</v>
      </c>
      <c r="B388" s="165">
        <v>46.12381</v>
      </c>
      <c r="C388" s="165">
        <v>-91.21493</v>
      </c>
      <c r="D388" s="10">
        <v>4.5</v>
      </c>
      <c r="E388" s="10" t="s">
        <v>563</v>
      </c>
      <c r="F388" s="149">
        <v>1</v>
      </c>
      <c r="G388" s="34">
        <v>1</v>
      </c>
      <c r="H388" s="96">
        <v>4</v>
      </c>
      <c r="I388" s="10">
        <v>3</v>
      </c>
      <c r="J388" s="36">
        <v>0</v>
      </c>
      <c r="K388" s="36">
        <v>0</v>
      </c>
      <c r="L388" s="36">
        <v>0</v>
      </c>
      <c r="M388" s="36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1</v>
      </c>
      <c r="T388" s="10">
        <v>0</v>
      </c>
      <c r="U388" s="10">
        <v>3</v>
      </c>
      <c r="V388" s="10">
        <v>1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4</v>
      </c>
      <c r="AC388" s="10">
        <v>0</v>
      </c>
      <c r="AD388" s="10">
        <v>0</v>
      </c>
      <c r="AE388" s="10">
        <v>0</v>
      </c>
      <c r="AF388" s="10">
        <v>0</v>
      </c>
      <c r="AG388" s="10">
        <v>4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1</v>
      </c>
      <c r="AT388" s="10">
        <v>0</v>
      </c>
      <c r="AU388" s="10">
        <v>0</v>
      </c>
      <c r="AV388" s="146">
        <v>0</v>
      </c>
    </row>
    <row r="389" spans="1:48" ht="12.75">
      <c r="A389" s="34">
        <v>388</v>
      </c>
      <c r="B389" s="165">
        <v>46.12382</v>
      </c>
      <c r="C389" s="165">
        <v>-91.21447</v>
      </c>
      <c r="D389" s="10">
        <v>8.5</v>
      </c>
      <c r="E389" s="10" t="s">
        <v>563</v>
      </c>
      <c r="F389" s="149">
        <v>1</v>
      </c>
      <c r="G389" s="34">
        <v>1</v>
      </c>
      <c r="H389" s="96">
        <v>3</v>
      </c>
      <c r="I389" s="10">
        <v>2</v>
      </c>
      <c r="J389" s="36">
        <v>0</v>
      </c>
      <c r="K389" s="36">
        <v>0</v>
      </c>
      <c r="L389" s="36">
        <v>1</v>
      </c>
      <c r="M389" s="36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1</v>
      </c>
      <c r="T389" s="10">
        <v>2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46">
        <v>0</v>
      </c>
    </row>
    <row r="390" spans="1:48" ht="12.75">
      <c r="A390" s="34">
        <v>389</v>
      </c>
      <c r="B390" s="165">
        <v>46.12382</v>
      </c>
      <c r="C390" s="165">
        <v>-91.214</v>
      </c>
      <c r="D390" s="10">
        <v>10</v>
      </c>
      <c r="E390" s="10" t="s">
        <v>563</v>
      </c>
      <c r="F390" s="149">
        <v>1</v>
      </c>
      <c r="G390" s="34">
        <v>1</v>
      </c>
      <c r="H390" s="96">
        <v>1</v>
      </c>
      <c r="I390" s="10">
        <v>2</v>
      </c>
      <c r="J390" s="36">
        <v>0</v>
      </c>
      <c r="K390" s="36">
        <v>0</v>
      </c>
      <c r="L390" s="36">
        <v>0</v>
      </c>
      <c r="M390" s="36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2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46">
        <v>0</v>
      </c>
    </row>
    <row r="391" spans="1:48" ht="12.75">
      <c r="A391" s="34">
        <v>390</v>
      </c>
      <c r="B391" s="165">
        <v>46.12383</v>
      </c>
      <c r="C391" s="165">
        <v>-91.21353</v>
      </c>
      <c r="D391" s="10">
        <v>9</v>
      </c>
      <c r="E391" s="10" t="s">
        <v>563</v>
      </c>
      <c r="F391" s="149">
        <v>1</v>
      </c>
      <c r="G391" s="34">
        <v>1</v>
      </c>
      <c r="H391" s="96">
        <v>2</v>
      </c>
      <c r="I391" s="10">
        <v>1</v>
      </c>
      <c r="J391" s="36">
        <v>0</v>
      </c>
      <c r="K391" s="36">
        <v>0</v>
      </c>
      <c r="L391" s="36">
        <v>0</v>
      </c>
      <c r="M391" s="36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1</v>
      </c>
      <c r="T391" s="10">
        <v>1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  <c r="AM391" s="10">
        <v>0</v>
      </c>
      <c r="AN391" s="10">
        <v>0</v>
      </c>
      <c r="AO391" s="10">
        <v>0</v>
      </c>
      <c r="AP391" s="10">
        <v>0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V391" s="146">
        <v>1</v>
      </c>
    </row>
    <row r="392" spans="1:48" ht="12.75">
      <c r="A392" s="34">
        <v>391</v>
      </c>
      <c r="B392" s="165">
        <v>46.12383</v>
      </c>
      <c r="C392" s="165">
        <v>-91.21307</v>
      </c>
      <c r="D392" s="10">
        <v>4.5</v>
      </c>
      <c r="E392" s="10" t="s">
        <v>563</v>
      </c>
      <c r="F392" s="149">
        <v>1</v>
      </c>
      <c r="G392" s="34">
        <v>1</v>
      </c>
      <c r="H392" s="96">
        <v>5</v>
      </c>
      <c r="I392" s="10">
        <v>2</v>
      </c>
      <c r="J392" s="36">
        <v>0</v>
      </c>
      <c r="K392" s="36">
        <v>0</v>
      </c>
      <c r="L392" s="36">
        <v>0</v>
      </c>
      <c r="M392" s="36">
        <v>1</v>
      </c>
      <c r="N392" s="10">
        <v>0</v>
      </c>
      <c r="O392" s="10">
        <v>1</v>
      </c>
      <c r="P392" s="10">
        <v>0</v>
      </c>
      <c r="Q392" s="10">
        <v>4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2</v>
      </c>
      <c r="AG392" s="10">
        <v>1</v>
      </c>
      <c r="AH392" s="10">
        <v>0</v>
      </c>
      <c r="AI392" s="10">
        <v>0</v>
      </c>
      <c r="AJ392" s="10">
        <v>2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46">
        <v>0</v>
      </c>
    </row>
    <row r="393" spans="1:48" ht="12.75">
      <c r="A393" s="34">
        <v>392</v>
      </c>
      <c r="B393" s="165">
        <v>46.12384</v>
      </c>
      <c r="C393" s="165">
        <v>-91.2126</v>
      </c>
      <c r="D393" s="10">
        <v>2.5</v>
      </c>
      <c r="E393" s="10" t="s">
        <v>565</v>
      </c>
      <c r="F393" s="149">
        <v>1</v>
      </c>
      <c r="G393" s="34">
        <v>1</v>
      </c>
      <c r="H393" s="96">
        <v>3</v>
      </c>
      <c r="I393" s="10">
        <v>3</v>
      </c>
      <c r="J393" s="36">
        <v>0</v>
      </c>
      <c r="K393" s="36">
        <v>0</v>
      </c>
      <c r="L393" s="36">
        <v>0</v>
      </c>
      <c r="M393" s="36">
        <v>3</v>
      </c>
      <c r="N393" s="10">
        <v>4</v>
      </c>
      <c r="O393" s="10">
        <v>0</v>
      </c>
      <c r="P393" s="10">
        <v>0</v>
      </c>
      <c r="Q393" s="10">
        <v>0</v>
      </c>
      <c r="R393" s="10">
        <v>0</v>
      </c>
      <c r="S393" s="10">
        <v>1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4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0">
        <v>1</v>
      </c>
      <c r="AU393" s="10">
        <v>0</v>
      </c>
      <c r="AV393" s="146">
        <v>0</v>
      </c>
    </row>
    <row r="394" spans="1:48" ht="12.75">
      <c r="A394" s="34">
        <v>393</v>
      </c>
      <c r="B394" s="165">
        <v>46.12409</v>
      </c>
      <c r="C394" s="165">
        <v>-91.21913</v>
      </c>
      <c r="D394" s="10">
        <v>3</v>
      </c>
      <c r="E394" s="10" t="s">
        <v>563</v>
      </c>
      <c r="F394" s="149">
        <v>1</v>
      </c>
      <c r="G394" s="34">
        <v>1</v>
      </c>
      <c r="H394" s="96">
        <v>8</v>
      </c>
      <c r="I394" s="10">
        <v>3</v>
      </c>
      <c r="J394" s="36">
        <v>0</v>
      </c>
      <c r="K394" s="36">
        <v>0</v>
      </c>
      <c r="L394" s="36">
        <v>4</v>
      </c>
      <c r="M394" s="36">
        <v>2</v>
      </c>
      <c r="N394" s="10">
        <v>0</v>
      </c>
      <c r="O394" s="10">
        <v>1</v>
      </c>
      <c r="P394" s="10">
        <v>0</v>
      </c>
      <c r="Q394" s="10">
        <v>1</v>
      </c>
      <c r="R394" s="10">
        <v>0</v>
      </c>
      <c r="S394" s="10">
        <v>1</v>
      </c>
      <c r="T394" s="10">
        <v>0</v>
      </c>
      <c r="U394" s="10">
        <v>0</v>
      </c>
      <c r="V394" s="10">
        <v>1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2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2</v>
      </c>
      <c r="AJ394" s="10">
        <v>4</v>
      </c>
      <c r="AK394" s="10">
        <v>0</v>
      </c>
      <c r="AL394" s="10">
        <v>0</v>
      </c>
      <c r="AM394" s="10">
        <v>0</v>
      </c>
      <c r="AN394" s="10">
        <v>0</v>
      </c>
      <c r="AO394" s="10">
        <v>1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46">
        <v>2</v>
      </c>
    </row>
    <row r="395" spans="1:48" ht="12.75">
      <c r="A395" s="34">
        <v>394</v>
      </c>
      <c r="B395" s="165">
        <v>46.1241</v>
      </c>
      <c r="C395" s="165">
        <v>-91.21867</v>
      </c>
      <c r="D395" s="10">
        <v>4</v>
      </c>
      <c r="E395" s="10" t="s">
        <v>563</v>
      </c>
      <c r="F395" s="149">
        <v>1</v>
      </c>
      <c r="G395" s="34">
        <v>1</v>
      </c>
      <c r="H395" s="96">
        <v>5</v>
      </c>
      <c r="I395" s="10">
        <v>3</v>
      </c>
      <c r="J395" s="36">
        <v>0</v>
      </c>
      <c r="K395" s="36">
        <v>0</v>
      </c>
      <c r="L395" s="36">
        <v>1</v>
      </c>
      <c r="M395" s="36">
        <v>0</v>
      </c>
      <c r="N395" s="10">
        <v>0</v>
      </c>
      <c r="O395" s="10">
        <v>0</v>
      </c>
      <c r="P395" s="10">
        <v>0</v>
      </c>
      <c r="Q395" s="10">
        <v>1</v>
      </c>
      <c r="R395" s="10">
        <v>0</v>
      </c>
      <c r="S395" s="10">
        <v>0</v>
      </c>
      <c r="T395" s="10">
        <v>0</v>
      </c>
      <c r="U395" s="10">
        <v>3</v>
      </c>
      <c r="V395" s="10">
        <v>1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0</v>
      </c>
      <c r="AJ395" s="10">
        <v>1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46">
        <v>0</v>
      </c>
    </row>
    <row r="396" spans="1:48" ht="12.75">
      <c r="A396" s="34">
        <v>395</v>
      </c>
      <c r="B396" s="165">
        <v>46.1241</v>
      </c>
      <c r="C396" s="165">
        <v>-91.2182</v>
      </c>
      <c r="D396" s="10">
        <v>3</v>
      </c>
      <c r="E396" s="10" t="s">
        <v>563</v>
      </c>
      <c r="F396" s="149">
        <v>1</v>
      </c>
      <c r="G396" s="34">
        <v>1</v>
      </c>
      <c r="H396" s="96">
        <v>6</v>
      </c>
      <c r="I396" s="10">
        <v>2</v>
      </c>
      <c r="J396" s="36">
        <v>0</v>
      </c>
      <c r="K396" s="36">
        <v>0</v>
      </c>
      <c r="L396" s="36">
        <v>4</v>
      </c>
      <c r="M396" s="36">
        <v>2</v>
      </c>
      <c r="N396" s="10">
        <v>0</v>
      </c>
      <c r="O396" s="10">
        <v>0</v>
      </c>
      <c r="P396" s="10">
        <v>1</v>
      </c>
      <c r="Q396" s="10">
        <v>0</v>
      </c>
      <c r="R396" s="10">
        <v>0</v>
      </c>
      <c r="S396" s="10">
        <v>4</v>
      </c>
      <c r="T396" s="10">
        <v>0</v>
      </c>
      <c r="U396" s="10">
        <v>4</v>
      </c>
      <c r="V396" s="10">
        <v>2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10">
        <v>1</v>
      </c>
      <c r="AJ396" s="10">
        <v>1</v>
      </c>
      <c r="AK396" s="10">
        <v>0</v>
      </c>
      <c r="AL396" s="10">
        <v>0</v>
      </c>
      <c r="AM396" s="10">
        <v>0</v>
      </c>
      <c r="AN396" s="10">
        <v>0</v>
      </c>
      <c r="AO396" s="10">
        <v>1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46">
        <v>1</v>
      </c>
    </row>
    <row r="397" spans="1:48" ht="12.75">
      <c r="A397" s="34">
        <v>396</v>
      </c>
      <c r="B397" s="165">
        <v>46.12411</v>
      </c>
      <c r="C397" s="165">
        <v>-91.21773</v>
      </c>
      <c r="D397" s="10">
        <v>4.5</v>
      </c>
      <c r="E397" s="10" t="s">
        <v>563</v>
      </c>
      <c r="F397" s="149">
        <v>1</v>
      </c>
      <c r="G397" s="34">
        <v>1</v>
      </c>
      <c r="H397" s="96">
        <v>6</v>
      </c>
      <c r="I397" s="10">
        <v>2</v>
      </c>
      <c r="J397" s="36">
        <v>0</v>
      </c>
      <c r="K397" s="36">
        <v>0</v>
      </c>
      <c r="L397" s="36">
        <v>1</v>
      </c>
      <c r="M397" s="36">
        <v>0</v>
      </c>
      <c r="N397" s="10">
        <v>0</v>
      </c>
      <c r="O397" s="10">
        <v>0</v>
      </c>
      <c r="P397" s="10">
        <v>0</v>
      </c>
      <c r="Q397" s="10">
        <v>1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1</v>
      </c>
      <c r="Z397" s="10">
        <v>0</v>
      </c>
      <c r="AA397" s="10">
        <v>0</v>
      </c>
      <c r="AB397" s="10">
        <v>2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2</v>
      </c>
      <c r="AJ397" s="10">
        <v>1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46">
        <v>0</v>
      </c>
    </row>
    <row r="398" spans="1:48" ht="12.75">
      <c r="A398" s="34">
        <v>397</v>
      </c>
      <c r="B398" s="165">
        <v>46.12411</v>
      </c>
      <c r="C398" s="165">
        <v>-91.21727</v>
      </c>
      <c r="D398" s="10">
        <v>4</v>
      </c>
      <c r="E398" s="10" t="s">
        <v>563</v>
      </c>
      <c r="F398" s="149">
        <v>1</v>
      </c>
      <c r="G398" s="34">
        <v>1</v>
      </c>
      <c r="H398" s="96">
        <v>4</v>
      </c>
      <c r="I398" s="10">
        <v>3</v>
      </c>
      <c r="J398" s="36">
        <v>0</v>
      </c>
      <c r="K398" s="36">
        <v>0</v>
      </c>
      <c r="L398" s="36">
        <v>0</v>
      </c>
      <c r="M398" s="36">
        <v>0</v>
      </c>
      <c r="N398" s="10">
        <v>0</v>
      </c>
      <c r="O398" s="10">
        <v>0</v>
      </c>
      <c r="P398" s="10">
        <v>4</v>
      </c>
      <c r="Q398" s="10">
        <v>4</v>
      </c>
      <c r="R398" s="10">
        <v>0</v>
      </c>
      <c r="S398" s="10">
        <v>0</v>
      </c>
      <c r="T398" s="10">
        <v>0</v>
      </c>
      <c r="U398" s="10">
        <v>3</v>
      </c>
      <c r="V398" s="10">
        <v>1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4</v>
      </c>
      <c r="AF398" s="10">
        <v>0</v>
      </c>
      <c r="AG398" s="10">
        <v>1</v>
      </c>
      <c r="AH398" s="10">
        <v>0</v>
      </c>
      <c r="AI398" s="10">
        <v>1</v>
      </c>
      <c r="AJ398" s="10">
        <v>4</v>
      </c>
      <c r="AK398" s="10">
        <v>0</v>
      </c>
      <c r="AL398" s="10">
        <v>0</v>
      </c>
      <c r="AM398" s="10">
        <v>0</v>
      </c>
      <c r="AN398" s="10">
        <v>0</v>
      </c>
      <c r="AO398" s="10">
        <v>0</v>
      </c>
      <c r="AP398" s="10">
        <v>0</v>
      </c>
      <c r="AQ398" s="10">
        <v>0</v>
      </c>
      <c r="AR398" s="10">
        <v>0</v>
      </c>
      <c r="AS398" s="10">
        <v>4</v>
      </c>
      <c r="AT398" s="10">
        <v>0</v>
      </c>
      <c r="AU398" s="10">
        <v>0</v>
      </c>
      <c r="AV398" s="146">
        <v>0</v>
      </c>
    </row>
    <row r="399" spans="1:48" ht="12.75">
      <c r="A399" s="34">
        <v>398</v>
      </c>
      <c r="B399" s="165">
        <v>46.12412</v>
      </c>
      <c r="C399" s="165">
        <v>-91.2168</v>
      </c>
      <c r="D399" s="10">
        <v>3</v>
      </c>
      <c r="E399" s="10" t="s">
        <v>563</v>
      </c>
      <c r="F399" s="149">
        <v>1</v>
      </c>
      <c r="G399" s="34">
        <v>1</v>
      </c>
      <c r="H399" s="96">
        <v>7</v>
      </c>
      <c r="I399" s="10">
        <v>3</v>
      </c>
      <c r="J399" s="36">
        <v>0</v>
      </c>
      <c r="K399" s="36">
        <v>0</v>
      </c>
      <c r="L399" s="36">
        <v>1</v>
      </c>
      <c r="M399" s="36">
        <v>2</v>
      </c>
      <c r="N399" s="10">
        <v>0</v>
      </c>
      <c r="O399" s="10">
        <v>0</v>
      </c>
      <c r="P399" s="10">
        <v>0</v>
      </c>
      <c r="Q399" s="10">
        <v>1</v>
      </c>
      <c r="R399" s="10">
        <v>0</v>
      </c>
      <c r="S399" s="10">
        <v>0</v>
      </c>
      <c r="T399" s="10">
        <v>0</v>
      </c>
      <c r="U399" s="10">
        <v>2</v>
      </c>
      <c r="V399" s="10">
        <v>2</v>
      </c>
      <c r="W399" s="10">
        <v>0</v>
      </c>
      <c r="X399" s="10">
        <v>4</v>
      </c>
      <c r="Y399" s="10">
        <v>0</v>
      </c>
      <c r="Z399" s="10">
        <v>0</v>
      </c>
      <c r="AA399" s="10">
        <v>0</v>
      </c>
      <c r="AB399" s="10">
        <v>1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1</v>
      </c>
      <c r="AK399" s="10">
        <v>0</v>
      </c>
      <c r="AL399" s="10">
        <v>0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46">
        <v>0</v>
      </c>
    </row>
    <row r="400" spans="1:48" ht="12.75">
      <c r="A400" s="34">
        <v>399</v>
      </c>
      <c r="B400" s="165">
        <v>46.12414</v>
      </c>
      <c r="C400" s="165">
        <v>-91.21494</v>
      </c>
      <c r="D400" s="10">
        <v>2.5</v>
      </c>
      <c r="E400" s="10" t="s">
        <v>563</v>
      </c>
      <c r="F400" s="149">
        <v>1</v>
      </c>
      <c r="G400" s="34">
        <v>1</v>
      </c>
      <c r="H400" s="96">
        <v>7</v>
      </c>
      <c r="I400" s="10">
        <v>3</v>
      </c>
      <c r="J400" s="36">
        <v>0</v>
      </c>
      <c r="K400" s="36">
        <v>0</v>
      </c>
      <c r="L400" s="36">
        <v>2</v>
      </c>
      <c r="M400" s="36">
        <v>2</v>
      </c>
      <c r="N400" s="10">
        <v>0</v>
      </c>
      <c r="O400" s="10">
        <v>1</v>
      </c>
      <c r="P400" s="10">
        <v>0</v>
      </c>
      <c r="Q400" s="10">
        <v>0</v>
      </c>
      <c r="R400" s="10">
        <v>1</v>
      </c>
      <c r="S400" s="10">
        <v>0</v>
      </c>
      <c r="T400" s="10">
        <v>0</v>
      </c>
      <c r="U400" s="10">
        <v>2</v>
      </c>
      <c r="V400" s="10">
        <v>2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1</v>
      </c>
      <c r="AK400" s="10">
        <v>0</v>
      </c>
      <c r="AL400" s="10">
        <v>0</v>
      </c>
      <c r="AM400" s="10">
        <v>0</v>
      </c>
      <c r="AN400" s="10">
        <v>4</v>
      </c>
      <c r="AO400" s="10">
        <v>0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46">
        <v>0</v>
      </c>
    </row>
    <row r="401" spans="1:48" ht="12.75">
      <c r="A401" s="34">
        <v>400</v>
      </c>
      <c r="B401" s="165">
        <v>46.12414</v>
      </c>
      <c r="C401" s="165">
        <v>-91.21447</v>
      </c>
      <c r="D401" s="10">
        <v>4</v>
      </c>
      <c r="E401" s="10" t="s">
        <v>563</v>
      </c>
      <c r="F401" s="149">
        <v>1</v>
      </c>
      <c r="G401" s="34">
        <v>1</v>
      </c>
      <c r="H401" s="96">
        <v>7</v>
      </c>
      <c r="I401" s="10">
        <v>3</v>
      </c>
      <c r="J401" s="36">
        <v>0</v>
      </c>
      <c r="K401" s="36">
        <v>0</v>
      </c>
      <c r="L401" s="36">
        <v>2</v>
      </c>
      <c r="M401" s="36">
        <v>0</v>
      </c>
      <c r="N401" s="10">
        <v>0</v>
      </c>
      <c r="O401" s="10">
        <v>0</v>
      </c>
      <c r="P401" s="10">
        <v>1</v>
      </c>
      <c r="Q401" s="10">
        <v>2</v>
      </c>
      <c r="R401" s="10">
        <v>0</v>
      </c>
      <c r="S401" s="10">
        <v>0</v>
      </c>
      <c r="T401" s="10">
        <v>0</v>
      </c>
      <c r="U401" s="10">
        <v>0</v>
      </c>
      <c r="V401" s="10">
        <v>1</v>
      </c>
      <c r="W401" s="10">
        <v>0</v>
      </c>
      <c r="X401" s="10">
        <v>0</v>
      </c>
      <c r="Y401" s="10">
        <v>0</v>
      </c>
      <c r="Z401" s="10">
        <v>0</v>
      </c>
      <c r="AA401" s="10">
        <v>4</v>
      </c>
      <c r="AB401" s="10">
        <v>1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1</v>
      </c>
      <c r="AJ401" s="10">
        <v>1</v>
      </c>
      <c r="AK401" s="10">
        <v>0</v>
      </c>
      <c r="AL401" s="10">
        <v>0</v>
      </c>
      <c r="AM401" s="10">
        <v>0</v>
      </c>
      <c r="AN401" s="10">
        <v>0</v>
      </c>
      <c r="AO401" s="10">
        <v>0</v>
      </c>
      <c r="AP401" s="10">
        <v>0</v>
      </c>
      <c r="AQ401" s="10">
        <v>0</v>
      </c>
      <c r="AR401" s="10">
        <v>0</v>
      </c>
      <c r="AS401" s="10">
        <v>4</v>
      </c>
      <c r="AT401" s="10">
        <v>0</v>
      </c>
      <c r="AU401" s="10">
        <v>0</v>
      </c>
      <c r="AV401" s="146">
        <v>0</v>
      </c>
    </row>
    <row r="402" spans="1:48" ht="12.75">
      <c r="A402" s="34">
        <v>401</v>
      </c>
      <c r="B402" s="165">
        <v>46.12415</v>
      </c>
      <c r="C402" s="165">
        <v>-91.21401</v>
      </c>
      <c r="D402" s="10">
        <v>5</v>
      </c>
      <c r="E402" s="10" t="s">
        <v>563</v>
      </c>
      <c r="F402" s="149">
        <v>1</v>
      </c>
      <c r="G402" s="34">
        <v>1</v>
      </c>
      <c r="H402" s="96">
        <v>4</v>
      </c>
      <c r="I402" s="10">
        <v>2</v>
      </c>
      <c r="J402" s="36">
        <v>0</v>
      </c>
      <c r="K402" s="36">
        <v>0</v>
      </c>
      <c r="L402" s="36">
        <v>1</v>
      </c>
      <c r="M402" s="36">
        <v>0</v>
      </c>
      <c r="N402" s="10">
        <v>0</v>
      </c>
      <c r="O402" s="10">
        <v>0</v>
      </c>
      <c r="P402" s="10">
        <v>0</v>
      </c>
      <c r="Q402" s="10">
        <v>2</v>
      </c>
      <c r="R402" s="10">
        <v>0</v>
      </c>
      <c r="S402" s="10">
        <v>0</v>
      </c>
      <c r="T402" s="10">
        <v>0</v>
      </c>
      <c r="U402" s="10">
        <v>0</v>
      </c>
      <c r="V402" s="10">
        <v>4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4</v>
      </c>
      <c r="AI402" s="10">
        <v>1</v>
      </c>
      <c r="AJ402" s="10">
        <v>1</v>
      </c>
      <c r="AK402" s="10">
        <v>0</v>
      </c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46">
        <v>0</v>
      </c>
    </row>
    <row r="403" spans="1:48" ht="12.75">
      <c r="A403" s="34">
        <v>402</v>
      </c>
      <c r="B403" s="165">
        <v>46.12415</v>
      </c>
      <c r="C403" s="165">
        <v>-91.21354</v>
      </c>
      <c r="D403" s="10">
        <v>4</v>
      </c>
      <c r="E403" s="10" t="s">
        <v>563</v>
      </c>
      <c r="F403" s="149">
        <v>1</v>
      </c>
      <c r="G403" s="34">
        <v>1</v>
      </c>
      <c r="H403" s="96">
        <v>5</v>
      </c>
      <c r="I403" s="10">
        <v>3</v>
      </c>
      <c r="J403" s="36">
        <v>0</v>
      </c>
      <c r="K403" s="36">
        <v>0</v>
      </c>
      <c r="L403" s="36">
        <v>1</v>
      </c>
      <c r="M403" s="36">
        <v>0</v>
      </c>
      <c r="N403" s="10">
        <v>0</v>
      </c>
      <c r="O403" s="10">
        <v>0</v>
      </c>
      <c r="P403" s="10">
        <v>0</v>
      </c>
      <c r="Q403" s="10">
        <v>4</v>
      </c>
      <c r="R403" s="10">
        <v>0</v>
      </c>
      <c r="S403" s="10">
        <v>1</v>
      </c>
      <c r="T403" s="10">
        <v>0</v>
      </c>
      <c r="U403" s="10">
        <v>3</v>
      </c>
      <c r="V403" s="10">
        <v>1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10">
        <v>0</v>
      </c>
      <c r="AJ403" s="10">
        <v>1</v>
      </c>
      <c r="AK403" s="10">
        <v>0</v>
      </c>
      <c r="AL403" s="10">
        <v>0</v>
      </c>
      <c r="AM403" s="10">
        <v>0</v>
      </c>
      <c r="AN403" s="10">
        <v>0</v>
      </c>
      <c r="AO403" s="10">
        <v>0</v>
      </c>
      <c r="AP403" s="10">
        <v>0</v>
      </c>
      <c r="AQ403" s="10">
        <v>0</v>
      </c>
      <c r="AR403" s="10">
        <v>0</v>
      </c>
      <c r="AS403" s="10">
        <v>4</v>
      </c>
      <c r="AT403" s="10">
        <v>0</v>
      </c>
      <c r="AU403" s="10">
        <v>0</v>
      </c>
      <c r="AV403" s="146">
        <v>1</v>
      </c>
    </row>
    <row r="404" spans="1:48" ht="12.75">
      <c r="A404" s="34">
        <v>403</v>
      </c>
      <c r="B404" s="165">
        <v>46.12416</v>
      </c>
      <c r="C404" s="165">
        <v>-91.21307</v>
      </c>
      <c r="D404" s="10">
        <v>3</v>
      </c>
      <c r="E404" s="10" t="s">
        <v>563</v>
      </c>
      <c r="F404" s="149">
        <v>1</v>
      </c>
      <c r="G404" s="34">
        <v>1</v>
      </c>
      <c r="H404" s="96">
        <v>5</v>
      </c>
      <c r="I404" s="10">
        <v>2</v>
      </c>
      <c r="J404" s="36">
        <v>4</v>
      </c>
      <c r="K404" s="36">
        <v>0</v>
      </c>
      <c r="L404" s="36">
        <v>0</v>
      </c>
      <c r="M404" s="36">
        <v>0</v>
      </c>
      <c r="N404" s="10">
        <v>0</v>
      </c>
      <c r="O404" s="10">
        <v>0</v>
      </c>
      <c r="P404" s="10">
        <v>2</v>
      </c>
      <c r="Q404" s="10">
        <v>0</v>
      </c>
      <c r="R404" s="10">
        <v>0</v>
      </c>
      <c r="S404" s="10">
        <v>1</v>
      </c>
      <c r="T404" s="10">
        <v>0</v>
      </c>
      <c r="U404" s="10">
        <v>4</v>
      </c>
      <c r="V404" s="10">
        <v>1</v>
      </c>
      <c r="W404" s="10">
        <v>0</v>
      </c>
      <c r="X404" s="10">
        <v>0</v>
      </c>
      <c r="Y404" s="10">
        <v>1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1</v>
      </c>
      <c r="AG404" s="10">
        <v>4</v>
      </c>
      <c r="AH404" s="10">
        <v>0</v>
      </c>
      <c r="AI404" s="10">
        <v>0</v>
      </c>
      <c r="AJ404" s="10">
        <v>4</v>
      </c>
      <c r="AK404" s="10">
        <v>0</v>
      </c>
      <c r="AL404" s="10">
        <v>0</v>
      </c>
      <c r="AM404" s="10">
        <v>0</v>
      </c>
      <c r="AN404" s="10">
        <v>0</v>
      </c>
      <c r="AO404" s="10">
        <v>0</v>
      </c>
      <c r="AP404" s="10">
        <v>0</v>
      </c>
      <c r="AQ404" s="10">
        <v>0</v>
      </c>
      <c r="AR404" s="10">
        <v>0</v>
      </c>
      <c r="AS404" s="10">
        <v>4</v>
      </c>
      <c r="AT404" s="10">
        <v>0</v>
      </c>
      <c r="AU404" s="10">
        <v>0</v>
      </c>
      <c r="AV404" s="146">
        <v>0</v>
      </c>
    </row>
    <row r="405" spans="1:48" ht="12.75">
      <c r="A405" s="36">
        <v>403</v>
      </c>
      <c r="B405" s="36">
        <v>403</v>
      </c>
      <c r="C405" s="36">
        <v>403</v>
      </c>
      <c r="D405" s="36">
        <v>403</v>
      </c>
      <c r="E405" s="36">
        <v>228</v>
      </c>
      <c r="G405" s="36">
        <v>403</v>
      </c>
      <c r="I405" s="36">
        <v>157</v>
      </c>
      <c r="J405" s="36">
        <v>5</v>
      </c>
      <c r="K405" s="36">
        <v>12</v>
      </c>
      <c r="L405" s="36">
        <v>86</v>
      </c>
      <c r="M405" s="36">
        <v>31</v>
      </c>
      <c r="N405" s="36">
        <v>5</v>
      </c>
      <c r="O405" s="36">
        <v>21</v>
      </c>
      <c r="P405" s="36">
        <v>19</v>
      </c>
      <c r="Q405" s="36">
        <v>62</v>
      </c>
      <c r="R405" s="36">
        <v>5</v>
      </c>
      <c r="S405" s="36">
        <v>65</v>
      </c>
      <c r="T405" s="36">
        <v>36</v>
      </c>
      <c r="U405" s="36">
        <v>55</v>
      </c>
      <c r="V405" s="36">
        <v>68</v>
      </c>
      <c r="W405" s="36">
        <v>1</v>
      </c>
      <c r="X405" s="36">
        <v>8</v>
      </c>
      <c r="Y405" s="36">
        <v>19</v>
      </c>
      <c r="Z405" s="36">
        <v>1</v>
      </c>
      <c r="AA405" s="36">
        <v>8</v>
      </c>
      <c r="AB405" s="36">
        <v>27</v>
      </c>
      <c r="AC405" s="36">
        <v>1</v>
      </c>
      <c r="AD405" s="36">
        <v>2</v>
      </c>
      <c r="AE405" s="36">
        <v>9</v>
      </c>
      <c r="AF405" s="36">
        <v>19</v>
      </c>
      <c r="AG405" s="36">
        <v>53</v>
      </c>
      <c r="AH405" s="36">
        <v>4</v>
      </c>
      <c r="AI405" s="36">
        <v>30</v>
      </c>
      <c r="AJ405" s="36">
        <v>88</v>
      </c>
      <c r="AK405" s="36">
        <v>1</v>
      </c>
      <c r="AL405" s="36">
        <v>2</v>
      </c>
      <c r="AM405" s="36">
        <v>2</v>
      </c>
      <c r="AN405" s="36">
        <v>10</v>
      </c>
      <c r="AO405" s="36">
        <v>2</v>
      </c>
      <c r="AP405" s="36">
        <v>6</v>
      </c>
      <c r="AQ405" s="36">
        <v>1</v>
      </c>
      <c r="AR405" s="36">
        <v>1</v>
      </c>
      <c r="AS405" s="36">
        <v>23</v>
      </c>
      <c r="AT405" s="36">
        <v>4</v>
      </c>
      <c r="AU405" s="36">
        <v>1</v>
      </c>
      <c r="AV405" s="36">
        <v>28</v>
      </c>
    </row>
  </sheetData>
  <sheetProtection formatCells="0" sort="0"/>
  <protectedRanges>
    <protectedRange sqref="E338:E404" name="Range1"/>
    <protectedRange sqref="E304:E337" name="Range1_2"/>
    <protectedRange sqref="I2:I8 E2:E303" name="Range1_3"/>
    <protectedRange sqref="B2:C8" name="Range1_1_1_1"/>
  </protectedRanges>
  <dataValidations count="6">
    <dataValidation type="list" allowBlank="1" showInputMessage="1" showErrorMessage="1" error="Please enter M (muck), S (sand), or R (rock).  If sediment type unknown, leave cell blank." sqref="E2:E404">
      <formula1>"M,m,s,S,R,r"</formula1>
    </dataValidation>
    <dataValidation type="decimal" allowBlank="1" showInputMessage="1" showErrorMessage="1" error="Is your depth really more than 99 feet?" sqref="D2:D404 D406:D65536">
      <formula1>0.1</formula1>
      <formula2>99</formula2>
    </dataValidation>
    <dataValidation type="list" allowBlank="1" showInputMessage="1" showErrorMessage="1" error="Please enter an overall rake fullness of 1, 2, 3 or leave cell blank if no plants found" sqref="I2:I404">
      <formula1>"1,2,3"</formula1>
    </dataValidation>
    <dataValidation type="whole" allowBlank="1" showInputMessage="1" showErrorMessage="1" errorTitle="Presence/Absence Data" error="Enter 1 if present" sqref="M406:AV65536">
      <formula1>1</formula1>
      <formula2>1</formula2>
    </dataValidation>
    <dataValidation type="list" allowBlank="1" showInputMessage="1" showErrorMessage="1" sqref="I1 K1:L1 I406:L65536">
      <formula1>"V,v,1,2,3"</formula1>
    </dataValidation>
    <dataValidation type="list" allowBlank="1" showInputMessage="1" showErrorMessage="1" error="Please enter a rake fullness rating of 1, 2, 3 or V (visual).  If species not found, leave cell blank." sqref="J2:AV404">
      <formula1>"V,v,1,2,3"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4"/>
  <sheetViews>
    <sheetView zoomScale="85" zoomScaleNormal="85" zoomScalePageLayoutView="0" workbookViewId="0" topLeftCell="A5">
      <selection activeCell="A9" sqref="A9"/>
    </sheetView>
  </sheetViews>
  <sheetFormatPr defaultColWidth="23.7109375" defaultRowHeight="12.75"/>
  <cols>
    <col min="1" max="1" width="37.421875" style="175" bestFit="1" customWidth="1"/>
    <col min="2" max="2" width="29.421875" style="175" customWidth="1"/>
    <col min="3" max="3" width="14.00390625" style="175" bestFit="1" customWidth="1"/>
    <col min="4" max="4" width="20.140625" style="175" bestFit="1" customWidth="1"/>
    <col min="5" max="5" width="12.00390625" style="175" customWidth="1"/>
    <col min="6" max="9" width="23.7109375" style="175" customWidth="1"/>
    <col min="10" max="10" width="29.28125" style="175" customWidth="1"/>
    <col min="11" max="16384" width="23.7109375" style="175" customWidth="1"/>
  </cols>
  <sheetData>
    <row r="1" spans="1:11" ht="15">
      <c r="A1" s="192"/>
      <c r="B1" s="193"/>
      <c r="C1" s="194" t="s">
        <v>93</v>
      </c>
      <c r="D1" s="195" t="str">
        <f>IF('ENTRY '!I2="","",'ENTRY '!I2)</f>
        <v>North Lake (Spider Chain)</v>
      </c>
      <c r="E1" s="196"/>
      <c r="F1" s="183"/>
      <c r="G1" s="183"/>
      <c r="H1" s="183"/>
      <c r="I1" s="183"/>
      <c r="J1" s="183"/>
      <c r="K1" s="183"/>
    </row>
    <row r="2" spans="1:11" ht="15">
      <c r="A2" s="192"/>
      <c r="B2" s="193"/>
      <c r="C2" s="197" t="s">
        <v>44</v>
      </c>
      <c r="D2" s="198">
        <f>IF('ENTRY '!I3="","",'ENTRY '!I3)</f>
        <v>2436000</v>
      </c>
      <c r="E2" s="196"/>
      <c r="F2" s="183"/>
      <c r="G2" s="183"/>
      <c r="H2" s="183"/>
      <c r="I2" s="183"/>
      <c r="J2" s="183"/>
      <c r="K2" s="183"/>
    </row>
    <row r="3" spans="1:6" ht="18.75">
      <c r="A3" s="192"/>
      <c r="B3" s="193"/>
      <c r="C3" s="197" t="s">
        <v>91</v>
      </c>
      <c r="D3" s="199" t="str">
        <f>IF('ENTRY '!I5="","",'ENTRY '!I5)</f>
        <v>8 1, 2017</v>
      </c>
      <c r="E3" s="200"/>
      <c r="F3" s="201"/>
    </row>
    <row r="4" spans="1:5" ht="15.75" customHeight="1">
      <c r="A4" s="192"/>
      <c r="B4" s="193"/>
      <c r="C4" s="202" t="s">
        <v>406</v>
      </c>
      <c r="D4" s="203"/>
      <c r="E4" s="200"/>
    </row>
    <row r="5" spans="1:5" ht="15">
      <c r="A5" s="192"/>
      <c r="B5" s="193"/>
      <c r="C5" s="202" t="s">
        <v>407</v>
      </c>
      <c r="D5" s="203"/>
      <c r="E5" s="200"/>
    </row>
    <row r="6" spans="1:5" ht="15.75" thickBot="1">
      <c r="A6" s="192"/>
      <c r="B6" s="193"/>
      <c r="C6" s="204" t="s">
        <v>115</v>
      </c>
      <c r="D6" s="205"/>
      <c r="E6" s="200"/>
    </row>
    <row r="7" spans="1:5" ht="15.75" thickBot="1">
      <c r="A7" s="192"/>
      <c r="B7" s="193"/>
      <c r="C7" s="192"/>
      <c r="D7" s="192"/>
      <c r="E7" s="200"/>
    </row>
    <row r="8" spans="1:5" ht="15.75" thickBot="1">
      <c r="A8" s="206" t="s">
        <v>116</v>
      </c>
      <c r="B8" s="207" t="s">
        <v>117</v>
      </c>
      <c r="C8" s="208" t="s">
        <v>118</v>
      </c>
      <c r="D8" s="209" t="s">
        <v>119</v>
      </c>
      <c r="E8" s="210"/>
    </row>
    <row r="9" spans="1:5" ht="14.25" customHeight="1" thickBot="1">
      <c r="A9" s="211" t="s">
        <v>356</v>
      </c>
      <c r="B9" s="212" t="s">
        <v>355</v>
      </c>
      <c r="C9" s="213">
        <v>7</v>
      </c>
      <c r="D9" s="214">
        <f>IF(STATS!F7&lt;&gt;"",1,0)</f>
        <v>0</v>
      </c>
      <c r="E9" s="215">
        <f aca="true" t="shared" si="0" ref="E9:E42">C9*D9</f>
        <v>0</v>
      </c>
    </row>
    <row r="10" spans="1:5" ht="14.25" customHeight="1">
      <c r="A10" s="216" t="s">
        <v>120</v>
      </c>
      <c r="B10" s="217" t="s">
        <v>337</v>
      </c>
      <c r="C10" s="218">
        <v>4</v>
      </c>
      <c r="D10" s="214">
        <f>IF(STATS!G7&lt;&gt;"",1,0)</f>
        <v>0</v>
      </c>
      <c r="E10" s="215">
        <f t="shared" si="0"/>
        <v>0</v>
      </c>
    </row>
    <row r="11" spans="1:5" ht="14.25" customHeight="1">
      <c r="A11" s="219" t="s">
        <v>379</v>
      </c>
      <c r="B11" s="217" t="s">
        <v>173</v>
      </c>
      <c r="C11" s="218">
        <v>8</v>
      </c>
      <c r="D11" s="220">
        <f>IF(STATS!H7&lt;&gt;"",1,0)</f>
        <v>1</v>
      </c>
      <c r="E11" s="215">
        <f t="shared" si="0"/>
        <v>8</v>
      </c>
    </row>
    <row r="12" spans="1:5" ht="14.25" customHeight="1">
      <c r="A12" s="216" t="s">
        <v>121</v>
      </c>
      <c r="B12" s="221" t="s">
        <v>338</v>
      </c>
      <c r="C12" s="218">
        <v>6</v>
      </c>
      <c r="D12" s="220">
        <f>IF(STATS!I7&lt;&gt;"",1,0)</f>
        <v>0</v>
      </c>
      <c r="E12" s="215">
        <f t="shared" si="0"/>
        <v>0</v>
      </c>
    </row>
    <row r="13" spans="1:5" ht="14.25" customHeight="1">
      <c r="A13" s="219" t="s">
        <v>122</v>
      </c>
      <c r="B13" s="217" t="s">
        <v>123</v>
      </c>
      <c r="C13" s="222">
        <v>6</v>
      </c>
      <c r="D13" s="220">
        <f>IF(STATS!J7&lt;&gt;"",1,0)</f>
        <v>1</v>
      </c>
      <c r="E13" s="215">
        <f t="shared" si="0"/>
        <v>6</v>
      </c>
    </row>
    <row r="14" spans="1:5" ht="14.25" customHeight="1">
      <c r="A14" s="219" t="s">
        <v>124</v>
      </c>
      <c r="B14" s="217" t="s">
        <v>339</v>
      </c>
      <c r="C14" s="222">
        <v>9</v>
      </c>
      <c r="D14" s="220">
        <f>IF(STATS!K7&lt;&gt;"",1,0)</f>
        <v>0</v>
      </c>
      <c r="E14" s="215">
        <f t="shared" si="0"/>
        <v>0</v>
      </c>
    </row>
    <row r="15" spans="1:5" ht="14.25" customHeight="1">
      <c r="A15" s="216" t="s">
        <v>125</v>
      </c>
      <c r="B15" s="217" t="s">
        <v>357</v>
      </c>
      <c r="C15" s="218">
        <v>9</v>
      </c>
      <c r="D15" s="220">
        <f>IF(STATS!L7&lt;&gt;"",1,0)</f>
        <v>0</v>
      </c>
      <c r="E15" s="215">
        <f t="shared" si="0"/>
        <v>0</v>
      </c>
    </row>
    <row r="16" spans="1:5" ht="14.25" customHeight="1">
      <c r="A16" s="216" t="s">
        <v>126</v>
      </c>
      <c r="B16" s="217" t="s">
        <v>358</v>
      </c>
      <c r="C16" s="218">
        <v>9</v>
      </c>
      <c r="D16" s="220">
        <f>IF(STATS!M7&lt;&gt;"",1,0)</f>
        <v>0</v>
      </c>
      <c r="E16" s="215">
        <f t="shared" si="0"/>
        <v>0</v>
      </c>
    </row>
    <row r="17" spans="1:5" ht="14.25" customHeight="1">
      <c r="A17" s="219" t="s">
        <v>127</v>
      </c>
      <c r="B17" s="217" t="s">
        <v>359</v>
      </c>
      <c r="C17" s="222">
        <v>8</v>
      </c>
      <c r="D17" s="220">
        <f>IF(STATS!N7&lt;&gt;"",1,0)</f>
        <v>0</v>
      </c>
      <c r="E17" s="215">
        <f t="shared" si="0"/>
        <v>0</v>
      </c>
    </row>
    <row r="18" spans="1:5" ht="14.25" customHeight="1">
      <c r="A18" s="219" t="s">
        <v>128</v>
      </c>
      <c r="B18" s="217" t="s">
        <v>129</v>
      </c>
      <c r="C18" s="222">
        <v>5</v>
      </c>
      <c r="D18" s="220">
        <f>IF(STATS!O7&lt;&gt;"",1,0)</f>
        <v>0</v>
      </c>
      <c r="E18" s="215">
        <f t="shared" si="0"/>
        <v>0</v>
      </c>
    </row>
    <row r="19" spans="1:5" ht="14.25" customHeight="1">
      <c r="A19" s="219" t="s">
        <v>130</v>
      </c>
      <c r="B19" s="223" t="s">
        <v>131</v>
      </c>
      <c r="C19" s="222">
        <v>10</v>
      </c>
      <c r="D19" s="220">
        <f>IF(STATS!P7&lt;&gt;"",1,0)</f>
        <v>0</v>
      </c>
      <c r="E19" s="215">
        <f t="shared" si="0"/>
        <v>0</v>
      </c>
    </row>
    <row r="20" spans="1:5" ht="14.25" customHeight="1">
      <c r="A20" s="219" t="s">
        <v>132</v>
      </c>
      <c r="B20" s="217" t="s">
        <v>133</v>
      </c>
      <c r="C20" s="222">
        <v>3</v>
      </c>
      <c r="D20" s="220">
        <f>IF(STATS!Q7&lt;&gt;"",1,0)</f>
        <v>1</v>
      </c>
      <c r="E20" s="215">
        <f t="shared" si="0"/>
        <v>3</v>
      </c>
    </row>
    <row r="21" spans="1:5" ht="14.25" customHeight="1">
      <c r="A21" s="216" t="s">
        <v>134</v>
      </c>
      <c r="B21" s="217" t="s">
        <v>336</v>
      </c>
      <c r="C21" s="218">
        <v>10</v>
      </c>
      <c r="D21" s="220">
        <f>IF(STATS!R7&lt;&gt;"",1,0)</f>
        <v>0</v>
      </c>
      <c r="E21" s="215">
        <f t="shared" si="0"/>
        <v>0</v>
      </c>
    </row>
    <row r="22" spans="1:5" ht="14.25" customHeight="1">
      <c r="A22" s="219" t="s">
        <v>656</v>
      </c>
      <c r="B22" s="217" t="s">
        <v>567</v>
      </c>
      <c r="C22" s="222">
        <v>7</v>
      </c>
      <c r="D22" s="220">
        <f>IF(STATS!S7&lt;&gt;"",1,0)</f>
        <v>1</v>
      </c>
      <c r="E22" s="215">
        <f t="shared" si="0"/>
        <v>7</v>
      </c>
    </row>
    <row r="23" spans="1:5" ht="14.25" customHeight="1">
      <c r="A23" s="219" t="s">
        <v>135</v>
      </c>
      <c r="B23" s="224" t="s">
        <v>136</v>
      </c>
      <c r="C23" s="222">
        <v>9</v>
      </c>
      <c r="D23" s="220">
        <f>IF(STATS!V7&lt;&gt;"",1,0)</f>
        <v>0</v>
      </c>
      <c r="E23" s="215">
        <f t="shared" si="0"/>
        <v>0</v>
      </c>
    </row>
    <row r="24" spans="1:5" ht="14.25" customHeight="1">
      <c r="A24" s="219" t="s">
        <v>137</v>
      </c>
      <c r="B24" s="217" t="s">
        <v>138</v>
      </c>
      <c r="C24" s="222">
        <v>9</v>
      </c>
      <c r="D24" s="220">
        <f>IF(STATS!W7&lt;&gt;"",1,0)</f>
        <v>0</v>
      </c>
      <c r="E24" s="215">
        <f t="shared" si="0"/>
        <v>0</v>
      </c>
    </row>
    <row r="25" spans="1:5" ht="14.25" customHeight="1">
      <c r="A25" s="216" t="s">
        <v>139</v>
      </c>
      <c r="B25" s="217" t="s">
        <v>340</v>
      </c>
      <c r="C25" s="218">
        <v>9</v>
      </c>
      <c r="D25" s="220">
        <f>IF(STATS!X7&lt;&gt;"",1,0)</f>
        <v>0</v>
      </c>
      <c r="E25" s="215">
        <f t="shared" si="0"/>
        <v>0</v>
      </c>
    </row>
    <row r="26" spans="1:5" ht="14.25" customHeight="1">
      <c r="A26" s="219" t="s">
        <v>140</v>
      </c>
      <c r="B26" s="217" t="s">
        <v>141</v>
      </c>
      <c r="C26" s="222">
        <v>5</v>
      </c>
      <c r="D26" s="220">
        <f>IF(STATS!Y7&lt;&gt;"",1,0)</f>
        <v>0</v>
      </c>
      <c r="E26" s="215">
        <f t="shared" si="0"/>
        <v>0</v>
      </c>
    </row>
    <row r="27" spans="1:5" ht="14.25" customHeight="1">
      <c r="A27" s="219" t="s">
        <v>142</v>
      </c>
      <c r="B27" s="223" t="s">
        <v>341</v>
      </c>
      <c r="C27" s="222">
        <v>3</v>
      </c>
      <c r="D27" s="220">
        <f>IF(STATS!Z7&lt;&gt;"",1,0)</f>
        <v>0</v>
      </c>
      <c r="E27" s="215">
        <f t="shared" si="0"/>
        <v>0</v>
      </c>
    </row>
    <row r="28" spans="1:5" ht="14.25" customHeight="1">
      <c r="A28" s="219" t="s">
        <v>143</v>
      </c>
      <c r="B28" s="217" t="s">
        <v>144</v>
      </c>
      <c r="C28" s="222">
        <v>6</v>
      </c>
      <c r="D28" s="220">
        <f>IF(STATS!AA7&lt;&gt;"",1,0)</f>
        <v>1</v>
      </c>
      <c r="E28" s="215">
        <f t="shared" si="0"/>
        <v>6</v>
      </c>
    </row>
    <row r="29" spans="1:5" ht="14.25" customHeight="1">
      <c r="A29" s="219" t="s">
        <v>145</v>
      </c>
      <c r="B29" s="217" t="s">
        <v>146</v>
      </c>
      <c r="C29" s="222">
        <v>3</v>
      </c>
      <c r="D29" s="220">
        <f>IF(STATS!AC7&lt;&gt;"",1,0)</f>
        <v>1</v>
      </c>
      <c r="E29" s="215">
        <f t="shared" si="0"/>
        <v>3</v>
      </c>
    </row>
    <row r="30" spans="1:5" ht="14.25" customHeight="1">
      <c r="A30" s="216" t="s">
        <v>147</v>
      </c>
      <c r="B30" s="217" t="s">
        <v>148</v>
      </c>
      <c r="C30" s="218">
        <v>7</v>
      </c>
      <c r="D30" s="220">
        <f>IF(STATS!AD7&lt;&gt;"",1,0)</f>
        <v>0</v>
      </c>
      <c r="E30" s="215">
        <f t="shared" si="0"/>
        <v>0</v>
      </c>
    </row>
    <row r="31" spans="1:5" ht="14.25" customHeight="1">
      <c r="A31" s="219" t="s">
        <v>149</v>
      </c>
      <c r="B31" s="217" t="s">
        <v>150</v>
      </c>
      <c r="C31" s="222">
        <v>7</v>
      </c>
      <c r="D31" s="220">
        <f>IF(STATS!AE7&lt;&gt;"",1,0)</f>
        <v>0</v>
      </c>
      <c r="E31" s="215">
        <f t="shared" si="0"/>
        <v>0</v>
      </c>
    </row>
    <row r="32" spans="1:5" ht="14.25" customHeight="1">
      <c r="A32" s="219" t="s">
        <v>151</v>
      </c>
      <c r="B32" s="217" t="s">
        <v>152</v>
      </c>
      <c r="C32" s="222">
        <v>9</v>
      </c>
      <c r="D32" s="220">
        <f>IF(STATS!AF7&lt;&gt;"",1,0)</f>
        <v>0</v>
      </c>
      <c r="E32" s="215">
        <f t="shared" si="0"/>
        <v>0</v>
      </c>
    </row>
    <row r="33" spans="1:5" ht="14.25" customHeight="1">
      <c r="A33" s="216" t="s">
        <v>153</v>
      </c>
      <c r="B33" s="217" t="s">
        <v>154</v>
      </c>
      <c r="C33" s="218">
        <v>8</v>
      </c>
      <c r="D33" s="220">
        <f>IF(STATS!AG7&lt;&gt;"",1,0)</f>
        <v>0</v>
      </c>
      <c r="E33" s="215">
        <f t="shared" si="0"/>
        <v>0</v>
      </c>
    </row>
    <row r="34" spans="1:5" ht="14.25" customHeight="1">
      <c r="A34" s="219" t="s">
        <v>155</v>
      </c>
      <c r="B34" s="217" t="s">
        <v>360</v>
      </c>
      <c r="C34" s="222">
        <v>10</v>
      </c>
      <c r="D34" s="220">
        <f>IF(STATS!AH7&lt;&gt;"",1,0)</f>
        <v>0</v>
      </c>
      <c r="E34" s="215">
        <f t="shared" si="0"/>
        <v>0</v>
      </c>
    </row>
    <row r="35" spans="1:5" ht="14.25" customHeight="1">
      <c r="A35" s="219" t="s">
        <v>156</v>
      </c>
      <c r="B35" s="217" t="s">
        <v>157</v>
      </c>
      <c r="C35" s="222">
        <v>6</v>
      </c>
      <c r="D35" s="220">
        <f>IF(STATS!AI7&lt;&gt;"",1,0)</f>
        <v>1</v>
      </c>
      <c r="E35" s="215">
        <f t="shared" si="0"/>
        <v>6</v>
      </c>
    </row>
    <row r="36" spans="1:5" ht="14.25" customHeight="1">
      <c r="A36" s="219" t="s">
        <v>158</v>
      </c>
      <c r="B36" s="217" t="s">
        <v>159</v>
      </c>
      <c r="C36" s="222">
        <v>8</v>
      </c>
      <c r="D36" s="220">
        <f>IF(STATS!AL7&lt;&gt;"",1,0)</f>
        <v>0</v>
      </c>
      <c r="E36" s="215">
        <f t="shared" si="0"/>
        <v>0</v>
      </c>
    </row>
    <row r="37" spans="1:5" ht="14.25" customHeight="1">
      <c r="A37" s="219" t="s">
        <v>160</v>
      </c>
      <c r="B37" s="217" t="s">
        <v>361</v>
      </c>
      <c r="C37" s="222">
        <v>8</v>
      </c>
      <c r="D37" s="220">
        <f>IF(STATS!AM7&lt;&gt;"",1,0)</f>
        <v>0</v>
      </c>
      <c r="E37" s="215">
        <f t="shared" si="0"/>
        <v>0</v>
      </c>
    </row>
    <row r="38" spans="1:5" ht="14.25" customHeight="1">
      <c r="A38" s="219" t="s">
        <v>649</v>
      </c>
      <c r="B38" s="217" t="s">
        <v>377</v>
      </c>
      <c r="C38" s="222">
        <v>8</v>
      </c>
      <c r="D38" s="220">
        <f>IF(STATS!AN7&lt;&gt;"",1,0)</f>
        <v>0</v>
      </c>
      <c r="E38" s="215">
        <f t="shared" si="0"/>
        <v>0</v>
      </c>
    </row>
    <row r="39" spans="1:5" ht="14.25" customHeight="1">
      <c r="A39" s="219" t="s">
        <v>320</v>
      </c>
      <c r="B39" s="217" t="s">
        <v>161</v>
      </c>
      <c r="C39" s="222">
        <v>8</v>
      </c>
      <c r="D39" s="220">
        <f>IF(STATS!AO7&lt;&gt;"",1,0)</f>
        <v>0</v>
      </c>
      <c r="E39" s="215">
        <f t="shared" si="0"/>
        <v>0</v>
      </c>
    </row>
    <row r="40" spans="1:5" ht="14.25" customHeight="1">
      <c r="A40" s="219" t="s">
        <v>162</v>
      </c>
      <c r="B40" s="223" t="s">
        <v>163</v>
      </c>
      <c r="C40" s="222">
        <v>4</v>
      </c>
      <c r="D40" s="220">
        <f>IF(STATS!AP7&lt;&gt;"",1,0)</f>
        <v>0</v>
      </c>
      <c r="E40" s="215">
        <f t="shared" si="0"/>
        <v>0</v>
      </c>
    </row>
    <row r="41" spans="1:5" ht="14.25" customHeight="1">
      <c r="A41" s="216" t="s">
        <v>164</v>
      </c>
      <c r="B41" s="217" t="s">
        <v>165</v>
      </c>
      <c r="C41" s="218">
        <v>4</v>
      </c>
      <c r="D41" s="220">
        <f>IF(STATS!AQ7&lt;&gt;"",1,0)</f>
        <v>0</v>
      </c>
      <c r="E41" s="215">
        <f t="shared" si="0"/>
        <v>0</v>
      </c>
    </row>
    <row r="42" spans="1:5" ht="14.25" customHeight="1">
      <c r="A42" s="216" t="s">
        <v>166</v>
      </c>
      <c r="B42" s="225" t="s">
        <v>167</v>
      </c>
      <c r="C42" s="218">
        <v>10</v>
      </c>
      <c r="D42" s="220">
        <f>IF(STATS!AR7&lt;&gt;"",1,0)</f>
        <v>0</v>
      </c>
      <c r="E42" s="215">
        <f t="shared" si="0"/>
        <v>0</v>
      </c>
    </row>
    <row r="43" spans="1:5" ht="14.25" customHeight="1">
      <c r="A43" s="216" t="s">
        <v>168</v>
      </c>
      <c r="B43" s="217" t="s">
        <v>344</v>
      </c>
      <c r="C43" s="218">
        <v>6</v>
      </c>
      <c r="D43" s="220">
        <f>IF(STATS!AS7&lt;&gt;"",1,0)</f>
        <v>0</v>
      </c>
      <c r="E43" s="215">
        <f aca="true" t="shared" si="1" ref="E43:E74">C43*D43</f>
        <v>0</v>
      </c>
    </row>
    <row r="44" spans="1:5" ht="14.25" customHeight="1">
      <c r="A44" s="216" t="s">
        <v>362</v>
      </c>
      <c r="B44" s="217" t="s">
        <v>169</v>
      </c>
      <c r="C44" s="218">
        <v>10</v>
      </c>
      <c r="D44" s="220">
        <f>IF(STATS!AT7&lt;&gt;"",1,0)</f>
        <v>0</v>
      </c>
      <c r="E44" s="215">
        <f t="shared" si="1"/>
        <v>0</v>
      </c>
    </row>
    <row r="45" spans="1:5" ht="14.25" customHeight="1">
      <c r="A45" s="219" t="s">
        <v>170</v>
      </c>
      <c r="B45" s="217" t="s">
        <v>171</v>
      </c>
      <c r="C45" s="222">
        <v>10</v>
      </c>
      <c r="D45" s="220">
        <f>IF(STATS!AU7&lt;&gt;"",1,0)</f>
        <v>0</v>
      </c>
      <c r="E45" s="215">
        <f t="shared" si="1"/>
        <v>0</v>
      </c>
    </row>
    <row r="46" spans="1:5" ht="14.25" customHeight="1">
      <c r="A46" s="219" t="s">
        <v>172</v>
      </c>
      <c r="B46" s="225" t="s">
        <v>345</v>
      </c>
      <c r="C46" s="222">
        <v>4</v>
      </c>
      <c r="D46" s="220">
        <f>IF(STATS!AV7&lt;&gt;"",1,0)</f>
        <v>0</v>
      </c>
      <c r="E46" s="215">
        <f t="shared" si="1"/>
        <v>0</v>
      </c>
    </row>
    <row r="47" spans="1:5" ht="14.25" customHeight="1">
      <c r="A47" s="216" t="s">
        <v>174</v>
      </c>
      <c r="B47" s="217" t="s">
        <v>175</v>
      </c>
      <c r="C47" s="218">
        <v>10</v>
      </c>
      <c r="D47" s="220">
        <f>IF(STATS!AX7&lt;&gt;"",1,0)</f>
        <v>0</v>
      </c>
      <c r="E47" s="215">
        <f t="shared" si="1"/>
        <v>0</v>
      </c>
    </row>
    <row r="48" spans="1:5" ht="14.25" customHeight="1">
      <c r="A48" s="219" t="s">
        <v>176</v>
      </c>
      <c r="B48" s="217" t="s">
        <v>177</v>
      </c>
      <c r="C48" s="222">
        <v>8</v>
      </c>
      <c r="D48" s="220">
        <f>IF(STATS!AY7&lt;&gt;"",1,0)</f>
        <v>0</v>
      </c>
      <c r="E48" s="215">
        <f t="shared" si="1"/>
        <v>0</v>
      </c>
    </row>
    <row r="49" spans="1:5" ht="14.25" customHeight="1">
      <c r="A49" s="216" t="s">
        <v>178</v>
      </c>
      <c r="B49" s="217" t="s">
        <v>179</v>
      </c>
      <c r="C49" s="218">
        <v>7</v>
      </c>
      <c r="D49" s="220">
        <f>IF(STATS!AZ7&lt;&gt;"",1,0)</f>
        <v>0</v>
      </c>
      <c r="E49" s="215">
        <f t="shared" si="1"/>
        <v>0</v>
      </c>
    </row>
    <row r="50" spans="1:5" ht="14.25" customHeight="1">
      <c r="A50" s="216" t="s">
        <v>330</v>
      </c>
      <c r="B50" s="217" t="s">
        <v>180</v>
      </c>
      <c r="C50" s="218">
        <v>6</v>
      </c>
      <c r="D50" s="220">
        <f>IF(STATS!BA7&lt;&gt;"",1,0)</f>
        <v>1</v>
      </c>
      <c r="E50" s="215">
        <f t="shared" si="1"/>
        <v>6</v>
      </c>
    </row>
    <row r="51" spans="1:5" ht="14.25" customHeight="1">
      <c r="A51" s="219" t="s">
        <v>181</v>
      </c>
      <c r="B51" s="217" t="s">
        <v>182</v>
      </c>
      <c r="C51" s="222">
        <v>10</v>
      </c>
      <c r="D51" s="220">
        <f>IF(STATS!BB7&lt;&gt;"",1,0)</f>
        <v>0</v>
      </c>
      <c r="E51" s="215">
        <f t="shared" si="1"/>
        <v>0</v>
      </c>
    </row>
    <row r="52" spans="1:5" ht="14.25" customHeight="1">
      <c r="A52" s="219" t="s">
        <v>183</v>
      </c>
      <c r="B52" s="217" t="s">
        <v>184</v>
      </c>
      <c r="C52" s="222">
        <v>8</v>
      </c>
      <c r="D52" s="220">
        <f>IF(STATS!BC7&lt;&gt;"",1,0)</f>
        <v>1</v>
      </c>
      <c r="E52" s="215">
        <f t="shared" si="1"/>
        <v>8</v>
      </c>
    </row>
    <row r="53" spans="1:5" ht="14.25" customHeight="1">
      <c r="A53" s="219" t="s">
        <v>185</v>
      </c>
      <c r="B53" s="217" t="s">
        <v>365</v>
      </c>
      <c r="C53" s="222">
        <v>6</v>
      </c>
      <c r="D53" s="220">
        <f>IF(STATS!BD7&lt;&gt;"",1,0)</f>
        <v>1</v>
      </c>
      <c r="E53" s="215">
        <f t="shared" si="1"/>
        <v>6</v>
      </c>
    </row>
    <row r="54" spans="1:5" ht="14.25" customHeight="1">
      <c r="A54" s="219" t="s">
        <v>186</v>
      </c>
      <c r="B54" s="223" t="s">
        <v>364</v>
      </c>
      <c r="C54" s="222">
        <v>7</v>
      </c>
      <c r="D54" s="220">
        <f>IF(STATS!BE7&lt;&gt;"",1,0)</f>
        <v>0</v>
      </c>
      <c r="E54" s="215">
        <f t="shared" si="1"/>
        <v>0</v>
      </c>
    </row>
    <row r="55" spans="1:5" ht="14.25" customHeight="1">
      <c r="A55" s="219" t="s">
        <v>187</v>
      </c>
      <c r="B55" s="223" t="s">
        <v>363</v>
      </c>
      <c r="C55" s="222">
        <v>8</v>
      </c>
      <c r="D55" s="220">
        <f>IF(STATS!BF7&lt;&gt;"",1,0)</f>
        <v>0</v>
      </c>
      <c r="E55" s="215">
        <f t="shared" si="1"/>
        <v>0</v>
      </c>
    </row>
    <row r="56" spans="1:5" ht="14.25" customHeight="1">
      <c r="A56" s="216" t="s">
        <v>188</v>
      </c>
      <c r="B56" s="225" t="s">
        <v>346</v>
      </c>
      <c r="C56" s="218">
        <v>7</v>
      </c>
      <c r="D56" s="220">
        <f>IF(STATS!BH7&lt;&gt;"",1,0)</f>
        <v>0</v>
      </c>
      <c r="E56" s="215">
        <f t="shared" si="1"/>
        <v>0</v>
      </c>
    </row>
    <row r="57" spans="1:5" ht="14.25" customHeight="1">
      <c r="A57" s="219" t="s">
        <v>655</v>
      </c>
      <c r="B57" s="217" t="s">
        <v>189</v>
      </c>
      <c r="C57" s="222">
        <v>7</v>
      </c>
      <c r="D57" s="220">
        <f>IF(STATS!BI7&lt;&gt;"",1,0)</f>
        <v>1</v>
      </c>
      <c r="E57" s="215">
        <f t="shared" si="1"/>
        <v>7</v>
      </c>
    </row>
    <row r="58" spans="1:5" ht="14.25" customHeight="1">
      <c r="A58" s="216" t="s">
        <v>190</v>
      </c>
      <c r="B58" s="217" t="s">
        <v>191</v>
      </c>
      <c r="C58" s="218">
        <v>8</v>
      </c>
      <c r="D58" s="220">
        <f>IF(STATS!BJ7&lt;&gt;"",1,0)</f>
        <v>0</v>
      </c>
      <c r="E58" s="215">
        <f t="shared" si="1"/>
        <v>0</v>
      </c>
    </row>
    <row r="59" spans="1:5" ht="14.25" customHeight="1">
      <c r="A59" s="219" t="s">
        <v>192</v>
      </c>
      <c r="B59" s="217" t="s">
        <v>193</v>
      </c>
      <c r="C59" s="222">
        <v>9</v>
      </c>
      <c r="D59" s="220">
        <f>IF(STATS!BK7&lt;&gt;"",1,0)</f>
        <v>0</v>
      </c>
      <c r="E59" s="215">
        <f t="shared" si="1"/>
        <v>0</v>
      </c>
    </row>
    <row r="60" spans="1:5" ht="14.25" customHeight="1">
      <c r="A60" s="219" t="s">
        <v>650</v>
      </c>
      <c r="B60" s="217" t="s">
        <v>194</v>
      </c>
      <c r="C60" s="222">
        <v>9</v>
      </c>
      <c r="D60" s="220">
        <f>IF(STATS!BL7&lt;&gt;"",1,0)</f>
        <v>0</v>
      </c>
      <c r="E60" s="215">
        <f t="shared" si="1"/>
        <v>0</v>
      </c>
    </row>
    <row r="61" spans="1:5" ht="14.25" customHeight="1">
      <c r="A61" s="219" t="s">
        <v>195</v>
      </c>
      <c r="B61" s="217" t="s">
        <v>196</v>
      </c>
      <c r="C61" s="222">
        <v>6</v>
      </c>
      <c r="D61" s="220">
        <f>IF(STATS!BM7&lt;&gt;"",1,0)</f>
        <v>1</v>
      </c>
      <c r="E61" s="215">
        <f t="shared" si="1"/>
        <v>6</v>
      </c>
    </row>
    <row r="62" spans="1:5" ht="14.25" customHeight="1">
      <c r="A62" s="219" t="s">
        <v>197</v>
      </c>
      <c r="B62" s="217" t="s">
        <v>198</v>
      </c>
      <c r="C62" s="222">
        <v>6</v>
      </c>
      <c r="D62" s="220">
        <f>IF(STATS!BN7&lt;&gt;"",1,0)</f>
        <v>1</v>
      </c>
      <c r="E62" s="215">
        <f t="shared" si="1"/>
        <v>6</v>
      </c>
    </row>
    <row r="63" spans="1:5" ht="14.25" customHeight="1">
      <c r="A63" s="216" t="s">
        <v>199</v>
      </c>
      <c r="B63" s="217" t="s">
        <v>200</v>
      </c>
      <c r="C63" s="218">
        <v>1</v>
      </c>
      <c r="D63" s="220">
        <f>IF(STATS!BP7&lt;&gt;"",1,0)</f>
        <v>0</v>
      </c>
      <c r="E63" s="215">
        <f t="shared" si="1"/>
        <v>0</v>
      </c>
    </row>
    <row r="64" spans="1:5" ht="14.25" customHeight="1">
      <c r="A64" s="219" t="s">
        <v>201</v>
      </c>
      <c r="B64" s="217" t="s">
        <v>202</v>
      </c>
      <c r="C64" s="222">
        <v>5</v>
      </c>
      <c r="D64" s="220">
        <f>IF(STATS!BQ7&lt;&gt;"",1,0)</f>
        <v>0</v>
      </c>
      <c r="E64" s="215">
        <f t="shared" si="1"/>
        <v>0</v>
      </c>
    </row>
    <row r="65" spans="1:5" ht="14.25" customHeight="1">
      <c r="A65" s="219" t="s">
        <v>203</v>
      </c>
      <c r="B65" s="223" t="s">
        <v>204</v>
      </c>
      <c r="C65" s="222">
        <v>5</v>
      </c>
      <c r="D65" s="220">
        <f>IF(STATS!BR7&lt;&gt;"",1,0)</f>
        <v>0</v>
      </c>
      <c r="E65" s="215">
        <f t="shared" si="1"/>
        <v>0</v>
      </c>
    </row>
    <row r="66" spans="1:5" ht="14.25" customHeight="1">
      <c r="A66" s="219" t="s">
        <v>205</v>
      </c>
      <c r="B66" s="217" t="s">
        <v>206</v>
      </c>
      <c r="C66" s="222">
        <v>8</v>
      </c>
      <c r="D66" s="220">
        <f>IF(STATS!BS7&lt;&gt;"",1,0)</f>
        <v>1</v>
      </c>
      <c r="E66" s="215">
        <f t="shared" si="1"/>
        <v>8</v>
      </c>
    </row>
    <row r="67" spans="1:5" ht="14.25" customHeight="1">
      <c r="A67" s="219" t="s">
        <v>207</v>
      </c>
      <c r="B67" s="217" t="s">
        <v>208</v>
      </c>
      <c r="C67" s="222">
        <v>9</v>
      </c>
      <c r="D67" s="220">
        <f>IF(STATS!BT7&lt;&gt;"",1,0)</f>
        <v>0</v>
      </c>
      <c r="E67" s="215">
        <f t="shared" si="1"/>
        <v>0</v>
      </c>
    </row>
    <row r="68" spans="1:5" ht="14.25" customHeight="1">
      <c r="A68" s="219" t="s">
        <v>209</v>
      </c>
      <c r="B68" s="217" t="s">
        <v>210</v>
      </c>
      <c r="C68" s="222">
        <v>7</v>
      </c>
      <c r="D68" s="220">
        <f>IF(STATS!BU7&lt;&gt;"",1,0)</f>
        <v>1</v>
      </c>
      <c r="E68" s="215">
        <f t="shared" si="1"/>
        <v>7</v>
      </c>
    </row>
    <row r="69" spans="1:5" ht="14.25" customHeight="1">
      <c r="A69" s="219" t="s">
        <v>347</v>
      </c>
      <c r="B69" s="217" t="s">
        <v>348</v>
      </c>
      <c r="C69" s="222">
        <v>9</v>
      </c>
      <c r="D69" s="220">
        <f>IF(STATS!BV7&lt;&gt;"",1,0)</f>
        <v>0</v>
      </c>
      <c r="E69" s="215">
        <f t="shared" si="1"/>
        <v>0</v>
      </c>
    </row>
    <row r="70" spans="1:5" ht="14.25" customHeight="1">
      <c r="A70" s="219" t="s">
        <v>211</v>
      </c>
      <c r="B70" s="217" t="s">
        <v>212</v>
      </c>
      <c r="C70" s="222">
        <v>10</v>
      </c>
      <c r="D70" s="220">
        <f>IF(STATS!BW7&lt;&gt;"",1,0)</f>
        <v>0</v>
      </c>
      <c r="E70" s="215">
        <f t="shared" si="1"/>
        <v>0</v>
      </c>
    </row>
    <row r="71" spans="1:5" ht="14.25" customHeight="1">
      <c r="A71" s="216" t="s">
        <v>213</v>
      </c>
      <c r="B71" s="223" t="s">
        <v>349</v>
      </c>
      <c r="C71" s="218">
        <v>8</v>
      </c>
      <c r="D71" s="220">
        <f>IF(STATS!BX7&lt;&gt;"",1,0)</f>
        <v>0</v>
      </c>
      <c r="E71" s="215">
        <f t="shared" si="1"/>
        <v>0</v>
      </c>
    </row>
    <row r="72" spans="1:5" ht="14.25" customHeight="1">
      <c r="A72" s="219" t="s">
        <v>214</v>
      </c>
      <c r="B72" s="217" t="s">
        <v>215</v>
      </c>
      <c r="C72" s="222">
        <v>8</v>
      </c>
      <c r="D72" s="220">
        <f>IF(STATS!BY7&lt;&gt;"",1,0)</f>
        <v>1</v>
      </c>
      <c r="E72" s="215">
        <f t="shared" si="1"/>
        <v>8</v>
      </c>
    </row>
    <row r="73" spans="1:5" ht="14.25" customHeight="1">
      <c r="A73" s="216" t="s">
        <v>216</v>
      </c>
      <c r="B73" s="217" t="s">
        <v>217</v>
      </c>
      <c r="C73" s="218">
        <v>6</v>
      </c>
      <c r="D73" s="220">
        <f>IF(STATS!BZ7&lt;&gt;"",1,0)</f>
        <v>1</v>
      </c>
      <c r="E73" s="215">
        <f t="shared" si="1"/>
        <v>6</v>
      </c>
    </row>
    <row r="74" spans="1:5" ht="14.25" customHeight="1">
      <c r="A74" s="216" t="s">
        <v>218</v>
      </c>
      <c r="B74" s="217" t="s">
        <v>366</v>
      </c>
      <c r="C74" s="218">
        <v>8</v>
      </c>
      <c r="D74" s="220">
        <f>IF(STATS!CA7&lt;&gt;"",1,0)</f>
        <v>1</v>
      </c>
      <c r="E74" s="215">
        <f t="shared" si="1"/>
        <v>8</v>
      </c>
    </row>
    <row r="75" spans="1:5" ht="14.25" customHeight="1">
      <c r="A75" s="219" t="s">
        <v>219</v>
      </c>
      <c r="B75" s="217" t="s">
        <v>342</v>
      </c>
      <c r="C75" s="222">
        <v>7</v>
      </c>
      <c r="D75" s="220">
        <f>IF(STATS!CB7&lt;&gt;"",1,0)</f>
        <v>0</v>
      </c>
      <c r="E75" s="215">
        <f aca="true" t="shared" si="2" ref="E75:E107">C75*D75</f>
        <v>0</v>
      </c>
    </row>
    <row r="76" spans="1:5" ht="14.25" customHeight="1">
      <c r="A76" s="216" t="s">
        <v>220</v>
      </c>
      <c r="B76" s="217" t="s">
        <v>221</v>
      </c>
      <c r="C76" s="218">
        <v>9</v>
      </c>
      <c r="D76" s="220">
        <f>IF(STATS!CC7&lt;&gt;"",1,0)</f>
        <v>0</v>
      </c>
      <c r="E76" s="215">
        <f t="shared" si="2"/>
        <v>0</v>
      </c>
    </row>
    <row r="77" spans="1:5" ht="14.25" customHeight="1">
      <c r="A77" s="216" t="s">
        <v>222</v>
      </c>
      <c r="B77" s="217" t="s">
        <v>223</v>
      </c>
      <c r="C77" s="218">
        <v>6</v>
      </c>
      <c r="D77" s="220">
        <f>IF(STATS!CD7&lt;&gt;"",1,0)</f>
        <v>1</v>
      </c>
      <c r="E77" s="215">
        <f t="shared" si="2"/>
        <v>6</v>
      </c>
    </row>
    <row r="78" spans="1:5" ht="14.25" customHeight="1">
      <c r="A78" s="219" t="s">
        <v>224</v>
      </c>
      <c r="B78" s="217" t="s">
        <v>350</v>
      </c>
      <c r="C78" s="222">
        <v>5</v>
      </c>
      <c r="D78" s="220">
        <f>IF(STATS!CE7&lt;&gt;"",1,0)</f>
        <v>1</v>
      </c>
      <c r="E78" s="215">
        <f t="shared" si="2"/>
        <v>5</v>
      </c>
    </row>
    <row r="79" spans="1:5" ht="14.25" customHeight="1">
      <c r="A79" s="216" t="s">
        <v>225</v>
      </c>
      <c r="B79" s="217" t="s">
        <v>226</v>
      </c>
      <c r="C79" s="218">
        <v>7</v>
      </c>
      <c r="D79" s="220">
        <f>IF(STATS!CF7&lt;&gt;"",1,0)</f>
        <v>0</v>
      </c>
      <c r="E79" s="215">
        <f t="shared" si="2"/>
        <v>0</v>
      </c>
    </row>
    <row r="80" spans="1:5" ht="14.25" customHeight="1">
      <c r="A80" s="219" t="s">
        <v>227</v>
      </c>
      <c r="B80" s="217" t="s">
        <v>367</v>
      </c>
      <c r="C80" s="222">
        <v>10</v>
      </c>
      <c r="D80" s="220">
        <f>IF(STATS!CG7&lt;&gt;"",1,0)</f>
        <v>0</v>
      </c>
      <c r="E80" s="215">
        <f t="shared" si="2"/>
        <v>0</v>
      </c>
    </row>
    <row r="81" spans="1:5" ht="14.25" customHeight="1">
      <c r="A81" s="216" t="s">
        <v>228</v>
      </c>
      <c r="B81" s="217" t="s">
        <v>229</v>
      </c>
      <c r="C81" s="218">
        <v>9</v>
      </c>
      <c r="D81" s="220">
        <f>IF(STATS!CH7&lt;&gt;"",1,0)</f>
        <v>0</v>
      </c>
      <c r="E81" s="215">
        <f t="shared" si="2"/>
        <v>0</v>
      </c>
    </row>
    <row r="82" spans="1:5" ht="14.25" customHeight="1">
      <c r="A82" s="219" t="s">
        <v>319</v>
      </c>
      <c r="B82" s="217" t="s">
        <v>230</v>
      </c>
      <c r="C82" s="222">
        <v>8</v>
      </c>
      <c r="D82" s="220">
        <f>IF(STATS!CI7&lt;&gt;"",1,0)</f>
        <v>1</v>
      </c>
      <c r="E82" s="215">
        <f t="shared" si="2"/>
        <v>8</v>
      </c>
    </row>
    <row r="83" spans="1:5" ht="14.25" customHeight="1">
      <c r="A83" s="216" t="s">
        <v>231</v>
      </c>
      <c r="B83" s="217" t="s">
        <v>232</v>
      </c>
      <c r="C83" s="218">
        <v>10</v>
      </c>
      <c r="D83" s="220">
        <f>IF(STATS!CJ7&lt;&gt;"",1,0)</f>
        <v>0</v>
      </c>
      <c r="E83" s="215">
        <f t="shared" si="2"/>
        <v>0</v>
      </c>
    </row>
    <row r="84" spans="1:5" ht="14.25" customHeight="1">
      <c r="A84" s="219" t="s">
        <v>233</v>
      </c>
      <c r="B84" s="217" t="s">
        <v>234</v>
      </c>
      <c r="C84" s="222">
        <v>7</v>
      </c>
      <c r="D84" s="220">
        <f>IF(STATS!CK7&lt;&gt;"",1,0)</f>
        <v>1</v>
      </c>
      <c r="E84" s="215">
        <f t="shared" si="2"/>
        <v>7</v>
      </c>
    </row>
    <row r="85" spans="1:5" ht="14.25" customHeight="1">
      <c r="A85" s="219" t="s">
        <v>235</v>
      </c>
      <c r="B85" s="217" t="s">
        <v>236</v>
      </c>
      <c r="C85" s="222">
        <v>5</v>
      </c>
      <c r="D85" s="220">
        <f>IF(STATS!CL7&lt;&gt;"",1,0)</f>
        <v>1</v>
      </c>
      <c r="E85" s="215">
        <f t="shared" si="2"/>
        <v>5</v>
      </c>
    </row>
    <row r="86" spans="1:5" ht="14.25" customHeight="1">
      <c r="A86" s="219" t="s">
        <v>237</v>
      </c>
      <c r="B86" s="217" t="s">
        <v>368</v>
      </c>
      <c r="C86" s="222">
        <v>8</v>
      </c>
      <c r="D86" s="220">
        <f>IF(STATS!CM7&lt;&gt;"",1,0)</f>
        <v>1</v>
      </c>
      <c r="E86" s="215">
        <f t="shared" si="2"/>
        <v>8</v>
      </c>
    </row>
    <row r="87" spans="1:5" ht="14.25" customHeight="1">
      <c r="A87" s="219" t="s">
        <v>238</v>
      </c>
      <c r="B87" s="217" t="s">
        <v>239</v>
      </c>
      <c r="C87" s="222">
        <v>8</v>
      </c>
      <c r="D87" s="220">
        <f>IF(STATS!CN7&lt;&gt;"",1,0)</f>
        <v>0</v>
      </c>
      <c r="E87" s="215">
        <f t="shared" si="2"/>
        <v>0</v>
      </c>
    </row>
    <row r="88" spans="1:5" ht="14.25" customHeight="1">
      <c r="A88" s="216" t="s">
        <v>240</v>
      </c>
      <c r="B88" s="217" t="s">
        <v>241</v>
      </c>
      <c r="C88" s="218">
        <v>8</v>
      </c>
      <c r="D88" s="220">
        <f>IF(STATS!CO7&lt;&gt;"",1,0)</f>
        <v>0</v>
      </c>
      <c r="E88" s="215">
        <f t="shared" si="2"/>
        <v>0</v>
      </c>
    </row>
    <row r="89" spans="1:5" ht="14.25" customHeight="1">
      <c r="A89" s="216" t="s">
        <v>242</v>
      </c>
      <c r="B89" s="217" t="s">
        <v>243</v>
      </c>
      <c r="C89" s="218">
        <v>10</v>
      </c>
      <c r="D89" s="220">
        <f>IF(STATS!CP7&lt;&gt;"",1,0)</f>
        <v>0</v>
      </c>
      <c r="E89" s="215">
        <f t="shared" si="2"/>
        <v>0</v>
      </c>
    </row>
    <row r="90" spans="1:5" ht="14.25" customHeight="1">
      <c r="A90" s="219" t="s">
        <v>244</v>
      </c>
      <c r="B90" s="217" t="s">
        <v>245</v>
      </c>
      <c r="C90" s="222">
        <v>6</v>
      </c>
      <c r="D90" s="220">
        <f>IF(STATS!CQ7&lt;&gt;"",1,0)</f>
        <v>1</v>
      </c>
      <c r="E90" s="215">
        <f t="shared" si="2"/>
        <v>6</v>
      </c>
    </row>
    <row r="91" spans="1:5" ht="14.25" customHeight="1">
      <c r="A91" s="219" t="s">
        <v>246</v>
      </c>
      <c r="B91" s="217" t="s">
        <v>369</v>
      </c>
      <c r="C91" s="222">
        <v>8</v>
      </c>
      <c r="D91" s="220">
        <f>IF(STATS!CR7&lt;&gt;"",1,0)</f>
        <v>0</v>
      </c>
      <c r="E91" s="215">
        <f t="shared" si="2"/>
        <v>0</v>
      </c>
    </row>
    <row r="92" spans="1:5" ht="14.25" customHeight="1">
      <c r="A92" s="219" t="s">
        <v>247</v>
      </c>
      <c r="B92" s="223" t="s">
        <v>370</v>
      </c>
      <c r="C92" s="222">
        <v>8</v>
      </c>
      <c r="D92" s="220">
        <f>IF(STATS!CS7&lt;&gt;"",1,0)</f>
        <v>0</v>
      </c>
      <c r="E92" s="215">
        <f t="shared" si="2"/>
        <v>0</v>
      </c>
    </row>
    <row r="93" spans="1:5" ht="14.25" customHeight="1">
      <c r="A93" s="219" t="s">
        <v>248</v>
      </c>
      <c r="B93" s="217" t="s">
        <v>249</v>
      </c>
      <c r="C93" s="222">
        <v>9</v>
      </c>
      <c r="D93" s="220">
        <f>IF(STATS!CT7&lt;&gt;"",1,0)</f>
        <v>0</v>
      </c>
      <c r="E93" s="215">
        <f t="shared" si="2"/>
        <v>0</v>
      </c>
    </row>
    <row r="94" spans="1:5" ht="14.25" customHeight="1">
      <c r="A94" s="216" t="s">
        <v>250</v>
      </c>
      <c r="B94" s="217" t="s">
        <v>251</v>
      </c>
      <c r="C94" s="218">
        <v>7</v>
      </c>
      <c r="D94" s="220">
        <f>IF(STATS!EO7&lt;&gt;"",1,0)</f>
        <v>0</v>
      </c>
      <c r="E94" s="215">
        <f t="shared" si="2"/>
        <v>0</v>
      </c>
    </row>
    <row r="95" spans="1:5" ht="14.25" customHeight="1">
      <c r="A95" s="216" t="s">
        <v>316</v>
      </c>
      <c r="B95" s="217" t="s">
        <v>252</v>
      </c>
      <c r="C95" s="218">
        <v>8</v>
      </c>
      <c r="D95" s="220">
        <f>IF(STATS!CU7&lt;&gt;"",1,0)</f>
        <v>0</v>
      </c>
      <c r="E95" s="215">
        <f t="shared" si="2"/>
        <v>0</v>
      </c>
    </row>
    <row r="96" spans="1:5" ht="14.25" customHeight="1">
      <c r="A96" s="216" t="s">
        <v>371</v>
      </c>
      <c r="B96" s="217" t="s">
        <v>255</v>
      </c>
      <c r="C96" s="218">
        <v>9</v>
      </c>
      <c r="D96" s="220">
        <f>IF(STATS!CV7&lt;&gt;"",1,0)</f>
        <v>0</v>
      </c>
      <c r="E96" s="215">
        <f t="shared" si="2"/>
        <v>0</v>
      </c>
    </row>
    <row r="97" spans="1:5" ht="14.25" customHeight="1">
      <c r="A97" s="216" t="s">
        <v>550</v>
      </c>
      <c r="B97" s="217" t="s">
        <v>551</v>
      </c>
      <c r="C97" s="218">
        <v>9</v>
      </c>
      <c r="D97" s="220">
        <f>IF(STATS!CW14&lt;&gt;"",1,0)</f>
        <v>0</v>
      </c>
      <c r="E97" s="215">
        <f t="shared" si="2"/>
        <v>0</v>
      </c>
    </row>
    <row r="98" spans="1:5" ht="14.25" customHeight="1">
      <c r="A98" s="216" t="s">
        <v>254</v>
      </c>
      <c r="B98" s="217" t="s">
        <v>253</v>
      </c>
      <c r="C98" s="218">
        <v>7</v>
      </c>
      <c r="D98" s="220">
        <f>IF(STATS!CX7&lt;&gt;"",1,0)</f>
        <v>0</v>
      </c>
      <c r="E98" s="215">
        <f t="shared" si="2"/>
        <v>0</v>
      </c>
    </row>
    <row r="99" spans="1:5" ht="14.25" customHeight="1">
      <c r="A99" s="219" t="s">
        <v>256</v>
      </c>
      <c r="B99" s="217" t="s">
        <v>353</v>
      </c>
      <c r="C99" s="222">
        <v>9</v>
      </c>
      <c r="D99" s="220">
        <f>IF(STATS!CY7&lt;&gt;"",1,0)</f>
        <v>0</v>
      </c>
      <c r="E99" s="215">
        <f t="shared" si="2"/>
        <v>0</v>
      </c>
    </row>
    <row r="100" spans="1:5" ht="14.25" customHeight="1">
      <c r="A100" s="219" t="s">
        <v>257</v>
      </c>
      <c r="B100" s="217" t="s">
        <v>258</v>
      </c>
      <c r="C100" s="222">
        <v>3</v>
      </c>
      <c r="D100" s="220">
        <f>IF(STATS!CZ7&lt;&gt;"",1,0)</f>
        <v>0</v>
      </c>
      <c r="E100" s="215">
        <f t="shared" si="2"/>
        <v>0</v>
      </c>
    </row>
    <row r="101" spans="1:5" ht="14.25" customHeight="1">
      <c r="A101" s="219" t="s">
        <v>259</v>
      </c>
      <c r="B101" s="217" t="s">
        <v>354</v>
      </c>
      <c r="C101" s="222">
        <v>8</v>
      </c>
      <c r="D101" s="220">
        <f>IF(STATS!DA7&lt;&gt;"",1,0)</f>
        <v>0</v>
      </c>
      <c r="E101" s="215">
        <f t="shared" si="2"/>
        <v>0</v>
      </c>
    </row>
    <row r="102" spans="1:5" ht="14.25" customHeight="1">
      <c r="A102" s="216" t="s">
        <v>260</v>
      </c>
      <c r="B102" s="217" t="s">
        <v>261</v>
      </c>
      <c r="C102" s="218">
        <v>6</v>
      </c>
      <c r="D102" s="220">
        <f>IF(STATS!DC7&lt;&gt;"",1,0)</f>
        <v>1</v>
      </c>
      <c r="E102" s="215">
        <f t="shared" si="2"/>
        <v>6</v>
      </c>
    </row>
    <row r="103" spans="1:5" ht="14.25" customHeight="1">
      <c r="A103" s="216" t="s">
        <v>262</v>
      </c>
      <c r="B103" s="223" t="s">
        <v>263</v>
      </c>
      <c r="C103" s="218">
        <v>10</v>
      </c>
      <c r="D103" s="220">
        <f>IF(STATS!DD7&lt;&gt;"",1,0)</f>
        <v>0</v>
      </c>
      <c r="E103" s="215">
        <f t="shared" si="2"/>
        <v>0</v>
      </c>
    </row>
    <row r="104" spans="1:5" ht="14.25" customHeight="1">
      <c r="A104" s="216" t="s">
        <v>264</v>
      </c>
      <c r="B104" s="217" t="s">
        <v>374</v>
      </c>
      <c r="C104" s="218">
        <v>5</v>
      </c>
      <c r="D104" s="220">
        <f>IF(STATS!DE7&lt;&gt;"",1,0)</f>
        <v>0</v>
      </c>
      <c r="E104" s="215">
        <f t="shared" si="2"/>
        <v>0</v>
      </c>
    </row>
    <row r="105" spans="1:5" ht="14.25" customHeight="1">
      <c r="A105" s="219" t="s">
        <v>265</v>
      </c>
      <c r="B105" s="217" t="s">
        <v>266</v>
      </c>
      <c r="C105" s="222">
        <v>9</v>
      </c>
      <c r="D105" s="220">
        <f>IF(STATS!DF7&lt;&gt;"",1,0)</f>
        <v>0</v>
      </c>
      <c r="E105" s="215">
        <f t="shared" si="2"/>
        <v>0</v>
      </c>
    </row>
    <row r="106" spans="1:5" ht="14.25" customHeight="1">
      <c r="A106" s="219" t="s">
        <v>267</v>
      </c>
      <c r="B106" s="217" t="s">
        <v>268</v>
      </c>
      <c r="C106" s="222">
        <v>4</v>
      </c>
      <c r="D106" s="220">
        <f>IF(STATS!DG7&lt;&gt;"",1,0)</f>
        <v>0</v>
      </c>
      <c r="E106" s="215">
        <f t="shared" si="2"/>
        <v>0</v>
      </c>
    </row>
    <row r="107" spans="1:5" ht="14.25" customHeight="1">
      <c r="A107" s="219" t="s">
        <v>269</v>
      </c>
      <c r="B107" s="225" t="s">
        <v>270</v>
      </c>
      <c r="C107" s="222">
        <v>8</v>
      </c>
      <c r="D107" s="220">
        <f>IF(STATS!DH7&lt;&gt;"",1,0)</f>
        <v>0</v>
      </c>
      <c r="E107" s="215">
        <f t="shared" si="2"/>
        <v>0</v>
      </c>
    </row>
    <row r="108" spans="1:5" ht="14.25" customHeight="1">
      <c r="A108" s="216" t="s">
        <v>271</v>
      </c>
      <c r="B108" s="225" t="s">
        <v>272</v>
      </c>
      <c r="C108" s="218">
        <v>8</v>
      </c>
      <c r="D108" s="220">
        <f>IF(STATS!DI7&lt;&gt;"",1,0)</f>
        <v>0</v>
      </c>
      <c r="E108" s="215">
        <f aca="true" t="shared" si="3" ref="E108:E135">C108*D108</f>
        <v>0</v>
      </c>
    </row>
    <row r="109" spans="1:5" ht="14.25" customHeight="1">
      <c r="A109" s="219" t="s">
        <v>273</v>
      </c>
      <c r="B109" s="226" t="s">
        <v>274</v>
      </c>
      <c r="C109" s="222">
        <v>9</v>
      </c>
      <c r="D109" s="220">
        <f>IF(STATS!DJ7&lt;&gt;"",1,0)</f>
        <v>0</v>
      </c>
      <c r="E109" s="215">
        <f t="shared" si="3"/>
        <v>0</v>
      </c>
    </row>
    <row r="110" spans="1:5" ht="14.25" customHeight="1">
      <c r="A110" s="216" t="s">
        <v>275</v>
      </c>
      <c r="B110" s="225" t="s">
        <v>276</v>
      </c>
      <c r="C110" s="218">
        <v>8</v>
      </c>
      <c r="D110" s="220">
        <f>IF(STATS!DK7&lt;&gt;"",1,0)</f>
        <v>1</v>
      </c>
      <c r="E110" s="215">
        <f t="shared" si="3"/>
        <v>8</v>
      </c>
    </row>
    <row r="111" spans="1:5" ht="14.25" customHeight="1">
      <c r="A111" s="216" t="s">
        <v>277</v>
      </c>
      <c r="B111" s="217" t="s">
        <v>278</v>
      </c>
      <c r="C111" s="218">
        <v>5</v>
      </c>
      <c r="D111" s="220">
        <f>IF(STATS!DL7&lt;&gt;"",1,0)</f>
        <v>0</v>
      </c>
      <c r="E111" s="215">
        <f t="shared" si="3"/>
        <v>0</v>
      </c>
    </row>
    <row r="112" spans="1:5" ht="14.25" customHeight="1">
      <c r="A112" s="219" t="s">
        <v>279</v>
      </c>
      <c r="B112" s="224" t="s">
        <v>373</v>
      </c>
      <c r="C112" s="222">
        <v>10</v>
      </c>
      <c r="D112" s="220">
        <f>IF(STATS!DM7&lt;&gt;"",1,0)</f>
        <v>0</v>
      </c>
      <c r="E112" s="215">
        <f t="shared" si="3"/>
        <v>0</v>
      </c>
    </row>
    <row r="113" spans="1:5" s="230" customFormat="1" ht="14.25" customHeight="1">
      <c r="A113" s="227" t="s">
        <v>280</v>
      </c>
      <c r="B113" s="228" t="s">
        <v>281</v>
      </c>
      <c r="C113" s="229">
        <v>9</v>
      </c>
      <c r="D113" s="220">
        <f>IF(STATS!DN7&lt;&gt;"",1,0)</f>
        <v>0</v>
      </c>
      <c r="E113" s="215">
        <f t="shared" si="3"/>
        <v>0</v>
      </c>
    </row>
    <row r="114" spans="1:5" ht="14.25" customHeight="1">
      <c r="A114" s="219" t="s">
        <v>282</v>
      </c>
      <c r="B114" s="217" t="s">
        <v>352</v>
      </c>
      <c r="C114" s="222">
        <v>5</v>
      </c>
      <c r="D114" s="220">
        <f>IF(STATS!DP7&lt;&gt;"",1,0)</f>
        <v>0</v>
      </c>
      <c r="E114" s="215">
        <f t="shared" si="3"/>
        <v>0</v>
      </c>
    </row>
    <row r="115" spans="1:5" ht="14.25" customHeight="1">
      <c r="A115" s="216" t="s">
        <v>283</v>
      </c>
      <c r="B115" s="217" t="s">
        <v>351</v>
      </c>
      <c r="C115" s="218">
        <v>8</v>
      </c>
      <c r="D115" s="220">
        <f>IF(STATS!DQ7&lt;&gt;"",1,0)</f>
        <v>0</v>
      </c>
      <c r="E115" s="215">
        <f t="shared" si="3"/>
        <v>0</v>
      </c>
    </row>
    <row r="116" spans="1:5" ht="14.25" customHeight="1">
      <c r="A116" s="219" t="s">
        <v>284</v>
      </c>
      <c r="B116" s="217" t="s">
        <v>318</v>
      </c>
      <c r="C116" s="222">
        <v>3</v>
      </c>
      <c r="D116" s="220">
        <f>IF(STATS!DR7&lt;&gt;"",1,0)</f>
        <v>1</v>
      </c>
      <c r="E116" s="215">
        <f t="shared" si="3"/>
        <v>3</v>
      </c>
    </row>
    <row r="117" spans="1:5" ht="14.25" customHeight="1">
      <c r="A117" s="216" t="s">
        <v>285</v>
      </c>
      <c r="B117" s="217" t="s">
        <v>286</v>
      </c>
      <c r="C117" s="218">
        <v>9</v>
      </c>
      <c r="D117" s="220">
        <f>IF(STATS!DS7&lt;&gt;"",1,0)</f>
        <v>0</v>
      </c>
      <c r="E117" s="215">
        <f t="shared" si="3"/>
        <v>0</v>
      </c>
    </row>
    <row r="118" spans="1:5" ht="14.25" customHeight="1">
      <c r="A118" s="216" t="s">
        <v>287</v>
      </c>
      <c r="B118" s="217" t="s">
        <v>288</v>
      </c>
      <c r="C118" s="218">
        <v>1</v>
      </c>
      <c r="D118" s="220">
        <f>IF(STATS!DT7&lt;&gt;"",1,0)</f>
        <v>0</v>
      </c>
      <c r="E118" s="215">
        <f t="shared" si="3"/>
        <v>0</v>
      </c>
    </row>
    <row r="119" spans="1:5" ht="14.25" customHeight="1">
      <c r="A119" s="219" t="s">
        <v>289</v>
      </c>
      <c r="B119" s="217" t="s">
        <v>290</v>
      </c>
      <c r="C119" s="222">
        <v>1</v>
      </c>
      <c r="D119" s="220">
        <f>IF(STATS!DU7&lt;&gt;"",1,0)</f>
        <v>0</v>
      </c>
      <c r="E119" s="215">
        <f t="shared" si="3"/>
        <v>0</v>
      </c>
    </row>
    <row r="120" spans="1:5" ht="14.25" customHeight="1">
      <c r="A120" s="219" t="s">
        <v>651</v>
      </c>
      <c r="B120" s="217" t="s">
        <v>376</v>
      </c>
      <c r="C120" s="222">
        <v>1</v>
      </c>
      <c r="D120" s="220">
        <f>IF(STATS!DV7&lt;&gt;"",1,0)</f>
        <v>0</v>
      </c>
      <c r="E120" s="215">
        <f t="shared" si="3"/>
        <v>0</v>
      </c>
    </row>
    <row r="121" spans="1:5" ht="14.25" customHeight="1">
      <c r="A121" s="219" t="s">
        <v>291</v>
      </c>
      <c r="B121" s="217" t="s">
        <v>292</v>
      </c>
      <c r="C121" s="222">
        <v>10</v>
      </c>
      <c r="D121" s="220">
        <f>IF(STATS!DW7&lt;&gt;"",1,0)</f>
        <v>0</v>
      </c>
      <c r="E121" s="215">
        <f t="shared" si="3"/>
        <v>0</v>
      </c>
    </row>
    <row r="122" spans="1:5" ht="14.25" customHeight="1">
      <c r="A122" s="219" t="s">
        <v>293</v>
      </c>
      <c r="B122" s="217" t="s">
        <v>294</v>
      </c>
      <c r="C122" s="222">
        <v>9</v>
      </c>
      <c r="D122" s="220">
        <f>IF(STATS!DX7&lt;&gt;"",1,0)</f>
        <v>0</v>
      </c>
      <c r="E122" s="215">
        <f t="shared" si="3"/>
        <v>0</v>
      </c>
    </row>
    <row r="123" spans="1:5" ht="14.25" customHeight="1">
      <c r="A123" s="219" t="s">
        <v>295</v>
      </c>
      <c r="B123" s="217" t="s">
        <v>296</v>
      </c>
      <c r="C123" s="222">
        <v>9</v>
      </c>
      <c r="D123" s="220">
        <f>IF(STATS!DY7&lt;&gt;"",1,0)</f>
        <v>1</v>
      </c>
      <c r="E123" s="215">
        <f t="shared" si="3"/>
        <v>9</v>
      </c>
    </row>
    <row r="124" spans="1:5" ht="14.25" customHeight="1">
      <c r="A124" s="219" t="s">
        <v>297</v>
      </c>
      <c r="B124" s="217" t="s">
        <v>298</v>
      </c>
      <c r="C124" s="222">
        <v>9</v>
      </c>
      <c r="D124" s="220">
        <f>IF(STATS!DZ7&lt;&gt;"",1,0)</f>
        <v>1</v>
      </c>
      <c r="E124" s="215">
        <f t="shared" si="3"/>
        <v>9</v>
      </c>
    </row>
    <row r="125" spans="1:5" ht="14.25" customHeight="1">
      <c r="A125" s="216" t="s">
        <v>299</v>
      </c>
      <c r="B125" s="217" t="s">
        <v>343</v>
      </c>
      <c r="C125" s="218">
        <v>10</v>
      </c>
      <c r="D125" s="220">
        <f>IF(STATS!EA7&lt;&gt;"",1,0)</f>
        <v>1</v>
      </c>
      <c r="E125" s="215">
        <f t="shared" si="3"/>
        <v>10</v>
      </c>
    </row>
    <row r="126" spans="1:5" ht="14.25" customHeight="1">
      <c r="A126" s="219" t="s">
        <v>300</v>
      </c>
      <c r="B126" s="217" t="s">
        <v>301</v>
      </c>
      <c r="C126" s="222">
        <v>9</v>
      </c>
      <c r="D126" s="220">
        <f>IF(STATS!EB7&lt;&gt;"",1,0)</f>
        <v>0</v>
      </c>
      <c r="E126" s="215">
        <f t="shared" si="3"/>
        <v>0</v>
      </c>
    </row>
    <row r="127" spans="1:5" ht="14.25" customHeight="1">
      <c r="A127" s="219" t="s">
        <v>302</v>
      </c>
      <c r="B127" s="217" t="s">
        <v>303</v>
      </c>
      <c r="C127" s="222">
        <v>9</v>
      </c>
      <c r="D127" s="220">
        <f>IF(STATS!EC7&lt;&gt;"",1,0)</f>
        <v>0</v>
      </c>
      <c r="E127" s="215">
        <f t="shared" si="3"/>
        <v>0</v>
      </c>
    </row>
    <row r="128" spans="1:5" ht="14.25" customHeight="1">
      <c r="A128" s="219" t="s">
        <v>304</v>
      </c>
      <c r="B128" s="217" t="s">
        <v>305</v>
      </c>
      <c r="C128" s="222">
        <v>7</v>
      </c>
      <c r="D128" s="220">
        <f>IF(STATS!ED7&lt;&gt;"",1,0)</f>
        <v>1</v>
      </c>
      <c r="E128" s="215">
        <f t="shared" si="3"/>
        <v>7</v>
      </c>
    </row>
    <row r="129" spans="1:5" ht="14.25" customHeight="1">
      <c r="A129" s="219" t="s">
        <v>306</v>
      </c>
      <c r="B129" s="217" t="s">
        <v>307</v>
      </c>
      <c r="C129" s="222">
        <v>6</v>
      </c>
      <c r="D129" s="220">
        <f>IF(STATS!EE7&lt;&gt;"",1,0)</f>
        <v>1</v>
      </c>
      <c r="E129" s="215">
        <f t="shared" si="3"/>
        <v>6</v>
      </c>
    </row>
    <row r="130" spans="1:5" ht="14.25" customHeight="1">
      <c r="A130" s="216" t="s">
        <v>378</v>
      </c>
      <c r="B130" s="217" t="s">
        <v>335</v>
      </c>
      <c r="C130" s="218">
        <v>6</v>
      </c>
      <c r="D130" s="220">
        <f>IF(STATS!EF7&lt;&gt;"",1,0)</f>
        <v>0</v>
      </c>
      <c r="E130" s="215">
        <f t="shared" si="3"/>
        <v>0</v>
      </c>
    </row>
    <row r="131" spans="1:5" ht="14.25" customHeight="1">
      <c r="A131" s="216" t="s">
        <v>308</v>
      </c>
      <c r="B131" s="225" t="s">
        <v>309</v>
      </c>
      <c r="C131" s="218">
        <v>5</v>
      </c>
      <c r="D131" s="220">
        <f>IF(STATS!EG7&lt;&gt;"",1,0)</f>
        <v>0</v>
      </c>
      <c r="E131" s="215">
        <f t="shared" si="3"/>
        <v>0</v>
      </c>
    </row>
    <row r="132" spans="1:5" ht="14.25" customHeight="1">
      <c r="A132" s="216" t="s">
        <v>310</v>
      </c>
      <c r="B132" s="225" t="s">
        <v>317</v>
      </c>
      <c r="C132" s="218">
        <v>7</v>
      </c>
      <c r="D132" s="220">
        <f>IF(STATS!EH7&lt;&gt;"",1,0)</f>
        <v>0</v>
      </c>
      <c r="E132" s="215">
        <f t="shared" si="3"/>
        <v>0</v>
      </c>
    </row>
    <row r="133" spans="1:5" ht="14.25" customHeight="1">
      <c r="A133" s="219" t="s">
        <v>311</v>
      </c>
      <c r="B133" s="224" t="s">
        <v>321</v>
      </c>
      <c r="C133" s="218">
        <v>8</v>
      </c>
      <c r="D133" s="220">
        <f>IF(STATS!EI7&lt;&gt;"",1,0)</f>
        <v>0</v>
      </c>
      <c r="E133" s="215">
        <f t="shared" si="3"/>
        <v>0</v>
      </c>
    </row>
    <row r="134" spans="1:5" ht="14.25" customHeight="1">
      <c r="A134" s="219" t="s">
        <v>312</v>
      </c>
      <c r="B134" s="217" t="s">
        <v>313</v>
      </c>
      <c r="C134" s="222">
        <v>8</v>
      </c>
      <c r="D134" s="220">
        <f>IF(STATS!EJ7&lt;&gt;"",1,0)</f>
        <v>1</v>
      </c>
      <c r="E134" s="215">
        <f t="shared" si="3"/>
        <v>8</v>
      </c>
    </row>
    <row r="135" spans="1:5" ht="14.25" customHeight="1" thickBot="1">
      <c r="A135" s="231" t="s">
        <v>652</v>
      </c>
      <c r="B135" s="232" t="s">
        <v>375</v>
      </c>
      <c r="C135" s="233">
        <v>8</v>
      </c>
      <c r="D135" s="234">
        <f>IF(STATS!EK7&lt;&gt;"",1,0)</f>
        <v>0</v>
      </c>
      <c r="E135" s="215">
        <f t="shared" si="3"/>
        <v>0</v>
      </c>
    </row>
    <row r="136" spans="1:5" ht="15">
      <c r="A136" s="235"/>
      <c r="B136" s="235"/>
      <c r="C136" s="236"/>
      <c r="D136" s="237"/>
      <c r="E136" s="238"/>
    </row>
    <row r="137" spans="1:5" ht="15">
      <c r="A137" s="239" t="s">
        <v>314</v>
      </c>
      <c r="B137" s="235"/>
      <c r="C137" s="192"/>
      <c r="D137" s="240">
        <f>SUM(D9:D135)</f>
        <v>34</v>
      </c>
      <c r="E137" s="241"/>
    </row>
    <row r="138" spans="1:5" ht="15.75" thickBot="1">
      <c r="A138" s="239" t="s">
        <v>315</v>
      </c>
      <c r="B138" s="235"/>
      <c r="C138" s="242"/>
      <c r="D138" s="192"/>
      <c r="E138" s="243">
        <f>(SUM(E9:E135)/D137)</f>
        <v>6.647058823529412</v>
      </c>
    </row>
    <row r="139" spans="1:5" ht="15.75" thickBot="1">
      <c r="A139" s="244" t="s">
        <v>334</v>
      </c>
      <c r="B139" s="245"/>
      <c r="C139" s="246"/>
      <c r="D139" s="247"/>
      <c r="E139" s="248">
        <f>(SUM(E9:E135)/D137)*SQRT(D137)</f>
        <v>38.758680242207</v>
      </c>
    </row>
    <row r="141" spans="1:3" ht="12.75">
      <c r="A141" s="249"/>
      <c r="B141" s="249"/>
      <c r="C141" s="250"/>
    </row>
    <row r="142" spans="1:5" ht="51" customHeight="1">
      <c r="A142" s="251" t="s">
        <v>653</v>
      </c>
      <c r="B142" s="251"/>
      <c r="C142" s="251"/>
      <c r="D142" s="251"/>
      <c r="E142" s="251"/>
    </row>
    <row r="143" spans="1:3" ht="12.75">
      <c r="A143" s="249"/>
      <c r="B143" s="249"/>
      <c r="C143" s="250"/>
    </row>
    <row r="144" spans="1:5" ht="51" customHeight="1">
      <c r="A144" s="251" t="s">
        <v>654</v>
      </c>
      <c r="B144" s="251"/>
      <c r="C144" s="251"/>
      <c r="D144" s="251"/>
      <c r="E144" s="251"/>
    </row>
  </sheetData>
  <sheetProtection/>
  <protectedRanges>
    <protectedRange sqref="D8:D135" name="number of species"/>
  </protectedRanges>
  <mergeCells count="2">
    <mergeCell ref="A142:E142"/>
    <mergeCell ref="A144:E14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3"/>
  <sheetViews>
    <sheetView zoomScale="85" zoomScaleNormal="85" zoomScalePageLayoutView="0" workbookViewId="0" topLeftCell="A19">
      <selection activeCell="A9" sqref="A9:C42"/>
    </sheetView>
  </sheetViews>
  <sheetFormatPr defaultColWidth="23.7109375" defaultRowHeight="12.75"/>
  <cols>
    <col min="1" max="1" width="37.421875" style="0" bestFit="1" customWidth="1"/>
    <col min="2" max="2" width="29.421875" style="0" customWidth="1"/>
    <col min="3" max="3" width="14.00390625" style="0" bestFit="1" customWidth="1"/>
    <col min="4" max="4" width="20.140625" style="0" bestFit="1" customWidth="1"/>
    <col min="5" max="5" width="12.00390625" style="0" customWidth="1"/>
    <col min="6" max="9" width="23.7109375" style="0" customWidth="1"/>
    <col min="10" max="10" width="29.28125" style="0" customWidth="1"/>
  </cols>
  <sheetData>
    <row r="1" spans="1:11" ht="15">
      <c r="A1" s="102"/>
      <c r="B1" s="103"/>
      <c r="C1" s="136" t="s">
        <v>93</v>
      </c>
      <c r="D1" s="153" t="s">
        <v>560</v>
      </c>
      <c r="E1" s="135"/>
      <c r="F1" s="44"/>
      <c r="G1" s="44"/>
      <c r="H1" s="44"/>
      <c r="I1" s="44"/>
      <c r="J1" s="44"/>
      <c r="K1" s="44"/>
    </row>
    <row r="2" spans="1:11" ht="15">
      <c r="A2" s="102"/>
      <c r="B2" s="103"/>
      <c r="C2" s="137" t="s">
        <v>44</v>
      </c>
      <c r="D2" s="138">
        <v>2436000</v>
      </c>
      <c r="E2" s="135"/>
      <c r="F2" s="44"/>
      <c r="G2" s="44"/>
      <c r="H2" s="44"/>
      <c r="I2" s="44"/>
      <c r="J2" s="44"/>
      <c r="K2" s="44"/>
    </row>
    <row r="3" spans="1:6" ht="18">
      <c r="A3" s="102"/>
      <c r="B3" s="103"/>
      <c r="C3" s="137" t="s">
        <v>91</v>
      </c>
      <c r="D3" s="152" t="s">
        <v>624</v>
      </c>
      <c r="E3" s="104"/>
      <c r="F3" s="27"/>
    </row>
    <row r="4" spans="1:5" ht="15.75" customHeight="1">
      <c r="A4" s="102"/>
      <c r="B4" s="103"/>
      <c r="C4" s="139" t="s">
        <v>406</v>
      </c>
      <c r="D4" s="140"/>
      <c r="E4" s="104"/>
    </row>
    <row r="5" spans="1:5" ht="15">
      <c r="A5" s="102"/>
      <c r="B5" s="103"/>
      <c r="C5" s="139" t="s">
        <v>407</v>
      </c>
      <c r="D5" s="140"/>
      <c r="E5" s="104"/>
    </row>
    <row r="6" spans="1:5" ht="15.75" thickBot="1">
      <c r="A6" s="102"/>
      <c r="B6" s="103"/>
      <c r="C6" s="141" t="s">
        <v>115</v>
      </c>
      <c r="D6" s="142"/>
      <c r="E6" s="104"/>
    </row>
    <row r="7" spans="1:5" ht="15" thickBot="1">
      <c r="A7" s="102"/>
      <c r="B7" s="103"/>
      <c r="C7" s="102"/>
      <c r="D7" s="102"/>
      <c r="E7" s="104"/>
    </row>
    <row r="8" spans="1:5" ht="15.75" thickBot="1">
      <c r="A8" s="113" t="s">
        <v>116</v>
      </c>
      <c r="B8" s="114" t="s">
        <v>117</v>
      </c>
      <c r="C8" s="120" t="s">
        <v>118</v>
      </c>
      <c r="D8" s="115" t="s">
        <v>119</v>
      </c>
      <c r="E8" s="105"/>
    </row>
    <row r="9" spans="1:5" ht="14.25" customHeight="1" thickBot="1">
      <c r="A9" s="252" t="s">
        <v>379</v>
      </c>
      <c r="B9" s="253" t="s">
        <v>173</v>
      </c>
      <c r="C9" s="213">
        <v>8</v>
      </c>
      <c r="D9" s="118">
        <v>1</v>
      </c>
      <c r="E9" s="116">
        <v>8</v>
      </c>
    </row>
    <row r="10" spans="1:5" ht="14.25" customHeight="1">
      <c r="A10" s="219" t="s">
        <v>122</v>
      </c>
      <c r="B10" s="217" t="s">
        <v>123</v>
      </c>
      <c r="C10" s="222">
        <v>6</v>
      </c>
      <c r="D10" s="118">
        <v>1</v>
      </c>
      <c r="E10" s="116">
        <v>6</v>
      </c>
    </row>
    <row r="11" spans="1:5" ht="14.25" customHeight="1">
      <c r="A11" s="219" t="s">
        <v>132</v>
      </c>
      <c r="B11" s="217" t="s">
        <v>133</v>
      </c>
      <c r="C11" s="222">
        <v>3</v>
      </c>
      <c r="D11" s="119">
        <v>1</v>
      </c>
      <c r="E11" s="116">
        <v>3</v>
      </c>
    </row>
    <row r="12" spans="1:5" ht="14.25" customHeight="1">
      <c r="A12" s="219" t="s">
        <v>656</v>
      </c>
      <c r="B12" s="217" t="s">
        <v>567</v>
      </c>
      <c r="C12" s="222">
        <v>7</v>
      </c>
      <c r="D12" s="119">
        <v>1</v>
      </c>
      <c r="E12" s="116">
        <v>7</v>
      </c>
    </row>
    <row r="13" spans="1:5" ht="14.25" customHeight="1">
      <c r="A13" s="219" t="s">
        <v>143</v>
      </c>
      <c r="B13" s="217" t="s">
        <v>144</v>
      </c>
      <c r="C13" s="222">
        <v>6</v>
      </c>
      <c r="D13" s="119">
        <v>1</v>
      </c>
      <c r="E13" s="116">
        <v>6</v>
      </c>
    </row>
    <row r="14" spans="1:5" ht="14.25" customHeight="1">
      <c r="A14" s="219" t="s">
        <v>145</v>
      </c>
      <c r="B14" s="217" t="s">
        <v>146</v>
      </c>
      <c r="C14" s="222">
        <v>3</v>
      </c>
      <c r="D14" s="119">
        <v>1</v>
      </c>
      <c r="E14" s="116">
        <v>3</v>
      </c>
    </row>
    <row r="15" spans="1:5" ht="14.25" customHeight="1">
      <c r="A15" s="219" t="s">
        <v>156</v>
      </c>
      <c r="B15" s="217" t="s">
        <v>157</v>
      </c>
      <c r="C15" s="222">
        <v>6</v>
      </c>
      <c r="D15" s="119">
        <v>1</v>
      </c>
      <c r="E15" s="116">
        <v>6</v>
      </c>
    </row>
    <row r="16" spans="1:5" ht="14.25" customHeight="1">
      <c r="A16" s="216" t="s">
        <v>330</v>
      </c>
      <c r="B16" s="217" t="s">
        <v>180</v>
      </c>
      <c r="C16" s="218">
        <v>6</v>
      </c>
      <c r="D16" s="119">
        <v>1</v>
      </c>
      <c r="E16" s="116">
        <v>6</v>
      </c>
    </row>
    <row r="17" spans="1:5" ht="14.25" customHeight="1">
      <c r="A17" s="219" t="s">
        <v>183</v>
      </c>
      <c r="B17" s="217" t="s">
        <v>184</v>
      </c>
      <c r="C17" s="222">
        <v>8</v>
      </c>
      <c r="D17" s="119">
        <v>1</v>
      </c>
      <c r="E17" s="116">
        <v>8</v>
      </c>
    </row>
    <row r="18" spans="1:5" ht="14.25" customHeight="1">
      <c r="A18" s="219" t="s">
        <v>185</v>
      </c>
      <c r="B18" s="217" t="s">
        <v>365</v>
      </c>
      <c r="C18" s="222">
        <v>6</v>
      </c>
      <c r="D18" s="119">
        <v>1</v>
      </c>
      <c r="E18" s="116">
        <v>6</v>
      </c>
    </row>
    <row r="19" spans="1:5" ht="14.25" customHeight="1">
      <c r="A19" s="219" t="s">
        <v>655</v>
      </c>
      <c r="B19" s="217" t="s">
        <v>189</v>
      </c>
      <c r="C19" s="222">
        <v>7</v>
      </c>
      <c r="D19" s="119">
        <v>1</v>
      </c>
      <c r="E19" s="116">
        <v>7</v>
      </c>
    </row>
    <row r="20" spans="1:5" ht="14.25" customHeight="1">
      <c r="A20" s="219" t="s">
        <v>195</v>
      </c>
      <c r="B20" s="217" t="s">
        <v>196</v>
      </c>
      <c r="C20" s="222">
        <v>6</v>
      </c>
      <c r="D20" s="119">
        <v>1</v>
      </c>
      <c r="E20" s="116">
        <v>6</v>
      </c>
    </row>
    <row r="21" spans="1:5" ht="14.25" customHeight="1">
      <c r="A21" s="219" t="s">
        <v>197</v>
      </c>
      <c r="B21" s="217" t="s">
        <v>198</v>
      </c>
      <c r="C21" s="222">
        <v>6</v>
      </c>
      <c r="D21" s="119">
        <v>1</v>
      </c>
      <c r="E21" s="116">
        <v>6</v>
      </c>
    </row>
    <row r="22" spans="1:5" ht="14.25" customHeight="1">
      <c r="A22" s="219" t="s">
        <v>205</v>
      </c>
      <c r="B22" s="217" t="s">
        <v>206</v>
      </c>
      <c r="C22" s="222">
        <v>8</v>
      </c>
      <c r="D22" s="119">
        <v>1</v>
      </c>
      <c r="E22" s="116">
        <v>8</v>
      </c>
    </row>
    <row r="23" spans="1:5" ht="14.25" customHeight="1">
      <c r="A23" s="219" t="s">
        <v>209</v>
      </c>
      <c r="B23" s="217" t="s">
        <v>210</v>
      </c>
      <c r="C23" s="222">
        <v>7</v>
      </c>
      <c r="D23" s="119">
        <v>1</v>
      </c>
      <c r="E23" s="116">
        <v>7</v>
      </c>
    </row>
    <row r="24" spans="1:5" ht="14.25" customHeight="1">
      <c r="A24" s="219" t="s">
        <v>214</v>
      </c>
      <c r="B24" s="217" t="s">
        <v>215</v>
      </c>
      <c r="C24" s="222">
        <v>8</v>
      </c>
      <c r="D24" s="119">
        <v>1</v>
      </c>
      <c r="E24" s="116">
        <v>8</v>
      </c>
    </row>
    <row r="25" spans="1:5" ht="14.25" customHeight="1">
      <c r="A25" s="216" t="s">
        <v>216</v>
      </c>
      <c r="B25" s="217" t="s">
        <v>217</v>
      </c>
      <c r="C25" s="218">
        <v>6</v>
      </c>
      <c r="D25" s="119">
        <v>1</v>
      </c>
      <c r="E25" s="116">
        <v>6</v>
      </c>
    </row>
    <row r="26" spans="1:5" ht="14.25" customHeight="1">
      <c r="A26" s="216" t="s">
        <v>218</v>
      </c>
      <c r="B26" s="217" t="s">
        <v>366</v>
      </c>
      <c r="C26" s="218">
        <v>8</v>
      </c>
      <c r="D26" s="119">
        <v>1</v>
      </c>
      <c r="E26" s="116">
        <v>8</v>
      </c>
    </row>
    <row r="27" spans="1:5" ht="14.25" customHeight="1">
      <c r="A27" s="216" t="s">
        <v>222</v>
      </c>
      <c r="B27" s="217" t="s">
        <v>223</v>
      </c>
      <c r="C27" s="218">
        <v>6</v>
      </c>
      <c r="D27" s="119">
        <v>1</v>
      </c>
      <c r="E27" s="116">
        <v>6</v>
      </c>
    </row>
    <row r="28" spans="1:5" ht="14.25" customHeight="1">
      <c r="A28" s="219" t="s">
        <v>224</v>
      </c>
      <c r="B28" s="217" t="s">
        <v>350</v>
      </c>
      <c r="C28" s="222">
        <v>5</v>
      </c>
      <c r="D28" s="119">
        <v>1</v>
      </c>
      <c r="E28" s="116">
        <v>5</v>
      </c>
    </row>
    <row r="29" spans="1:5" ht="14.25" customHeight="1">
      <c r="A29" s="219" t="s">
        <v>319</v>
      </c>
      <c r="B29" s="217" t="s">
        <v>230</v>
      </c>
      <c r="C29" s="222">
        <v>8</v>
      </c>
      <c r="D29" s="119">
        <v>1</v>
      </c>
      <c r="E29" s="116">
        <v>8</v>
      </c>
    </row>
    <row r="30" spans="1:5" ht="14.25" customHeight="1">
      <c r="A30" s="219" t="s">
        <v>233</v>
      </c>
      <c r="B30" s="217" t="s">
        <v>234</v>
      </c>
      <c r="C30" s="222">
        <v>7</v>
      </c>
      <c r="D30" s="119">
        <v>1</v>
      </c>
      <c r="E30" s="116">
        <v>7</v>
      </c>
    </row>
    <row r="31" spans="1:5" ht="14.25" customHeight="1">
      <c r="A31" s="219" t="s">
        <v>235</v>
      </c>
      <c r="B31" s="217" t="s">
        <v>236</v>
      </c>
      <c r="C31" s="222">
        <v>5</v>
      </c>
      <c r="D31" s="119">
        <v>1</v>
      </c>
      <c r="E31" s="116">
        <v>5</v>
      </c>
    </row>
    <row r="32" spans="1:5" ht="14.25" customHeight="1">
      <c r="A32" s="219" t="s">
        <v>237</v>
      </c>
      <c r="B32" s="217" t="s">
        <v>368</v>
      </c>
      <c r="C32" s="222">
        <v>8</v>
      </c>
      <c r="D32" s="119">
        <v>1</v>
      </c>
      <c r="E32" s="116">
        <v>8</v>
      </c>
    </row>
    <row r="33" spans="1:5" ht="14.25" customHeight="1">
      <c r="A33" s="219" t="s">
        <v>244</v>
      </c>
      <c r="B33" s="217" t="s">
        <v>245</v>
      </c>
      <c r="C33" s="222">
        <v>6</v>
      </c>
      <c r="D33" s="119">
        <v>1</v>
      </c>
      <c r="E33" s="116">
        <v>6</v>
      </c>
    </row>
    <row r="34" spans="1:5" ht="14.25" customHeight="1">
      <c r="A34" s="216" t="s">
        <v>260</v>
      </c>
      <c r="B34" s="217" t="s">
        <v>261</v>
      </c>
      <c r="C34" s="218">
        <v>6</v>
      </c>
      <c r="D34" s="119">
        <v>1</v>
      </c>
      <c r="E34" s="116">
        <v>6</v>
      </c>
    </row>
    <row r="35" spans="1:5" ht="14.25" customHeight="1">
      <c r="A35" s="216" t="s">
        <v>275</v>
      </c>
      <c r="B35" s="225" t="s">
        <v>276</v>
      </c>
      <c r="C35" s="218">
        <v>8</v>
      </c>
      <c r="D35" s="119">
        <v>1</v>
      </c>
      <c r="E35" s="116">
        <v>8</v>
      </c>
    </row>
    <row r="36" spans="1:5" ht="14.25" customHeight="1">
      <c r="A36" s="219" t="s">
        <v>284</v>
      </c>
      <c r="B36" s="217" t="s">
        <v>318</v>
      </c>
      <c r="C36" s="222">
        <v>3</v>
      </c>
      <c r="D36" s="119">
        <v>1</v>
      </c>
      <c r="E36" s="116">
        <v>3</v>
      </c>
    </row>
    <row r="37" spans="1:5" ht="14.25" customHeight="1">
      <c r="A37" s="219" t="s">
        <v>295</v>
      </c>
      <c r="B37" s="217" t="s">
        <v>296</v>
      </c>
      <c r="C37" s="222">
        <v>9</v>
      </c>
      <c r="D37" s="119">
        <v>1</v>
      </c>
      <c r="E37" s="116">
        <v>9</v>
      </c>
    </row>
    <row r="38" spans="1:5" ht="14.25" customHeight="1">
      <c r="A38" s="219" t="s">
        <v>297</v>
      </c>
      <c r="B38" s="217" t="s">
        <v>298</v>
      </c>
      <c r="C38" s="222">
        <v>9</v>
      </c>
      <c r="D38" s="119">
        <v>1</v>
      </c>
      <c r="E38" s="116">
        <v>9</v>
      </c>
    </row>
    <row r="39" spans="1:5" ht="14.25" customHeight="1">
      <c r="A39" s="216" t="s">
        <v>299</v>
      </c>
      <c r="B39" s="217" t="s">
        <v>343</v>
      </c>
      <c r="C39" s="218">
        <v>10</v>
      </c>
      <c r="D39" s="119">
        <v>1</v>
      </c>
      <c r="E39" s="116">
        <v>10</v>
      </c>
    </row>
    <row r="40" spans="1:5" ht="14.25" customHeight="1">
      <c r="A40" s="219" t="s">
        <v>304</v>
      </c>
      <c r="B40" s="217" t="s">
        <v>305</v>
      </c>
      <c r="C40" s="222">
        <v>7</v>
      </c>
      <c r="D40" s="119">
        <v>1</v>
      </c>
      <c r="E40" s="116">
        <v>7</v>
      </c>
    </row>
    <row r="41" spans="1:5" ht="14.25" customHeight="1">
      <c r="A41" s="219" t="s">
        <v>306</v>
      </c>
      <c r="B41" s="217" t="s">
        <v>307</v>
      </c>
      <c r="C41" s="222">
        <v>6</v>
      </c>
      <c r="D41" s="119">
        <v>1</v>
      </c>
      <c r="E41" s="116">
        <v>6</v>
      </c>
    </row>
    <row r="42" spans="1:5" ht="14.25" customHeight="1">
      <c r="A42" s="219" t="s">
        <v>312</v>
      </c>
      <c r="B42" s="217" t="s">
        <v>313</v>
      </c>
      <c r="C42" s="222">
        <v>8</v>
      </c>
      <c r="D42" s="119">
        <v>1</v>
      </c>
      <c r="E42" s="116">
        <v>8</v>
      </c>
    </row>
    <row r="43" spans="1:5" ht="14.25" customHeight="1">
      <c r="A43" s="106"/>
      <c r="B43" s="106"/>
      <c r="C43" s="107"/>
      <c r="D43" s="117"/>
      <c r="E43" s="108"/>
    </row>
    <row r="44" spans="1:5" ht="14.25" customHeight="1">
      <c r="A44" s="124" t="s">
        <v>314</v>
      </c>
      <c r="B44" s="106"/>
      <c r="C44" s="102"/>
      <c r="D44" s="109">
        <v>34</v>
      </c>
      <c r="E44" s="110"/>
    </row>
    <row r="45" spans="1:5" ht="14.25" customHeight="1" thickBot="1">
      <c r="A45" s="124" t="s">
        <v>315</v>
      </c>
      <c r="B45" s="106"/>
      <c r="C45" s="111"/>
      <c r="D45" s="102"/>
      <c r="E45" s="162">
        <v>6.647058823529412</v>
      </c>
    </row>
    <row r="46" spans="1:5" ht="14.25" customHeight="1" thickBot="1">
      <c r="A46" s="125" t="s">
        <v>334</v>
      </c>
      <c r="B46" s="121"/>
      <c r="C46" s="122"/>
      <c r="D46" s="123"/>
      <c r="E46" s="163">
        <v>38.758680242207</v>
      </c>
    </row>
    <row r="47" ht="14.25" customHeight="1"/>
    <row r="48" spans="1:3" ht="14.25" customHeight="1">
      <c r="A48" s="100"/>
      <c r="B48" s="100"/>
      <c r="C48" s="98"/>
    </row>
    <row r="49" spans="1:5" ht="14.25" customHeight="1">
      <c r="A49" s="189" t="s">
        <v>333</v>
      </c>
      <c r="B49" s="189"/>
      <c r="C49" s="189"/>
      <c r="D49" s="189"/>
      <c r="E49" s="189"/>
    </row>
    <row r="50" spans="1:3" ht="14.25" customHeight="1">
      <c r="A50" s="100"/>
      <c r="B50" s="100"/>
      <c r="C50" s="98"/>
    </row>
    <row r="51" spans="1:5" ht="14.25" customHeight="1">
      <c r="A51" s="189" t="s">
        <v>372</v>
      </c>
      <c r="B51" s="189"/>
      <c r="C51" s="189"/>
      <c r="D51" s="189"/>
      <c r="E51" s="189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spans="1:5" s="99" customFormat="1" ht="14.25" customHeight="1">
      <c r="A113"/>
      <c r="B113"/>
      <c r="C113"/>
      <c r="D113"/>
      <c r="E113"/>
    </row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42" ht="51" customHeight="1"/>
    <row r="144" ht="51" customHeight="1"/>
  </sheetData>
  <sheetProtection/>
  <protectedRanges>
    <protectedRange sqref="D8:D42" name="number of species"/>
  </protectedRanges>
  <mergeCells count="2">
    <mergeCell ref="A49:E49"/>
    <mergeCell ref="A51:E5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3"/>
  <sheetViews>
    <sheetView zoomScale="85" zoomScaleNormal="85" zoomScalePageLayoutView="0" workbookViewId="0" topLeftCell="A1">
      <selection activeCell="A9" sqref="A9:C42"/>
    </sheetView>
  </sheetViews>
  <sheetFormatPr defaultColWidth="23.7109375" defaultRowHeight="12.75"/>
  <cols>
    <col min="1" max="1" width="37.421875" style="0" bestFit="1" customWidth="1"/>
    <col min="2" max="2" width="29.421875" style="0" customWidth="1"/>
    <col min="3" max="3" width="14.00390625" style="0" bestFit="1" customWidth="1"/>
    <col min="4" max="4" width="20.140625" style="0" bestFit="1" customWidth="1"/>
    <col min="5" max="5" width="12.00390625" style="0" customWidth="1"/>
    <col min="6" max="9" width="23.7109375" style="0" customWidth="1"/>
    <col min="10" max="10" width="29.28125" style="0" customWidth="1"/>
  </cols>
  <sheetData>
    <row r="1" spans="1:11" ht="15">
      <c r="A1" s="102"/>
      <c r="B1" s="103"/>
      <c r="C1" s="136" t="s">
        <v>93</v>
      </c>
      <c r="D1" s="153" t="str">
        <f>IF('ENTRY '!I2="","",'ENTRY '!I2)</f>
        <v>North Lake (Spider Chain)</v>
      </c>
      <c r="E1" s="135"/>
      <c r="F1" s="44"/>
      <c r="G1" s="44"/>
      <c r="H1" s="44"/>
      <c r="I1" s="44"/>
      <c r="J1" s="44"/>
      <c r="K1" s="44"/>
    </row>
    <row r="2" spans="1:11" ht="15">
      <c r="A2" s="102"/>
      <c r="B2" s="103"/>
      <c r="C2" s="137" t="s">
        <v>44</v>
      </c>
      <c r="D2" s="138">
        <f>IF('ENTRY '!I3="","",'ENTRY '!I3)</f>
        <v>2436000</v>
      </c>
      <c r="E2" s="135"/>
      <c r="F2" s="44"/>
      <c r="G2" s="44"/>
      <c r="H2" s="44"/>
      <c r="I2" s="44"/>
      <c r="J2" s="44"/>
      <c r="K2" s="44"/>
    </row>
    <row r="3" spans="1:6" ht="18">
      <c r="A3" s="102"/>
      <c r="B3" s="103"/>
      <c r="C3" s="137" t="s">
        <v>91</v>
      </c>
      <c r="D3" s="152" t="str">
        <f>IF('ENTRY '!I5="","",'ENTRY '!I5)</f>
        <v>8 1, 2017</v>
      </c>
      <c r="E3" s="104"/>
      <c r="F3" s="27"/>
    </row>
    <row r="4" spans="1:5" ht="15.75" customHeight="1">
      <c r="A4" s="102"/>
      <c r="B4" s="103"/>
      <c r="C4" s="139" t="s">
        <v>406</v>
      </c>
      <c r="D4" s="140"/>
      <c r="E4" s="104"/>
    </row>
    <row r="5" spans="1:5" ht="15">
      <c r="A5" s="102"/>
      <c r="B5" s="103"/>
      <c r="C5" s="139" t="s">
        <v>407</v>
      </c>
      <c r="D5" s="140"/>
      <c r="E5" s="104"/>
    </row>
    <row r="6" spans="1:5" ht="15.75" thickBot="1">
      <c r="A6" s="102"/>
      <c r="B6" s="103"/>
      <c r="C6" s="141" t="s">
        <v>115</v>
      </c>
      <c r="D6" s="142"/>
      <c r="E6" s="104"/>
    </row>
    <row r="7" spans="1:5" ht="15" thickBot="1">
      <c r="A7" s="102"/>
      <c r="B7" s="103"/>
      <c r="C7" s="102"/>
      <c r="D7" s="102"/>
      <c r="E7" s="104"/>
    </row>
    <row r="8" spans="1:5" ht="15.75" thickBot="1">
      <c r="A8" s="113" t="s">
        <v>116</v>
      </c>
      <c r="B8" s="114" t="s">
        <v>117</v>
      </c>
      <c r="C8" s="120" t="s">
        <v>118</v>
      </c>
      <c r="D8" s="115" t="s">
        <v>119</v>
      </c>
      <c r="E8" s="105"/>
    </row>
    <row r="9" spans="1:5" ht="14.25" customHeight="1">
      <c r="A9" s="219" t="s">
        <v>379</v>
      </c>
      <c r="B9" s="217" t="s">
        <v>173</v>
      </c>
      <c r="C9" s="218">
        <v>8</v>
      </c>
      <c r="D9" s="119">
        <v>1</v>
      </c>
      <c r="E9" s="116">
        <f aca="true" t="shared" si="0" ref="E9:E42">C9*D9</f>
        <v>8</v>
      </c>
    </row>
    <row r="10" spans="1:5" ht="14.25" customHeight="1">
      <c r="A10" s="219" t="s">
        <v>122</v>
      </c>
      <c r="B10" s="217" t="s">
        <v>123</v>
      </c>
      <c r="C10" s="222">
        <v>6</v>
      </c>
      <c r="D10" s="119">
        <v>1</v>
      </c>
      <c r="E10" s="116">
        <f t="shared" si="0"/>
        <v>6</v>
      </c>
    </row>
    <row r="11" spans="1:5" ht="14.25" customHeight="1">
      <c r="A11" s="219" t="s">
        <v>132</v>
      </c>
      <c r="B11" s="217" t="s">
        <v>133</v>
      </c>
      <c r="C11" s="222">
        <v>3</v>
      </c>
      <c r="D11" s="119">
        <v>1</v>
      </c>
      <c r="E11" s="116">
        <f t="shared" si="0"/>
        <v>3</v>
      </c>
    </row>
    <row r="12" spans="1:5" ht="14.25" customHeight="1">
      <c r="A12" s="219" t="s">
        <v>575</v>
      </c>
      <c r="B12" s="217" t="s">
        <v>567</v>
      </c>
      <c r="C12" s="222">
        <v>7</v>
      </c>
      <c r="D12" s="119">
        <v>1</v>
      </c>
      <c r="E12" s="116">
        <f t="shared" si="0"/>
        <v>7</v>
      </c>
    </row>
    <row r="13" spans="1:5" ht="14.25" customHeight="1">
      <c r="A13" s="219" t="s">
        <v>140</v>
      </c>
      <c r="B13" s="217" t="s">
        <v>141</v>
      </c>
      <c r="C13" s="222">
        <v>5</v>
      </c>
      <c r="D13" s="119">
        <v>1</v>
      </c>
      <c r="E13" s="116">
        <f t="shared" si="0"/>
        <v>5</v>
      </c>
    </row>
    <row r="14" spans="1:5" ht="14.25" customHeight="1">
      <c r="A14" s="219" t="s">
        <v>143</v>
      </c>
      <c r="B14" s="217" t="s">
        <v>144</v>
      </c>
      <c r="C14" s="222">
        <v>6</v>
      </c>
      <c r="D14" s="119">
        <v>1</v>
      </c>
      <c r="E14" s="116">
        <f t="shared" si="0"/>
        <v>6</v>
      </c>
    </row>
    <row r="15" spans="1:5" ht="14.25" customHeight="1">
      <c r="A15" s="219" t="s">
        <v>145</v>
      </c>
      <c r="B15" s="217" t="s">
        <v>146</v>
      </c>
      <c r="C15" s="222">
        <v>3</v>
      </c>
      <c r="D15" s="119">
        <v>1</v>
      </c>
      <c r="E15" s="116">
        <f t="shared" si="0"/>
        <v>3</v>
      </c>
    </row>
    <row r="16" spans="1:5" ht="14.25" customHeight="1">
      <c r="A16" s="219" t="s">
        <v>156</v>
      </c>
      <c r="B16" s="217" t="s">
        <v>157</v>
      </c>
      <c r="C16" s="222">
        <v>6</v>
      </c>
      <c r="D16" s="119">
        <v>1</v>
      </c>
      <c r="E16" s="116">
        <f t="shared" si="0"/>
        <v>6</v>
      </c>
    </row>
    <row r="17" spans="1:5" ht="14.25" customHeight="1">
      <c r="A17" s="216" t="s">
        <v>330</v>
      </c>
      <c r="B17" s="217" t="s">
        <v>180</v>
      </c>
      <c r="C17" s="218">
        <v>6</v>
      </c>
      <c r="D17" s="119">
        <v>1</v>
      </c>
      <c r="E17" s="116">
        <f t="shared" si="0"/>
        <v>6</v>
      </c>
    </row>
    <row r="18" spans="1:5" ht="14.25" customHeight="1">
      <c r="A18" s="219" t="s">
        <v>183</v>
      </c>
      <c r="B18" s="217" t="s">
        <v>184</v>
      </c>
      <c r="C18" s="222">
        <v>8</v>
      </c>
      <c r="D18" s="119">
        <v>1</v>
      </c>
      <c r="E18" s="116">
        <f t="shared" si="0"/>
        <v>8</v>
      </c>
    </row>
    <row r="19" spans="1:5" ht="14.25" customHeight="1">
      <c r="A19" s="219" t="s">
        <v>185</v>
      </c>
      <c r="B19" s="217" t="s">
        <v>365</v>
      </c>
      <c r="C19" s="222">
        <v>6</v>
      </c>
      <c r="D19" s="119">
        <v>1</v>
      </c>
      <c r="E19" s="116">
        <f t="shared" si="0"/>
        <v>6</v>
      </c>
    </row>
    <row r="20" spans="1:5" ht="14.25" customHeight="1">
      <c r="A20" s="219" t="s">
        <v>655</v>
      </c>
      <c r="B20" s="217" t="s">
        <v>189</v>
      </c>
      <c r="C20" s="222">
        <v>7</v>
      </c>
      <c r="D20" s="119">
        <v>1</v>
      </c>
      <c r="E20" s="116">
        <f t="shared" si="0"/>
        <v>7</v>
      </c>
    </row>
    <row r="21" spans="1:5" ht="14.25" customHeight="1">
      <c r="A21" s="219" t="s">
        <v>195</v>
      </c>
      <c r="B21" s="217" t="s">
        <v>196</v>
      </c>
      <c r="C21" s="222">
        <v>6</v>
      </c>
      <c r="D21" s="119">
        <v>1</v>
      </c>
      <c r="E21" s="116">
        <f t="shared" si="0"/>
        <v>6</v>
      </c>
    </row>
    <row r="22" spans="1:5" ht="14.25" customHeight="1">
      <c r="A22" s="219" t="s">
        <v>197</v>
      </c>
      <c r="B22" s="217" t="s">
        <v>198</v>
      </c>
      <c r="C22" s="222">
        <v>6</v>
      </c>
      <c r="D22" s="119">
        <v>1</v>
      </c>
      <c r="E22" s="116">
        <f t="shared" si="0"/>
        <v>6</v>
      </c>
    </row>
    <row r="23" spans="1:5" ht="14.25" customHeight="1">
      <c r="A23" s="219" t="s">
        <v>205</v>
      </c>
      <c r="B23" s="217" t="s">
        <v>206</v>
      </c>
      <c r="C23" s="222">
        <v>8</v>
      </c>
      <c r="D23" s="119">
        <v>1</v>
      </c>
      <c r="E23" s="116">
        <f t="shared" si="0"/>
        <v>8</v>
      </c>
    </row>
    <row r="24" spans="1:5" ht="14.25" customHeight="1">
      <c r="A24" s="219" t="s">
        <v>209</v>
      </c>
      <c r="B24" s="217" t="s">
        <v>210</v>
      </c>
      <c r="C24" s="222">
        <v>7</v>
      </c>
      <c r="D24" s="119">
        <v>1</v>
      </c>
      <c r="E24" s="116">
        <f t="shared" si="0"/>
        <v>7</v>
      </c>
    </row>
    <row r="25" spans="1:5" ht="14.25" customHeight="1">
      <c r="A25" s="219" t="s">
        <v>214</v>
      </c>
      <c r="B25" s="217" t="s">
        <v>215</v>
      </c>
      <c r="C25" s="222">
        <v>8</v>
      </c>
      <c r="D25" s="119">
        <v>1</v>
      </c>
      <c r="E25" s="116">
        <f t="shared" si="0"/>
        <v>8</v>
      </c>
    </row>
    <row r="26" spans="1:5" ht="14.25" customHeight="1">
      <c r="A26" s="216" t="s">
        <v>218</v>
      </c>
      <c r="B26" s="217" t="s">
        <v>366</v>
      </c>
      <c r="C26" s="218">
        <v>8</v>
      </c>
      <c r="D26" s="119">
        <v>1</v>
      </c>
      <c r="E26" s="116">
        <f t="shared" si="0"/>
        <v>8</v>
      </c>
    </row>
    <row r="27" spans="1:5" ht="14.25" customHeight="1">
      <c r="A27" s="219" t="s">
        <v>219</v>
      </c>
      <c r="B27" s="217" t="s">
        <v>342</v>
      </c>
      <c r="C27" s="222">
        <v>7</v>
      </c>
      <c r="D27" s="119">
        <v>1</v>
      </c>
      <c r="E27" s="116">
        <f t="shared" si="0"/>
        <v>7</v>
      </c>
    </row>
    <row r="28" spans="1:5" ht="14.25" customHeight="1">
      <c r="A28" s="219" t="s">
        <v>224</v>
      </c>
      <c r="B28" s="217" t="s">
        <v>350</v>
      </c>
      <c r="C28" s="222">
        <v>5</v>
      </c>
      <c r="D28" s="119">
        <v>1</v>
      </c>
      <c r="E28" s="116">
        <f t="shared" si="0"/>
        <v>5</v>
      </c>
    </row>
    <row r="29" spans="1:5" ht="14.25" customHeight="1">
      <c r="A29" s="219" t="s">
        <v>319</v>
      </c>
      <c r="B29" s="217" t="s">
        <v>230</v>
      </c>
      <c r="C29" s="222">
        <v>8</v>
      </c>
      <c r="D29" s="119">
        <v>1</v>
      </c>
      <c r="E29" s="116">
        <f t="shared" si="0"/>
        <v>8</v>
      </c>
    </row>
    <row r="30" spans="1:5" ht="14.25" customHeight="1">
      <c r="A30" s="219" t="s">
        <v>233</v>
      </c>
      <c r="B30" s="217" t="s">
        <v>234</v>
      </c>
      <c r="C30" s="222">
        <v>7</v>
      </c>
      <c r="D30" s="119">
        <v>1</v>
      </c>
      <c r="E30" s="116">
        <f t="shared" si="0"/>
        <v>7</v>
      </c>
    </row>
    <row r="31" spans="1:5" ht="14.25" customHeight="1">
      <c r="A31" s="219" t="s">
        <v>235</v>
      </c>
      <c r="B31" s="217" t="s">
        <v>236</v>
      </c>
      <c r="C31" s="222">
        <v>5</v>
      </c>
      <c r="D31" s="119">
        <v>1</v>
      </c>
      <c r="E31" s="116">
        <f t="shared" si="0"/>
        <v>5</v>
      </c>
    </row>
    <row r="32" spans="1:5" ht="14.25" customHeight="1">
      <c r="A32" s="219" t="s">
        <v>237</v>
      </c>
      <c r="B32" s="217" t="s">
        <v>368</v>
      </c>
      <c r="C32" s="222">
        <v>8</v>
      </c>
      <c r="D32" s="119">
        <v>1</v>
      </c>
      <c r="E32" s="116">
        <f t="shared" si="0"/>
        <v>8</v>
      </c>
    </row>
    <row r="33" spans="1:5" ht="14.25" customHeight="1">
      <c r="A33" s="219" t="s">
        <v>244</v>
      </c>
      <c r="B33" s="217" t="s">
        <v>245</v>
      </c>
      <c r="C33" s="222">
        <v>6</v>
      </c>
      <c r="D33" s="119">
        <v>1</v>
      </c>
      <c r="E33" s="116">
        <f t="shared" si="0"/>
        <v>6</v>
      </c>
    </row>
    <row r="34" spans="1:5" ht="14.25" customHeight="1">
      <c r="A34" s="216" t="s">
        <v>260</v>
      </c>
      <c r="B34" s="217" t="s">
        <v>261</v>
      </c>
      <c r="C34" s="218">
        <v>6</v>
      </c>
      <c r="D34" s="119">
        <v>1</v>
      </c>
      <c r="E34" s="116">
        <f t="shared" si="0"/>
        <v>6</v>
      </c>
    </row>
    <row r="35" spans="1:5" ht="14.25" customHeight="1">
      <c r="A35" s="219" t="s">
        <v>265</v>
      </c>
      <c r="B35" s="217" t="s">
        <v>266</v>
      </c>
      <c r="C35" s="222">
        <v>9</v>
      </c>
      <c r="D35" s="119">
        <v>1</v>
      </c>
      <c r="E35" s="116">
        <f t="shared" si="0"/>
        <v>9</v>
      </c>
    </row>
    <row r="36" spans="1:5" ht="14.25" customHeight="1">
      <c r="A36" s="216" t="s">
        <v>275</v>
      </c>
      <c r="B36" s="225" t="s">
        <v>276</v>
      </c>
      <c r="C36" s="218">
        <v>8</v>
      </c>
      <c r="D36" s="119">
        <v>1</v>
      </c>
      <c r="E36" s="116">
        <f t="shared" si="0"/>
        <v>8</v>
      </c>
    </row>
    <row r="37" spans="1:5" ht="14.25" customHeight="1">
      <c r="A37" s="219" t="s">
        <v>295</v>
      </c>
      <c r="B37" s="217" t="s">
        <v>296</v>
      </c>
      <c r="C37" s="222">
        <v>9</v>
      </c>
      <c r="D37" s="119">
        <v>1</v>
      </c>
      <c r="E37" s="116">
        <f t="shared" si="0"/>
        <v>9</v>
      </c>
    </row>
    <row r="38" spans="1:5" ht="14.25" customHeight="1">
      <c r="A38" s="219" t="s">
        <v>297</v>
      </c>
      <c r="B38" s="217" t="s">
        <v>298</v>
      </c>
      <c r="C38" s="222">
        <v>9</v>
      </c>
      <c r="D38" s="119">
        <v>1</v>
      </c>
      <c r="E38" s="116">
        <f t="shared" si="0"/>
        <v>9</v>
      </c>
    </row>
    <row r="39" spans="1:5" ht="14.25" customHeight="1">
      <c r="A39" s="216" t="s">
        <v>299</v>
      </c>
      <c r="B39" s="217" t="s">
        <v>343</v>
      </c>
      <c r="C39" s="218">
        <v>10</v>
      </c>
      <c r="D39" s="119">
        <v>1</v>
      </c>
      <c r="E39" s="116">
        <f t="shared" si="0"/>
        <v>10</v>
      </c>
    </row>
    <row r="40" spans="1:5" ht="14.25" customHeight="1">
      <c r="A40" s="219" t="s">
        <v>304</v>
      </c>
      <c r="B40" s="217" t="s">
        <v>305</v>
      </c>
      <c r="C40" s="222">
        <v>7</v>
      </c>
      <c r="D40" s="119">
        <v>1</v>
      </c>
      <c r="E40" s="116">
        <f t="shared" si="0"/>
        <v>7</v>
      </c>
    </row>
    <row r="41" spans="1:5" ht="14.25" customHeight="1">
      <c r="A41" s="219" t="s">
        <v>306</v>
      </c>
      <c r="B41" s="217" t="s">
        <v>307</v>
      </c>
      <c r="C41" s="222">
        <v>6</v>
      </c>
      <c r="D41" s="119">
        <v>1</v>
      </c>
      <c r="E41" s="116">
        <f t="shared" si="0"/>
        <v>6</v>
      </c>
    </row>
    <row r="42" spans="1:5" ht="14.25" customHeight="1" thickBot="1">
      <c r="A42" s="231" t="s">
        <v>312</v>
      </c>
      <c r="B42" s="232" t="s">
        <v>313</v>
      </c>
      <c r="C42" s="233">
        <v>8</v>
      </c>
      <c r="D42" s="119">
        <v>1</v>
      </c>
      <c r="E42" s="116">
        <f t="shared" si="0"/>
        <v>8</v>
      </c>
    </row>
    <row r="43" spans="1:5" ht="14.25" customHeight="1">
      <c r="A43" s="106"/>
      <c r="B43" s="106"/>
      <c r="C43" s="107"/>
      <c r="D43" s="117"/>
      <c r="E43" s="108"/>
    </row>
    <row r="44" spans="1:5" ht="14.25" customHeight="1">
      <c r="A44" s="124" t="s">
        <v>314</v>
      </c>
      <c r="B44" s="106"/>
      <c r="C44" s="102"/>
      <c r="D44" s="109">
        <f>SUM(D9:D42)</f>
        <v>34</v>
      </c>
      <c r="E44" s="110"/>
    </row>
    <row r="45" spans="1:5" ht="14.25" customHeight="1" thickBot="1">
      <c r="A45" s="124" t="s">
        <v>315</v>
      </c>
      <c r="B45" s="106"/>
      <c r="C45" s="111"/>
      <c r="D45" s="102"/>
      <c r="E45" s="162">
        <f>(SUM(E9:E42)/D44)</f>
        <v>6.823529411764706</v>
      </c>
    </row>
    <row r="46" spans="1:5" ht="14.25" customHeight="1" thickBot="1">
      <c r="A46" s="125" t="s">
        <v>334</v>
      </c>
      <c r="B46" s="121"/>
      <c r="C46" s="122"/>
      <c r="D46" s="123"/>
      <c r="E46" s="163">
        <f>(SUM(E9:E42)/D44)*SQRT(D44)</f>
        <v>39.78767175306205</v>
      </c>
    </row>
    <row r="47" ht="14.25" customHeight="1"/>
    <row r="48" spans="1:3" ht="14.25" customHeight="1">
      <c r="A48" s="100"/>
      <c r="B48" s="100"/>
      <c r="C48" s="98"/>
    </row>
    <row r="49" spans="1:5" ht="14.25" customHeight="1">
      <c r="A49" s="189" t="s">
        <v>333</v>
      </c>
      <c r="B49" s="189"/>
      <c r="C49" s="189"/>
      <c r="D49" s="189"/>
      <c r="E49" s="189"/>
    </row>
    <row r="50" spans="1:3" ht="14.25" customHeight="1">
      <c r="A50" s="100"/>
      <c r="B50" s="100"/>
      <c r="C50" s="98"/>
    </row>
    <row r="51" spans="1:5" ht="14.25" customHeight="1">
      <c r="A51" s="189" t="s">
        <v>372</v>
      </c>
      <c r="B51" s="189"/>
      <c r="C51" s="189"/>
      <c r="D51" s="189"/>
      <c r="E51" s="189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spans="6:11" ht="14.25" customHeight="1">
      <c r="F85" s="99"/>
      <c r="G85" s="99"/>
      <c r="H85" s="99"/>
      <c r="I85" s="99"/>
      <c r="J85" s="99"/>
      <c r="K85" s="99"/>
    </row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spans="1:11" s="99" customFormat="1" ht="14.25" customHeight="1">
      <c r="A113"/>
      <c r="B113"/>
      <c r="C113"/>
      <c r="D113"/>
      <c r="E113"/>
      <c r="F113"/>
      <c r="G113"/>
      <c r="H113"/>
      <c r="I113"/>
      <c r="J113"/>
      <c r="K113"/>
    </row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42" ht="51" customHeight="1"/>
    <row r="144" ht="51" customHeight="1"/>
  </sheetData>
  <sheetProtection/>
  <protectedRanges>
    <protectedRange sqref="D8:D42" name="number of species"/>
  </protectedRanges>
  <mergeCells count="2">
    <mergeCell ref="A49:E49"/>
    <mergeCell ref="A51:E5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4"/>
  <sheetViews>
    <sheetView zoomScalePageLayoutView="0" workbookViewId="0" topLeftCell="A1">
      <pane xSplit="1" ySplit="1" topLeftCell="N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Y1" sqref="Y1:Y404"/>
    </sheetView>
  </sheetViews>
  <sheetFormatPr defaultColWidth="5.7109375" defaultRowHeight="12.75"/>
  <cols>
    <col min="1" max="1" width="5.00390625" style="36" bestFit="1" customWidth="1"/>
    <col min="2" max="2" width="11.00390625" style="10" customWidth="1"/>
    <col min="3" max="3" width="13.28125" style="10" customWidth="1"/>
    <col min="4" max="5" width="5.7109375" style="10" customWidth="1"/>
    <col min="6" max="6" width="4.421875" style="147" customWidth="1"/>
    <col min="7" max="7" width="5.00390625" style="36" bestFit="1" customWidth="1"/>
    <col min="8" max="8" width="7.00390625" style="147" customWidth="1"/>
    <col min="9" max="9" width="5.7109375" style="10" customWidth="1"/>
    <col min="10" max="10" width="5.7109375" style="32" customWidth="1"/>
    <col min="11" max="43" width="5.7109375" style="10" customWidth="1"/>
    <col min="44" max="16384" width="5.7109375" style="10" customWidth="1"/>
  </cols>
  <sheetData>
    <row r="1" spans="1:44" s="9" customFormat="1" ht="189.75" customHeight="1">
      <c r="A1" s="167" t="s">
        <v>576</v>
      </c>
      <c r="B1" s="168" t="s">
        <v>577</v>
      </c>
      <c r="C1" s="169" t="s">
        <v>578</v>
      </c>
      <c r="D1" s="170" t="s">
        <v>579</v>
      </c>
      <c r="E1" s="169" t="s">
        <v>580</v>
      </c>
      <c r="F1" s="171" t="s">
        <v>581</v>
      </c>
      <c r="G1" s="167" t="s">
        <v>582</v>
      </c>
      <c r="H1" s="94" t="s">
        <v>583</v>
      </c>
      <c r="I1" s="16" t="s">
        <v>559</v>
      </c>
      <c r="J1" s="112" t="s">
        <v>584</v>
      </c>
      <c r="K1" s="15" t="s">
        <v>585</v>
      </c>
      <c r="L1" s="15" t="s">
        <v>586</v>
      </c>
      <c r="M1" s="15" t="s">
        <v>617</v>
      </c>
      <c r="N1" s="15" t="s">
        <v>587</v>
      </c>
      <c r="O1" s="15" t="s">
        <v>588</v>
      </c>
      <c r="P1" s="15" t="s">
        <v>589</v>
      </c>
      <c r="Q1" s="15" t="s">
        <v>590</v>
      </c>
      <c r="R1" s="15" t="s">
        <v>591</v>
      </c>
      <c r="S1" s="15" t="s">
        <v>592</v>
      </c>
      <c r="T1" s="15" t="s">
        <v>593</v>
      </c>
      <c r="U1" s="15" t="s">
        <v>618</v>
      </c>
      <c r="V1" s="15" t="s">
        <v>594</v>
      </c>
      <c r="W1" s="15" t="s">
        <v>595</v>
      </c>
      <c r="X1" s="15" t="s">
        <v>596</v>
      </c>
      <c r="Y1" s="15" t="s">
        <v>597</v>
      </c>
      <c r="Z1" s="15" t="s">
        <v>598</v>
      </c>
      <c r="AA1" s="15" t="s">
        <v>616</v>
      </c>
      <c r="AB1" s="15" t="s">
        <v>599</v>
      </c>
      <c r="AC1" s="15" t="s">
        <v>600</v>
      </c>
      <c r="AD1" s="15" t="s">
        <v>601</v>
      </c>
      <c r="AE1" s="15" t="s">
        <v>602</v>
      </c>
      <c r="AF1" s="15" t="s">
        <v>603</v>
      </c>
      <c r="AG1" s="15" t="s">
        <v>604</v>
      </c>
      <c r="AH1" s="15" t="s">
        <v>605</v>
      </c>
      <c r="AI1" s="15" t="s">
        <v>606</v>
      </c>
      <c r="AJ1" s="15" t="s">
        <v>607</v>
      </c>
      <c r="AK1" s="15" t="s">
        <v>608</v>
      </c>
      <c r="AL1" s="15" t="s">
        <v>609</v>
      </c>
      <c r="AM1" s="15" t="s">
        <v>610</v>
      </c>
      <c r="AN1" s="15" t="s">
        <v>611</v>
      </c>
      <c r="AO1" s="15" t="s">
        <v>612</v>
      </c>
      <c r="AP1" s="15" t="s">
        <v>613</v>
      </c>
      <c r="AQ1" s="15" t="s">
        <v>614</v>
      </c>
      <c r="AR1" s="144" t="s">
        <v>615</v>
      </c>
    </row>
    <row r="2" spans="1:44" ht="12.75">
      <c r="A2" s="34">
        <v>1</v>
      </c>
      <c r="B2" s="165">
        <v>46.11603</v>
      </c>
      <c r="C2" s="165">
        <v>-91.21569</v>
      </c>
      <c r="D2" s="10">
        <v>1.5</v>
      </c>
      <c r="E2" s="10" t="s">
        <v>563</v>
      </c>
      <c r="F2" s="149">
        <v>1</v>
      </c>
      <c r="G2" s="34">
        <v>1</v>
      </c>
      <c r="H2" s="96">
        <v>6</v>
      </c>
      <c r="I2" s="10">
        <v>3</v>
      </c>
      <c r="J2" s="36">
        <v>0</v>
      </c>
      <c r="K2" s="36">
        <v>2</v>
      </c>
      <c r="L2" s="36">
        <v>0</v>
      </c>
      <c r="M2" s="36">
        <v>1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1</v>
      </c>
      <c r="W2" s="10">
        <v>2</v>
      </c>
      <c r="X2" s="10">
        <v>0</v>
      </c>
      <c r="Y2" s="10">
        <v>4</v>
      </c>
      <c r="Z2" s="10">
        <v>0</v>
      </c>
      <c r="AA2" s="10">
        <v>0</v>
      </c>
      <c r="AB2" s="10">
        <v>0</v>
      </c>
      <c r="AC2" s="10">
        <v>4</v>
      </c>
      <c r="AD2" s="10">
        <v>0</v>
      </c>
      <c r="AE2" s="10">
        <v>0</v>
      </c>
      <c r="AF2" s="10">
        <v>0</v>
      </c>
      <c r="AG2" s="10">
        <v>0</v>
      </c>
      <c r="AH2" s="10">
        <v>4</v>
      </c>
      <c r="AI2" s="10">
        <v>2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v>2</v>
      </c>
      <c r="AP2" s="10">
        <v>0</v>
      </c>
      <c r="AQ2" s="10">
        <v>0</v>
      </c>
      <c r="AR2" s="146">
        <v>0</v>
      </c>
    </row>
    <row r="3" spans="1:44" ht="12.75">
      <c r="A3" s="34">
        <v>2</v>
      </c>
      <c r="B3" s="165">
        <v>46.11635</v>
      </c>
      <c r="C3" s="165">
        <v>-91.21616</v>
      </c>
      <c r="D3" s="10">
        <v>3.5</v>
      </c>
      <c r="E3" s="10" t="s">
        <v>563</v>
      </c>
      <c r="F3" s="149">
        <v>1</v>
      </c>
      <c r="G3" s="34">
        <v>1</v>
      </c>
      <c r="H3" s="96">
        <v>5</v>
      </c>
      <c r="I3" s="10">
        <v>3</v>
      </c>
      <c r="J3" s="36">
        <v>0</v>
      </c>
      <c r="K3" s="36">
        <v>0</v>
      </c>
      <c r="L3" s="36">
        <v>0</v>
      </c>
      <c r="M3" s="36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1</v>
      </c>
      <c r="W3" s="10">
        <v>3</v>
      </c>
      <c r="X3" s="10">
        <v>0</v>
      </c>
      <c r="Y3" s="10">
        <v>0</v>
      </c>
      <c r="Z3" s="10">
        <v>0</v>
      </c>
      <c r="AA3" s="10">
        <v>1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1</v>
      </c>
      <c r="AI3" s="10">
        <v>0</v>
      </c>
      <c r="AJ3" s="10">
        <v>0</v>
      </c>
      <c r="AK3" s="10">
        <v>0</v>
      </c>
      <c r="AL3" s="10">
        <v>1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46">
        <v>3</v>
      </c>
    </row>
    <row r="4" spans="1:44" ht="12.75">
      <c r="A4" s="34">
        <v>3</v>
      </c>
      <c r="B4" s="165">
        <v>46.11635</v>
      </c>
      <c r="C4" s="165">
        <v>-91.2157</v>
      </c>
      <c r="D4" s="10">
        <v>4.5</v>
      </c>
      <c r="E4" s="10" t="s">
        <v>563</v>
      </c>
      <c r="F4" s="149">
        <v>1</v>
      </c>
      <c r="G4" s="34">
        <v>1</v>
      </c>
      <c r="H4" s="96">
        <v>4</v>
      </c>
      <c r="I4" s="10">
        <v>1</v>
      </c>
      <c r="J4" s="36">
        <v>0</v>
      </c>
      <c r="K4" s="36">
        <v>0</v>
      </c>
      <c r="L4" s="36">
        <v>1</v>
      </c>
      <c r="M4" s="36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1</v>
      </c>
      <c r="Z4" s="10">
        <v>0</v>
      </c>
      <c r="AA4" s="10">
        <v>0</v>
      </c>
      <c r="AB4" s="10">
        <v>0</v>
      </c>
      <c r="AC4" s="10">
        <v>1</v>
      </c>
      <c r="AD4" s="10">
        <v>0</v>
      </c>
      <c r="AE4" s="10">
        <v>0</v>
      </c>
      <c r="AF4" s="10">
        <v>0</v>
      </c>
      <c r="AG4" s="10">
        <v>0</v>
      </c>
      <c r="AH4" s="10">
        <v>1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46">
        <v>2</v>
      </c>
    </row>
    <row r="5" spans="1:44" ht="12.75">
      <c r="A5" s="34">
        <v>4</v>
      </c>
      <c r="B5" s="165">
        <v>46.11636</v>
      </c>
      <c r="C5" s="165">
        <v>-91.21523</v>
      </c>
      <c r="D5" s="10">
        <v>4</v>
      </c>
      <c r="E5" s="10" t="s">
        <v>563</v>
      </c>
      <c r="F5" s="149">
        <v>1</v>
      </c>
      <c r="G5" s="34">
        <v>1</v>
      </c>
      <c r="H5" s="96">
        <v>6</v>
      </c>
      <c r="I5" s="10">
        <v>2</v>
      </c>
      <c r="J5" s="36">
        <v>0</v>
      </c>
      <c r="K5" s="36">
        <v>0</v>
      </c>
      <c r="L5" s="36">
        <v>0</v>
      </c>
      <c r="M5" s="36">
        <v>1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1</v>
      </c>
      <c r="U5" s="10">
        <v>2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1</v>
      </c>
      <c r="AI5" s="10">
        <v>0</v>
      </c>
      <c r="AJ5" s="10">
        <v>0</v>
      </c>
      <c r="AK5" s="10">
        <v>0</v>
      </c>
      <c r="AL5" s="10">
        <v>1</v>
      </c>
      <c r="AM5" s="10">
        <v>0</v>
      </c>
      <c r="AN5" s="10">
        <v>1</v>
      </c>
      <c r="AO5" s="10">
        <v>0</v>
      </c>
      <c r="AP5" s="10">
        <v>0</v>
      </c>
      <c r="AQ5" s="10">
        <v>0</v>
      </c>
      <c r="AR5" s="146">
        <v>0</v>
      </c>
    </row>
    <row r="6" spans="1:44" ht="12.75">
      <c r="A6" s="34">
        <v>5</v>
      </c>
      <c r="B6" s="165">
        <v>46.11636</v>
      </c>
      <c r="C6" s="165">
        <v>-91.21477</v>
      </c>
      <c r="D6" s="10">
        <v>2</v>
      </c>
      <c r="E6" s="10" t="s">
        <v>563</v>
      </c>
      <c r="F6" s="149">
        <v>1</v>
      </c>
      <c r="G6" s="34">
        <v>1</v>
      </c>
      <c r="H6" s="96">
        <v>7</v>
      </c>
      <c r="I6" s="10">
        <v>3</v>
      </c>
      <c r="J6" s="36">
        <v>0</v>
      </c>
      <c r="K6" s="36">
        <v>1</v>
      </c>
      <c r="L6" s="36">
        <v>0</v>
      </c>
      <c r="M6" s="36">
        <v>0</v>
      </c>
      <c r="N6" s="10">
        <v>0</v>
      </c>
      <c r="O6" s="10">
        <v>0</v>
      </c>
      <c r="P6" s="10">
        <v>0</v>
      </c>
      <c r="Q6" s="10">
        <v>0</v>
      </c>
      <c r="R6" s="10">
        <v>4</v>
      </c>
      <c r="S6" s="10">
        <v>0</v>
      </c>
      <c r="T6" s="10">
        <v>1</v>
      </c>
      <c r="U6" s="10">
        <v>0</v>
      </c>
      <c r="V6" s="10">
        <v>3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1</v>
      </c>
      <c r="AM6" s="10">
        <v>1</v>
      </c>
      <c r="AN6" s="10">
        <v>1</v>
      </c>
      <c r="AO6" s="10">
        <v>0</v>
      </c>
      <c r="AP6" s="10">
        <v>0</v>
      </c>
      <c r="AQ6" s="10">
        <v>1</v>
      </c>
      <c r="AR6" s="146">
        <v>0</v>
      </c>
    </row>
    <row r="7" spans="1:44" ht="12.75">
      <c r="A7" s="34">
        <v>6</v>
      </c>
      <c r="B7" s="165">
        <v>46.11667</v>
      </c>
      <c r="C7" s="165">
        <v>-91.21664</v>
      </c>
      <c r="D7" s="10">
        <v>4</v>
      </c>
      <c r="E7" s="10" t="s">
        <v>563</v>
      </c>
      <c r="F7" s="149">
        <v>1</v>
      </c>
      <c r="G7" s="34">
        <v>1</v>
      </c>
      <c r="H7" s="96">
        <v>7</v>
      </c>
      <c r="I7" s="10">
        <v>3</v>
      </c>
      <c r="J7" s="36">
        <v>0</v>
      </c>
      <c r="K7" s="36">
        <v>0</v>
      </c>
      <c r="L7" s="36">
        <v>0</v>
      </c>
      <c r="M7" s="36">
        <v>0</v>
      </c>
      <c r="N7" s="10">
        <v>0</v>
      </c>
      <c r="O7" s="10">
        <v>0</v>
      </c>
      <c r="P7" s="10">
        <v>0</v>
      </c>
      <c r="Q7" s="10">
        <v>1</v>
      </c>
      <c r="R7" s="10">
        <v>1</v>
      </c>
      <c r="S7" s="10">
        <v>0</v>
      </c>
      <c r="T7" s="10">
        <v>1</v>
      </c>
      <c r="U7" s="10">
        <v>0</v>
      </c>
      <c r="V7" s="10">
        <v>1</v>
      </c>
      <c r="W7" s="10">
        <v>4</v>
      </c>
      <c r="X7" s="10">
        <v>0</v>
      </c>
      <c r="Y7" s="10">
        <v>0</v>
      </c>
      <c r="Z7" s="10">
        <v>1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1</v>
      </c>
      <c r="AH7" s="10">
        <v>3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46">
        <v>0</v>
      </c>
    </row>
    <row r="8" spans="1:44" ht="12.75">
      <c r="A8" s="34">
        <v>7</v>
      </c>
      <c r="B8" s="165">
        <v>46.11667</v>
      </c>
      <c r="C8" s="165">
        <v>-91.21617</v>
      </c>
      <c r="D8" s="10">
        <v>6</v>
      </c>
      <c r="E8" s="10" t="s">
        <v>563</v>
      </c>
      <c r="F8" s="149">
        <v>1</v>
      </c>
      <c r="G8" s="34">
        <v>1</v>
      </c>
      <c r="H8" s="96">
        <v>10</v>
      </c>
      <c r="I8" s="10">
        <v>3</v>
      </c>
      <c r="J8" s="36">
        <v>0</v>
      </c>
      <c r="K8" s="36">
        <v>0</v>
      </c>
      <c r="L8" s="36">
        <v>1</v>
      </c>
      <c r="M8" s="36">
        <v>0</v>
      </c>
      <c r="N8" s="10">
        <v>0</v>
      </c>
      <c r="O8" s="10">
        <v>0</v>
      </c>
      <c r="P8" s="10">
        <v>1</v>
      </c>
      <c r="Q8" s="10">
        <v>0</v>
      </c>
      <c r="R8" s="10">
        <v>1</v>
      </c>
      <c r="S8" s="10">
        <v>0</v>
      </c>
      <c r="T8" s="10">
        <v>0</v>
      </c>
      <c r="U8" s="10">
        <v>0</v>
      </c>
      <c r="V8" s="10">
        <v>2</v>
      </c>
      <c r="W8" s="10">
        <v>0</v>
      </c>
      <c r="X8" s="10">
        <v>0</v>
      </c>
      <c r="Y8" s="10">
        <v>1</v>
      </c>
      <c r="Z8" s="10">
        <v>0</v>
      </c>
      <c r="AA8" s="10">
        <v>1</v>
      </c>
      <c r="AB8" s="10">
        <v>0</v>
      </c>
      <c r="AC8" s="10">
        <v>0</v>
      </c>
      <c r="AD8" s="10">
        <v>1</v>
      </c>
      <c r="AE8" s="10">
        <v>1</v>
      </c>
      <c r="AF8" s="10">
        <v>0</v>
      </c>
      <c r="AG8" s="10">
        <v>0</v>
      </c>
      <c r="AH8" s="10">
        <v>3</v>
      </c>
      <c r="AI8" s="10">
        <v>0</v>
      </c>
      <c r="AJ8" s="10">
        <v>0</v>
      </c>
      <c r="AK8" s="10">
        <v>0</v>
      </c>
      <c r="AL8" s="10">
        <v>0</v>
      </c>
      <c r="AM8" s="10">
        <v>1</v>
      </c>
      <c r="AN8" s="10">
        <v>0</v>
      </c>
      <c r="AO8" s="10">
        <v>0</v>
      </c>
      <c r="AP8" s="10">
        <v>0</v>
      </c>
      <c r="AQ8" s="10">
        <v>0</v>
      </c>
      <c r="AR8" s="146">
        <v>0</v>
      </c>
    </row>
    <row r="9" spans="1:44" ht="12.75">
      <c r="A9" s="34">
        <v>8</v>
      </c>
      <c r="B9" s="165">
        <v>46.11668</v>
      </c>
      <c r="C9" s="165">
        <v>-91.21571</v>
      </c>
      <c r="D9" s="10">
        <v>4</v>
      </c>
      <c r="E9" s="10" t="s">
        <v>563</v>
      </c>
      <c r="F9" s="149">
        <v>1</v>
      </c>
      <c r="G9" s="34">
        <v>1</v>
      </c>
      <c r="H9" s="96">
        <v>3</v>
      </c>
      <c r="I9" s="10">
        <v>2</v>
      </c>
      <c r="J9" s="36">
        <v>0</v>
      </c>
      <c r="K9" s="36">
        <v>0</v>
      </c>
      <c r="L9" s="36">
        <v>0</v>
      </c>
      <c r="M9" s="36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1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2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1</v>
      </c>
      <c r="AP9" s="10">
        <v>0</v>
      </c>
      <c r="AQ9" s="10">
        <v>0</v>
      </c>
      <c r="AR9" s="146">
        <v>2</v>
      </c>
    </row>
    <row r="10" spans="1:44" ht="12.75">
      <c r="A10" s="34">
        <v>9</v>
      </c>
      <c r="B10" s="165">
        <v>46.11668</v>
      </c>
      <c r="C10" s="165">
        <v>-91.21524</v>
      </c>
      <c r="D10" s="10">
        <v>4</v>
      </c>
      <c r="E10" s="10" t="s">
        <v>563</v>
      </c>
      <c r="F10" s="149">
        <v>1</v>
      </c>
      <c r="G10" s="34">
        <v>1</v>
      </c>
      <c r="H10" s="96">
        <v>7</v>
      </c>
      <c r="I10" s="10">
        <v>3</v>
      </c>
      <c r="J10" s="36">
        <v>0</v>
      </c>
      <c r="K10" s="36">
        <v>0</v>
      </c>
      <c r="L10" s="36">
        <v>0</v>
      </c>
      <c r="M10" s="36">
        <v>1</v>
      </c>
      <c r="N10" s="10">
        <v>0</v>
      </c>
      <c r="O10" s="10">
        <v>0</v>
      </c>
      <c r="P10" s="10">
        <v>1</v>
      </c>
      <c r="Q10" s="10">
        <v>0</v>
      </c>
      <c r="R10" s="10">
        <v>4</v>
      </c>
      <c r="S10" s="10">
        <v>0</v>
      </c>
      <c r="T10" s="10">
        <v>1</v>
      </c>
      <c r="U10" s="10">
        <v>1</v>
      </c>
      <c r="V10" s="10">
        <v>3</v>
      </c>
      <c r="W10" s="10">
        <v>1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1</v>
      </c>
      <c r="AO10" s="10">
        <v>0</v>
      </c>
      <c r="AP10" s="10">
        <v>0</v>
      </c>
      <c r="AQ10" s="10">
        <v>0</v>
      </c>
      <c r="AR10" s="146">
        <v>0</v>
      </c>
    </row>
    <row r="11" spans="1:44" ht="12.75">
      <c r="A11" s="34">
        <v>10</v>
      </c>
      <c r="B11" s="165">
        <v>46.11669</v>
      </c>
      <c r="C11" s="165">
        <v>-91.21477</v>
      </c>
      <c r="D11" s="10">
        <v>4</v>
      </c>
      <c r="E11" s="10" t="s">
        <v>563</v>
      </c>
      <c r="F11" s="149">
        <v>1</v>
      </c>
      <c r="G11" s="34">
        <v>1</v>
      </c>
      <c r="H11" s="96">
        <v>7</v>
      </c>
      <c r="I11" s="10">
        <v>3</v>
      </c>
      <c r="J11" s="36">
        <v>0</v>
      </c>
      <c r="K11" s="36">
        <v>0</v>
      </c>
      <c r="L11" s="36">
        <v>0</v>
      </c>
      <c r="M11" s="36">
        <v>0</v>
      </c>
      <c r="N11" s="10">
        <v>0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1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1</v>
      </c>
      <c r="AD11" s="10">
        <v>1</v>
      </c>
      <c r="AE11" s="10">
        <v>0</v>
      </c>
      <c r="AF11" s="10">
        <v>0</v>
      </c>
      <c r="AG11" s="10">
        <v>3</v>
      </c>
      <c r="AH11" s="10">
        <v>2</v>
      </c>
      <c r="AI11" s="10">
        <v>0</v>
      </c>
      <c r="AJ11" s="10">
        <v>0</v>
      </c>
      <c r="AK11" s="10">
        <v>0</v>
      </c>
      <c r="AL11" s="10">
        <v>1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46">
        <v>0</v>
      </c>
    </row>
    <row r="12" spans="1:44" ht="12.75">
      <c r="A12" s="34">
        <v>11</v>
      </c>
      <c r="B12" s="165">
        <v>46.11669</v>
      </c>
      <c r="C12" s="165">
        <v>-91.21431</v>
      </c>
      <c r="D12" s="10">
        <v>4</v>
      </c>
      <c r="E12" s="10" t="s">
        <v>563</v>
      </c>
      <c r="F12" s="149">
        <v>1</v>
      </c>
      <c r="G12" s="34">
        <v>1</v>
      </c>
      <c r="H12" s="96">
        <v>7</v>
      </c>
      <c r="I12" s="10">
        <v>3</v>
      </c>
      <c r="J12" s="36">
        <v>0</v>
      </c>
      <c r="K12" s="36">
        <v>0</v>
      </c>
      <c r="L12" s="36">
        <v>0</v>
      </c>
      <c r="M12" s="36">
        <v>0</v>
      </c>
      <c r="N12" s="10">
        <v>0</v>
      </c>
      <c r="O12" s="10">
        <v>0</v>
      </c>
      <c r="P12" s="10">
        <v>1</v>
      </c>
      <c r="Q12" s="10">
        <v>0</v>
      </c>
      <c r="R12" s="10">
        <v>0</v>
      </c>
      <c r="S12" s="10">
        <v>0</v>
      </c>
      <c r="T12" s="10">
        <v>1</v>
      </c>
      <c r="U12" s="10">
        <v>0</v>
      </c>
      <c r="V12" s="10">
        <v>0</v>
      </c>
      <c r="W12" s="10">
        <v>0</v>
      </c>
      <c r="X12" s="10">
        <v>0</v>
      </c>
      <c r="Y12" s="10">
        <v>1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3</v>
      </c>
      <c r="AF12" s="10">
        <v>0</v>
      </c>
      <c r="AG12" s="10">
        <v>2</v>
      </c>
      <c r="AH12" s="10">
        <v>1</v>
      </c>
      <c r="AI12" s="10">
        <v>0</v>
      </c>
      <c r="AJ12" s="10">
        <v>0</v>
      </c>
      <c r="AK12" s="10">
        <v>0</v>
      </c>
      <c r="AL12" s="10">
        <v>1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46">
        <v>0</v>
      </c>
    </row>
    <row r="13" spans="1:44" ht="12.75">
      <c r="A13" s="34">
        <v>12</v>
      </c>
      <c r="B13" s="165">
        <v>46.11698</v>
      </c>
      <c r="C13" s="165">
        <v>-91.21711</v>
      </c>
      <c r="D13" s="10">
        <v>5</v>
      </c>
      <c r="E13" s="10" t="s">
        <v>563</v>
      </c>
      <c r="F13" s="149">
        <v>1</v>
      </c>
      <c r="G13" s="34">
        <v>1</v>
      </c>
      <c r="H13" s="96">
        <v>7</v>
      </c>
      <c r="I13" s="10">
        <v>3</v>
      </c>
      <c r="J13" s="36">
        <v>0</v>
      </c>
      <c r="K13" s="36">
        <v>0</v>
      </c>
      <c r="L13" s="36">
        <v>2</v>
      </c>
      <c r="M13" s="36">
        <v>2</v>
      </c>
      <c r="N13" s="10">
        <v>0</v>
      </c>
      <c r="O13" s="10">
        <v>0</v>
      </c>
      <c r="P13" s="10">
        <v>0</v>
      </c>
      <c r="Q13" s="10">
        <v>0</v>
      </c>
      <c r="R13" s="10">
        <v>1</v>
      </c>
      <c r="S13" s="10">
        <v>0</v>
      </c>
      <c r="T13" s="10">
        <v>1</v>
      </c>
      <c r="U13" s="10">
        <v>0</v>
      </c>
      <c r="V13" s="10">
        <v>1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1</v>
      </c>
      <c r="AH13" s="10">
        <v>1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46">
        <v>0</v>
      </c>
    </row>
    <row r="14" spans="1:44" ht="12.75">
      <c r="A14" s="34">
        <v>13</v>
      </c>
      <c r="B14" s="165">
        <v>46.11699</v>
      </c>
      <c r="C14" s="165">
        <v>-91.21664</v>
      </c>
      <c r="D14" s="10">
        <v>6</v>
      </c>
      <c r="E14" s="10" t="s">
        <v>563</v>
      </c>
      <c r="F14" s="149">
        <v>1</v>
      </c>
      <c r="G14" s="34">
        <v>1</v>
      </c>
      <c r="H14" s="96">
        <v>4</v>
      </c>
      <c r="I14" s="10">
        <v>2</v>
      </c>
      <c r="J14" s="36">
        <v>0</v>
      </c>
      <c r="K14" s="36">
        <v>0</v>
      </c>
      <c r="L14" s="36">
        <v>1</v>
      </c>
      <c r="M14" s="36">
        <v>0</v>
      </c>
      <c r="N14" s="10">
        <v>0</v>
      </c>
      <c r="O14" s="10">
        <v>0</v>
      </c>
      <c r="P14" s="10">
        <v>0</v>
      </c>
      <c r="Q14" s="10">
        <v>0</v>
      </c>
      <c r="R14" s="10">
        <v>2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2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2</v>
      </c>
      <c r="AQ14" s="10">
        <v>0</v>
      </c>
      <c r="AR14" s="146">
        <v>0</v>
      </c>
    </row>
    <row r="15" spans="1:44" ht="12.75">
      <c r="A15" s="34">
        <v>14</v>
      </c>
      <c r="B15" s="165">
        <v>46.11699</v>
      </c>
      <c r="C15" s="165">
        <v>-91.21618</v>
      </c>
      <c r="D15" s="10">
        <v>12</v>
      </c>
      <c r="E15" s="10" t="s">
        <v>563</v>
      </c>
      <c r="F15" s="149">
        <v>1</v>
      </c>
      <c r="G15" s="34">
        <v>0</v>
      </c>
      <c r="H15" s="96">
        <v>0</v>
      </c>
      <c r="I15" s="10">
        <v>0</v>
      </c>
      <c r="J15" s="36">
        <v>0</v>
      </c>
      <c r="K15" s="36">
        <v>0</v>
      </c>
      <c r="L15" s="36">
        <v>0</v>
      </c>
      <c r="M15" s="36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46">
        <v>0</v>
      </c>
    </row>
    <row r="16" spans="1:44" ht="12.75">
      <c r="A16" s="34">
        <v>15</v>
      </c>
      <c r="B16" s="165">
        <v>46.117</v>
      </c>
      <c r="C16" s="165">
        <v>-91.21571</v>
      </c>
      <c r="D16" s="10">
        <v>5</v>
      </c>
      <c r="E16" s="10" t="s">
        <v>563</v>
      </c>
      <c r="F16" s="149">
        <v>1</v>
      </c>
      <c r="G16" s="34">
        <v>1</v>
      </c>
      <c r="H16" s="96">
        <v>3</v>
      </c>
      <c r="I16" s="10">
        <v>2</v>
      </c>
      <c r="J16" s="36">
        <v>0</v>
      </c>
      <c r="K16" s="36">
        <v>0</v>
      </c>
      <c r="L16" s="36">
        <v>1</v>
      </c>
      <c r="M16" s="36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2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2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46">
        <v>1</v>
      </c>
    </row>
    <row r="17" spans="1:44" ht="12.75">
      <c r="A17" s="34">
        <v>16</v>
      </c>
      <c r="B17" s="165">
        <v>46.11701</v>
      </c>
      <c r="C17" s="165">
        <v>-91.21525</v>
      </c>
      <c r="D17" s="10">
        <v>4</v>
      </c>
      <c r="E17" s="10" t="s">
        <v>563</v>
      </c>
      <c r="F17" s="149">
        <v>1</v>
      </c>
      <c r="G17" s="34">
        <v>1</v>
      </c>
      <c r="H17" s="96">
        <v>6</v>
      </c>
      <c r="I17" s="10">
        <v>3</v>
      </c>
      <c r="J17" s="36">
        <v>0</v>
      </c>
      <c r="K17" s="36">
        <v>3</v>
      </c>
      <c r="L17" s="36">
        <v>0</v>
      </c>
      <c r="M17" s="36">
        <v>0</v>
      </c>
      <c r="N17" s="10">
        <v>0</v>
      </c>
      <c r="O17" s="10">
        <v>0</v>
      </c>
      <c r="P17" s="10">
        <v>0</v>
      </c>
      <c r="Q17" s="10">
        <v>0</v>
      </c>
      <c r="R17" s="10">
        <v>1</v>
      </c>
      <c r="S17" s="10">
        <v>0</v>
      </c>
      <c r="T17" s="10">
        <v>1</v>
      </c>
      <c r="U17" s="10">
        <v>0</v>
      </c>
      <c r="V17" s="10">
        <v>1</v>
      </c>
      <c r="W17" s="10">
        <v>1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1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46">
        <v>0</v>
      </c>
    </row>
    <row r="18" spans="1:44" ht="12.75">
      <c r="A18" s="34">
        <v>17</v>
      </c>
      <c r="B18" s="165">
        <v>46.11701</v>
      </c>
      <c r="C18" s="165">
        <v>-91.21478</v>
      </c>
      <c r="D18" s="10">
        <v>4.5</v>
      </c>
      <c r="E18" s="10" t="s">
        <v>563</v>
      </c>
      <c r="F18" s="149">
        <v>1</v>
      </c>
      <c r="G18" s="34">
        <v>1</v>
      </c>
      <c r="H18" s="96">
        <v>6</v>
      </c>
      <c r="I18" s="10">
        <v>3</v>
      </c>
      <c r="J18" s="36">
        <v>0</v>
      </c>
      <c r="K18" s="36">
        <v>0</v>
      </c>
      <c r="L18" s="36">
        <v>0</v>
      </c>
      <c r="M18" s="36">
        <v>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1</v>
      </c>
      <c r="Z18" s="10">
        <v>0</v>
      </c>
      <c r="AA18" s="10">
        <v>1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1</v>
      </c>
      <c r="AH18" s="10">
        <v>2</v>
      </c>
      <c r="AI18" s="10">
        <v>0</v>
      </c>
      <c r="AJ18" s="10">
        <v>0</v>
      </c>
      <c r="AK18" s="10">
        <v>0</v>
      </c>
      <c r="AL18" s="10">
        <v>1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46">
        <v>0</v>
      </c>
    </row>
    <row r="19" spans="1:44" ht="12.75">
      <c r="A19" s="34">
        <v>18</v>
      </c>
      <c r="B19" s="165">
        <v>46.11701</v>
      </c>
      <c r="C19" s="165">
        <v>-91.21431</v>
      </c>
      <c r="D19" s="10">
        <v>4</v>
      </c>
      <c r="E19" s="10" t="s">
        <v>563</v>
      </c>
      <c r="F19" s="149">
        <v>1</v>
      </c>
      <c r="G19" s="34">
        <v>1</v>
      </c>
      <c r="H19" s="96">
        <v>2</v>
      </c>
      <c r="I19" s="10">
        <v>1</v>
      </c>
      <c r="J19" s="36">
        <v>0</v>
      </c>
      <c r="K19" s="36">
        <v>0</v>
      </c>
      <c r="L19" s="36">
        <v>0</v>
      </c>
      <c r="M19" s="36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1</v>
      </c>
      <c r="U19" s="10">
        <v>0</v>
      </c>
      <c r="V19" s="10">
        <v>0</v>
      </c>
      <c r="W19" s="10">
        <v>0</v>
      </c>
      <c r="X19" s="10">
        <v>0</v>
      </c>
      <c r="Y19" s="10">
        <v>1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46">
        <v>0</v>
      </c>
    </row>
    <row r="20" spans="1:44" ht="12.75">
      <c r="A20" s="34">
        <v>19</v>
      </c>
      <c r="B20" s="165">
        <v>46.11702</v>
      </c>
      <c r="C20" s="165">
        <v>-91.21385</v>
      </c>
      <c r="D20" s="10">
        <v>4.5</v>
      </c>
      <c r="E20" s="10" t="s">
        <v>563</v>
      </c>
      <c r="F20" s="149">
        <v>1</v>
      </c>
      <c r="G20" s="34">
        <v>1</v>
      </c>
      <c r="H20" s="96">
        <v>6</v>
      </c>
      <c r="I20" s="10">
        <v>3</v>
      </c>
      <c r="J20" s="36">
        <v>0</v>
      </c>
      <c r="K20" s="36">
        <v>0</v>
      </c>
      <c r="L20" s="36">
        <v>0</v>
      </c>
      <c r="M20" s="36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2</v>
      </c>
      <c r="U20" s="10">
        <v>0</v>
      </c>
      <c r="V20" s="10">
        <v>4</v>
      </c>
      <c r="W20" s="10">
        <v>0</v>
      </c>
      <c r="X20" s="10">
        <v>0</v>
      </c>
      <c r="Y20" s="10">
        <v>1</v>
      </c>
      <c r="Z20" s="10">
        <v>0</v>
      </c>
      <c r="AA20" s="10">
        <v>0</v>
      </c>
      <c r="AB20" s="10">
        <v>0</v>
      </c>
      <c r="AC20" s="10">
        <v>0</v>
      </c>
      <c r="AD20" s="10">
        <v>1</v>
      </c>
      <c r="AE20" s="10">
        <v>4</v>
      </c>
      <c r="AF20" s="10">
        <v>2</v>
      </c>
      <c r="AG20" s="10">
        <v>2</v>
      </c>
      <c r="AH20" s="10">
        <v>2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46">
        <v>0</v>
      </c>
    </row>
    <row r="21" spans="1:44" ht="12.75">
      <c r="A21" s="34">
        <v>20</v>
      </c>
      <c r="B21" s="165">
        <v>46.11702</v>
      </c>
      <c r="C21" s="165">
        <v>-91.21338</v>
      </c>
      <c r="D21" s="10">
        <v>0.5</v>
      </c>
      <c r="E21" s="10" t="s">
        <v>563</v>
      </c>
      <c r="F21" s="149">
        <v>1</v>
      </c>
      <c r="G21" s="34">
        <v>1</v>
      </c>
      <c r="H21" s="96">
        <v>10</v>
      </c>
      <c r="I21" s="10">
        <v>3</v>
      </c>
      <c r="J21" s="36">
        <v>0</v>
      </c>
      <c r="K21" s="36">
        <v>1</v>
      </c>
      <c r="L21" s="36">
        <v>0</v>
      </c>
      <c r="M21" s="36">
        <v>3</v>
      </c>
      <c r="N21" s="10">
        <v>0</v>
      </c>
      <c r="O21" s="10">
        <v>4</v>
      </c>
      <c r="P21" s="10">
        <v>0</v>
      </c>
      <c r="Q21" s="10">
        <v>0</v>
      </c>
      <c r="R21" s="10">
        <v>0</v>
      </c>
      <c r="S21" s="10">
        <v>4</v>
      </c>
      <c r="T21" s="10">
        <v>1</v>
      </c>
      <c r="U21" s="10">
        <v>0</v>
      </c>
      <c r="V21" s="10">
        <v>0</v>
      </c>
      <c r="W21" s="10">
        <v>2</v>
      </c>
      <c r="X21" s="10">
        <v>1</v>
      </c>
      <c r="Y21" s="10">
        <v>0</v>
      </c>
      <c r="Z21" s="10">
        <v>0</v>
      </c>
      <c r="AA21" s="10">
        <v>0</v>
      </c>
      <c r="AB21" s="10">
        <v>2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1</v>
      </c>
      <c r="AL21" s="10">
        <v>2</v>
      </c>
      <c r="AM21" s="10">
        <v>0</v>
      </c>
      <c r="AN21" s="10">
        <v>1</v>
      </c>
      <c r="AO21" s="10">
        <v>1</v>
      </c>
      <c r="AP21" s="10">
        <v>0</v>
      </c>
      <c r="AQ21" s="10">
        <v>0</v>
      </c>
      <c r="AR21" s="146">
        <v>0</v>
      </c>
    </row>
    <row r="22" spans="1:44" ht="12.75">
      <c r="A22" s="34">
        <v>21</v>
      </c>
      <c r="B22" s="165">
        <v>46.11731</v>
      </c>
      <c r="C22" s="165">
        <v>-91.21712</v>
      </c>
      <c r="D22" s="10">
        <v>10</v>
      </c>
      <c r="E22" s="10" t="s">
        <v>563</v>
      </c>
      <c r="F22" s="149">
        <v>1</v>
      </c>
      <c r="G22" s="34">
        <v>1</v>
      </c>
      <c r="H22" s="96">
        <v>1</v>
      </c>
      <c r="I22" s="10">
        <v>2</v>
      </c>
      <c r="J22" s="36">
        <v>0</v>
      </c>
      <c r="K22" s="36">
        <v>0</v>
      </c>
      <c r="L22" s="36">
        <v>2</v>
      </c>
      <c r="M22" s="36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46">
        <v>0</v>
      </c>
    </row>
    <row r="23" spans="1:44" ht="12.75">
      <c r="A23" s="34">
        <v>22</v>
      </c>
      <c r="B23" s="165">
        <v>46.11731</v>
      </c>
      <c r="C23" s="165">
        <v>-91.21665</v>
      </c>
      <c r="D23" s="10">
        <v>13.5</v>
      </c>
      <c r="E23" s="10" t="s">
        <v>563</v>
      </c>
      <c r="F23" s="149">
        <v>1</v>
      </c>
      <c r="G23" s="34">
        <v>0</v>
      </c>
      <c r="H23" s="96">
        <v>0</v>
      </c>
      <c r="I23" s="10">
        <v>0</v>
      </c>
      <c r="J23" s="36">
        <v>0</v>
      </c>
      <c r="K23" s="36">
        <v>0</v>
      </c>
      <c r="L23" s="36">
        <v>0</v>
      </c>
      <c r="M23" s="36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46">
        <v>0</v>
      </c>
    </row>
    <row r="24" spans="1:44" ht="12.75">
      <c r="A24" s="34">
        <v>23</v>
      </c>
      <c r="B24" s="165">
        <v>46.11732</v>
      </c>
      <c r="C24" s="165">
        <v>-91.21619</v>
      </c>
      <c r="D24" s="10">
        <v>15.5</v>
      </c>
      <c r="E24" s="10" t="s">
        <v>563</v>
      </c>
      <c r="F24" s="149">
        <v>0</v>
      </c>
      <c r="G24" s="34">
        <v>0</v>
      </c>
      <c r="H24" s="96">
        <v>0</v>
      </c>
      <c r="I24" s="10">
        <v>0</v>
      </c>
      <c r="J24" s="36">
        <v>0</v>
      </c>
      <c r="K24" s="36">
        <v>0</v>
      </c>
      <c r="L24" s="36">
        <v>0</v>
      </c>
      <c r="M24" s="36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46">
        <v>0</v>
      </c>
    </row>
    <row r="25" spans="1:44" ht="12.75">
      <c r="A25" s="34">
        <v>24</v>
      </c>
      <c r="B25" s="165">
        <v>46.11732</v>
      </c>
      <c r="C25" s="165">
        <v>-91.21572</v>
      </c>
      <c r="D25" s="10">
        <v>12</v>
      </c>
      <c r="E25" s="10" t="s">
        <v>563</v>
      </c>
      <c r="F25" s="149">
        <v>1</v>
      </c>
      <c r="G25" s="34">
        <v>0</v>
      </c>
      <c r="H25" s="96">
        <v>0</v>
      </c>
      <c r="I25" s="10">
        <v>0</v>
      </c>
      <c r="J25" s="36">
        <v>0</v>
      </c>
      <c r="K25" s="36">
        <v>0</v>
      </c>
      <c r="L25" s="36">
        <v>0</v>
      </c>
      <c r="M25" s="36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46">
        <v>0</v>
      </c>
    </row>
    <row r="26" spans="1:44" ht="12.75">
      <c r="A26" s="34">
        <v>25</v>
      </c>
      <c r="B26" s="165">
        <v>46.11733</v>
      </c>
      <c r="C26" s="165">
        <v>-91.21525</v>
      </c>
      <c r="D26" s="10">
        <v>4</v>
      </c>
      <c r="E26" s="10" t="s">
        <v>563</v>
      </c>
      <c r="F26" s="149">
        <v>1</v>
      </c>
      <c r="G26" s="34">
        <v>1</v>
      </c>
      <c r="H26" s="96">
        <v>5</v>
      </c>
      <c r="I26" s="10">
        <v>3</v>
      </c>
      <c r="J26" s="36">
        <v>0</v>
      </c>
      <c r="K26" s="36">
        <v>0</v>
      </c>
      <c r="L26" s="36">
        <v>1</v>
      </c>
      <c r="M26" s="36">
        <v>1</v>
      </c>
      <c r="N26" s="10">
        <v>0</v>
      </c>
      <c r="O26" s="10">
        <v>0</v>
      </c>
      <c r="P26" s="10">
        <v>1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4</v>
      </c>
      <c r="W26" s="10">
        <v>4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1</v>
      </c>
      <c r="AH26" s="10">
        <v>3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46">
        <v>0</v>
      </c>
    </row>
    <row r="27" spans="1:44" ht="12.75">
      <c r="A27" s="34">
        <v>26</v>
      </c>
      <c r="B27" s="165">
        <v>46.11733</v>
      </c>
      <c r="C27" s="165">
        <v>-91.21479</v>
      </c>
      <c r="D27" s="10">
        <v>5</v>
      </c>
      <c r="E27" s="10" t="s">
        <v>563</v>
      </c>
      <c r="F27" s="149">
        <v>1</v>
      </c>
      <c r="G27" s="34">
        <v>1</v>
      </c>
      <c r="H27" s="96">
        <v>3</v>
      </c>
      <c r="I27" s="10">
        <v>3</v>
      </c>
      <c r="J27" s="36">
        <v>0</v>
      </c>
      <c r="K27" s="36">
        <v>0</v>
      </c>
      <c r="L27" s="36">
        <v>0</v>
      </c>
      <c r="M27" s="36">
        <v>3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1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4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2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46">
        <v>0</v>
      </c>
    </row>
    <row r="28" spans="1:44" ht="12.75">
      <c r="A28" s="34">
        <v>27</v>
      </c>
      <c r="B28" s="165">
        <v>46.11734</v>
      </c>
      <c r="C28" s="165">
        <v>-91.21432</v>
      </c>
      <c r="D28" s="10">
        <v>4.5</v>
      </c>
      <c r="E28" s="10" t="s">
        <v>563</v>
      </c>
      <c r="F28" s="149">
        <v>1</v>
      </c>
      <c r="G28" s="34">
        <v>1</v>
      </c>
      <c r="H28" s="96">
        <v>4</v>
      </c>
      <c r="I28" s="10">
        <v>3</v>
      </c>
      <c r="J28" s="36">
        <v>0</v>
      </c>
      <c r="K28" s="36">
        <v>0</v>
      </c>
      <c r="L28" s="36">
        <v>0</v>
      </c>
      <c r="M28" s="36">
        <v>3</v>
      </c>
      <c r="N28" s="10">
        <v>0</v>
      </c>
      <c r="O28" s="10">
        <v>0</v>
      </c>
      <c r="P28" s="10">
        <v>0</v>
      </c>
      <c r="Q28" s="10">
        <v>0</v>
      </c>
      <c r="R28" s="10">
        <v>1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2</v>
      </c>
      <c r="Z28" s="10">
        <v>0</v>
      </c>
      <c r="AA28" s="10">
        <v>0</v>
      </c>
      <c r="AB28" s="10">
        <v>0</v>
      </c>
      <c r="AC28" s="10">
        <v>0</v>
      </c>
      <c r="AD28" s="10">
        <v>1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46">
        <v>0</v>
      </c>
    </row>
    <row r="29" spans="1:44" ht="12.75">
      <c r="A29" s="34">
        <v>28</v>
      </c>
      <c r="B29" s="165">
        <v>46.11734</v>
      </c>
      <c r="C29" s="165">
        <v>-91.21386</v>
      </c>
      <c r="D29" s="10">
        <v>4</v>
      </c>
      <c r="E29" s="10" t="s">
        <v>563</v>
      </c>
      <c r="F29" s="149">
        <v>1</v>
      </c>
      <c r="G29" s="34">
        <v>1</v>
      </c>
      <c r="H29" s="96">
        <v>2</v>
      </c>
      <c r="I29" s="10">
        <v>1</v>
      </c>
      <c r="J29" s="36">
        <v>0</v>
      </c>
      <c r="K29" s="36">
        <v>0</v>
      </c>
      <c r="L29" s="36">
        <v>0</v>
      </c>
      <c r="M29" s="36">
        <v>0</v>
      </c>
      <c r="N29" s="10">
        <v>0</v>
      </c>
      <c r="O29" s="10">
        <v>0</v>
      </c>
      <c r="P29" s="10">
        <v>0</v>
      </c>
      <c r="Q29" s="10">
        <v>0</v>
      </c>
      <c r="R29" s="10">
        <v>4</v>
      </c>
      <c r="S29" s="10">
        <v>0</v>
      </c>
      <c r="T29" s="10">
        <v>0</v>
      </c>
      <c r="U29" s="10">
        <v>0</v>
      </c>
      <c r="V29" s="10">
        <v>1</v>
      </c>
      <c r="W29" s="10">
        <v>0</v>
      </c>
      <c r="X29" s="10">
        <v>0</v>
      </c>
      <c r="Y29" s="10">
        <v>1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46">
        <v>0</v>
      </c>
    </row>
    <row r="30" spans="1:44" ht="12.75">
      <c r="A30" s="34">
        <v>29</v>
      </c>
      <c r="B30" s="165">
        <v>46.11735</v>
      </c>
      <c r="C30" s="165">
        <v>-91.21339</v>
      </c>
      <c r="D30" s="10">
        <v>3</v>
      </c>
      <c r="E30" s="10" t="s">
        <v>563</v>
      </c>
      <c r="F30" s="149">
        <v>1</v>
      </c>
      <c r="G30" s="34">
        <v>1</v>
      </c>
      <c r="H30" s="96">
        <v>5</v>
      </c>
      <c r="I30" s="10">
        <v>3</v>
      </c>
      <c r="J30" s="36">
        <v>0</v>
      </c>
      <c r="K30" s="36">
        <v>3</v>
      </c>
      <c r="L30" s="36">
        <v>0</v>
      </c>
      <c r="M30" s="36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1</v>
      </c>
      <c r="U30" s="10">
        <v>0</v>
      </c>
      <c r="V30" s="10">
        <v>0</v>
      </c>
      <c r="W30" s="10">
        <v>1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3</v>
      </c>
      <c r="AM30" s="10">
        <v>0</v>
      </c>
      <c r="AN30" s="10">
        <v>0</v>
      </c>
      <c r="AO30" s="10">
        <v>1</v>
      </c>
      <c r="AP30" s="10">
        <v>0</v>
      </c>
      <c r="AQ30" s="10">
        <v>0</v>
      </c>
      <c r="AR30" s="146">
        <v>0</v>
      </c>
    </row>
    <row r="31" spans="1:44" ht="12.75">
      <c r="A31" s="34">
        <v>30</v>
      </c>
      <c r="B31" s="165">
        <v>46.11735</v>
      </c>
      <c r="C31" s="165">
        <v>-91.21293</v>
      </c>
      <c r="D31" s="10">
        <v>4</v>
      </c>
      <c r="E31" s="10" t="s">
        <v>563</v>
      </c>
      <c r="F31" s="149">
        <v>1</v>
      </c>
      <c r="G31" s="34">
        <v>1</v>
      </c>
      <c r="H31" s="96">
        <v>5</v>
      </c>
      <c r="I31" s="10">
        <v>2</v>
      </c>
      <c r="J31" s="36">
        <v>0</v>
      </c>
      <c r="K31" s="36">
        <v>0</v>
      </c>
      <c r="L31" s="36">
        <v>1</v>
      </c>
      <c r="M31" s="36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1</v>
      </c>
      <c r="U31" s="10">
        <v>0</v>
      </c>
      <c r="V31" s="10">
        <v>0</v>
      </c>
      <c r="W31" s="10">
        <v>2</v>
      </c>
      <c r="X31" s="10">
        <v>4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1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4</v>
      </c>
      <c r="AL31" s="10">
        <v>2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46">
        <v>0</v>
      </c>
    </row>
    <row r="32" spans="1:44" ht="12.75">
      <c r="A32" s="34">
        <v>31</v>
      </c>
      <c r="B32" s="165">
        <v>46.11736</v>
      </c>
      <c r="C32" s="165">
        <v>-91.21246</v>
      </c>
      <c r="D32" s="10">
        <v>2</v>
      </c>
      <c r="E32" s="10" t="s">
        <v>563</v>
      </c>
      <c r="F32" s="149">
        <v>1</v>
      </c>
      <c r="G32" s="34">
        <v>1</v>
      </c>
      <c r="H32" s="96">
        <v>9</v>
      </c>
      <c r="I32" s="10">
        <v>3</v>
      </c>
      <c r="J32" s="36">
        <v>0</v>
      </c>
      <c r="K32" s="36">
        <v>2</v>
      </c>
      <c r="L32" s="36">
        <v>0</v>
      </c>
      <c r="M32" s="36">
        <v>0</v>
      </c>
      <c r="N32" s="10">
        <v>0</v>
      </c>
      <c r="O32" s="10">
        <v>0</v>
      </c>
      <c r="P32" s="10">
        <v>1</v>
      </c>
      <c r="Q32" s="10">
        <v>0</v>
      </c>
      <c r="R32" s="10">
        <v>0</v>
      </c>
      <c r="S32" s="10">
        <v>1</v>
      </c>
      <c r="T32" s="10">
        <v>1</v>
      </c>
      <c r="U32" s="10">
        <v>0</v>
      </c>
      <c r="V32" s="10">
        <v>2</v>
      </c>
      <c r="W32" s="10">
        <v>2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1</v>
      </c>
      <c r="AD32" s="10">
        <v>1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1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46">
        <v>0</v>
      </c>
    </row>
    <row r="33" spans="1:44" ht="12.75">
      <c r="A33" s="34">
        <v>32</v>
      </c>
      <c r="B33" s="165">
        <v>46.11763</v>
      </c>
      <c r="C33" s="165">
        <v>-91.21712</v>
      </c>
      <c r="D33" s="10">
        <v>10</v>
      </c>
      <c r="E33" s="10" t="s">
        <v>563</v>
      </c>
      <c r="F33" s="149">
        <v>1</v>
      </c>
      <c r="G33" s="34">
        <v>1</v>
      </c>
      <c r="H33" s="96">
        <v>1</v>
      </c>
      <c r="I33" s="10">
        <v>1</v>
      </c>
      <c r="J33" s="36">
        <v>0</v>
      </c>
      <c r="K33" s="36">
        <v>0</v>
      </c>
      <c r="L33" s="36">
        <v>1</v>
      </c>
      <c r="M33" s="36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46">
        <v>0</v>
      </c>
    </row>
    <row r="34" spans="1:44" ht="12.75">
      <c r="A34" s="34">
        <v>33</v>
      </c>
      <c r="B34" s="165">
        <v>46.11764</v>
      </c>
      <c r="C34" s="165">
        <v>-91.21666</v>
      </c>
      <c r="D34" s="10">
        <v>15.5</v>
      </c>
      <c r="E34" s="10" t="s">
        <v>563</v>
      </c>
      <c r="F34" s="149">
        <v>0</v>
      </c>
      <c r="G34" s="34">
        <v>0</v>
      </c>
      <c r="H34" s="96">
        <v>0</v>
      </c>
      <c r="I34" s="10">
        <v>0</v>
      </c>
      <c r="J34" s="36">
        <v>0</v>
      </c>
      <c r="K34" s="36">
        <v>0</v>
      </c>
      <c r="L34" s="36">
        <v>0</v>
      </c>
      <c r="M34" s="36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46">
        <v>0</v>
      </c>
    </row>
    <row r="35" spans="1:44" ht="12.75">
      <c r="A35" s="34">
        <v>34</v>
      </c>
      <c r="B35" s="165">
        <v>46.11764</v>
      </c>
      <c r="C35" s="165">
        <v>-91.21619</v>
      </c>
      <c r="D35" s="10">
        <v>17.5</v>
      </c>
      <c r="E35" s="10">
        <v>0</v>
      </c>
      <c r="F35" s="149">
        <v>0</v>
      </c>
      <c r="G35" s="34">
        <v>0</v>
      </c>
      <c r="H35" s="96">
        <v>0</v>
      </c>
      <c r="I35" s="10">
        <v>0</v>
      </c>
      <c r="J35" s="36">
        <v>0</v>
      </c>
      <c r="K35" s="36">
        <v>0</v>
      </c>
      <c r="L35" s="36">
        <v>0</v>
      </c>
      <c r="M35" s="36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46">
        <v>0</v>
      </c>
    </row>
    <row r="36" spans="1:44" ht="12.75">
      <c r="A36" s="34">
        <v>35</v>
      </c>
      <c r="B36" s="165">
        <v>46.11765</v>
      </c>
      <c r="C36" s="165">
        <v>-91.21573</v>
      </c>
      <c r="D36" s="10">
        <v>16</v>
      </c>
      <c r="E36" s="10" t="s">
        <v>563</v>
      </c>
      <c r="F36" s="149">
        <v>0</v>
      </c>
      <c r="G36" s="34">
        <v>0</v>
      </c>
      <c r="H36" s="96">
        <v>0</v>
      </c>
      <c r="I36" s="10">
        <v>0</v>
      </c>
      <c r="J36" s="36">
        <v>0</v>
      </c>
      <c r="K36" s="36">
        <v>0</v>
      </c>
      <c r="L36" s="36">
        <v>0</v>
      </c>
      <c r="M36" s="36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46">
        <v>0</v>
      </c>
    </row>
    <row r="37" spans="1:44" ht="12.75">
      <c r="A37" s="34">
        <v>36</v>
      </c>
      <c r="B37" s="165">
        <v>46.11765</v>
      </c>
      <c r="C37" s="165">
        <v>-91.21526</v>
      </c>
      <c r="D37" s="10">
        <v>8</v>
      </c>
      <c r="E37" s="10" t="s">
        <v>563</v>
      </c>
      <c r="F37" s="149">
        <v>1</v>
      </c>
      <c r="G37" s="34">
        <v>1</v>
      </c>
      <c r="H37" s="96">
        <v>2</v>
      </c>
      <c r="I37" s="10">
        <v>2</v>
      </c>
      <c r="J37" s="36">
        <v>0</v>
      </c>
      <c r="K37" s="36">
        <v>0</v>
      </c>
      <c r="L37" s="36">
        <v>2</v>
      </c>
      <c r="M37" s="36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2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46">
        <v>0</v>
      </c>
    </row>
    <row r="38" spans="1:44" ht="12.75">
      <c r="A38" s="34">
        <v>37</v>
      </c>
      <c r="B38" s="165">
        <v>46.11766</v>
      </c>
      <c r="C38" s="165">
        <v>-91.2148</v>
      </c>
      <c r="D38" s="10">
        <v>4.5</v>
      </c>
      <c r="E38" s="10" t="s">
        <v>563</v>
      </c>
      <c r="F38" s="149">
        <v>1</v>
      </c>
      <c r="G38" s="34">
        <v>1</v>
      </c>
      <c r="H38" s="96">
        <v>6</v>
      </c>
      <c r="I38" s="10">
        <v>3</v>
      </c>
      <c r="J38" s="36">
        <v>0</v>
      </c>
      <c r="K38" s="36">
        <v>0</v>
      </c>
      <c r="L38" s="36">
        <v>1</v>
      </c>
      <c r="M38" s="36">
        <v>3</v>
      </c>
      <c r="N38" s="10">
        <v>0</v>
      </c>
      <c r="O38" s="10">
        <v>0</v>
      </c>
      <c r="P38" s="10">
        <v>0</v>
      </c>
      <c r="Q38" s="10">
        <v>0</v>
      </c>
      <c r="R38" s="10">
        <v>4</v>
      </c>
      <c r="S38" s="10">
        <v>0</v>
      </c>
      <c r="T38" s="10">
        <v>0</v>
      </c>
      <c r="U38" s="10">
        <v>0</v>
      </c>
      <c r="V38" s="10">
        <v>2</v>
      </c>
      <c r="W38" s="10">
        <v>1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1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1</v>
      </c>
      <c r="AQ38" s="10">
        <v>0</v>
      </c>
      <c r="AR38" s="146">
        <v>0</v>
      </c>
    </row>
    <row r="39" spans="1:44" ht="12.75">
      <c r="A39" s="34">
        <v>38</v>
      </c>
      <c r="B39" s="165">
        <v>46.11766</v>
      </c>
      <c r="C39" s="165">
        <v>-91.21433</v>
      </c>
      <c r="D39" s="10">
        <v>5</v>
      </c>
      <c r="E39" s="10" t="s">
        <v>563</v>
      </c>
      <c r="F39" s="149">
        <v>1</v>
      </c>
      <c r="G39" s="34">
        <v>1</v>
      </c>
      <c r="H39" s="96">
        <v>1</v>
      </c>
      <c r="I39" s="10">
        <v>2</v>
      </c>
      <c r="J39" s="36">
        <v>0</v>
      </c>
      <c r="K39" s="36">
        <v>0</v>
      </c>
      <c r="L39" s="36">
        <v>0</v>
      </c>
      <c r="M39" s="36">
        <v>2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4</v>
      </c>
      <c r="AH39" s="10">
        <v>4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46">
        <v>0</v>
      </c>
    </row>
    <row r="40" spans="1:44" ht="12.75">
      <c r="A40" s="34">
        <v>39</v>
      </c>
      <c r="B40" s="165">
        <v>46.11767</v>
      </c>
      <c r="C40" s="165">
        <v>-91.21386</v>
      </c>
      <c r="D40" s="10">
        <v>5</v>
      </c>
      <c r="E40" s="10" t="s">
        <v>563</v>
      </c>
      <c r="F40" s="149">
        <v>1</v>
      </c>
      <c r="G40" s="34">
        <v>1</v>
      </c>
      <c r="H40" s="96">
        <v>2</v>
      </c>
      <c r="I40" s="10">
        <v>1</v>
      </c>
      <c r="J40" s="36">
        <v>0</v>
      </c>
      <c r="K40" s="36">
        <v>0</v>
      </c>
      <c r="L40" s="36">
        <v>1</v>
      </c>
      <c r="M40" s="36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4</v>
      </c>
      <c r="Z40" s="10">
        <v>0</v>
      </c>
      <c r="AA40" s="10">
        <v>0</v>
      </c>
      <c r="AB40" s="10">
        <v>0</v>
      </c>
      <c r="AC40" s="10">
        <v>0</v>
      </c>
      <c r="AD40" s="10">
        <v>4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1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46">
        <v>0</v>
      </c>
    </row>
    <row r="41" spans="1:44" ht="12.75">
      <c r="A41" s="34">
        <v>40</v>
      </c>
      <c r="B41" s="165">
        <v>46.11767</v>
      </c>
      <c r="C41" s="165">
        <v>-91.2134</v>
      </c>
      <c r="D41" s="10">
        <v>4.5</v>
      </c>
      <c r="E41" s="10" t="s">
        <v>563</v>
      </c>
      <c r="F41" s="149">
        <v>1</v>
      </c>
      <c r="G41" s="34">
        <v>1</v>
      </c>
      <c r="H41" s="96">
        <v>3</v>
      </c>
      <c r="I41" s="10">
        <v>1</v>
      </c>
      <c r="J41" s="36">
        <v>0</v>
      </c>
      <c r="K41" s="36">
        <v>0</v>
      </c>
      <c r="L41" s="36">
        <v>0</v>
      </c>
      <c r="M41" s="36">
        <v>1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1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1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46">
        <v>0</v>
      </c>
    </row>
    <row r="42" spans="1:44" ht="12.75">
      <c r="A42" s="34">
        <v>41</v>
      </c>
      <c r="B42" s="165">
        <v>46.11768</v>
      </c>
      <c r="C42" s="165">
        <v>-91.21293</v>
      </c>
      <c r="D42" s="10">
        <v>2.5</v>
      </c>
      <c r="E42" s="10" t="s">
        <v>563</v>
      </c>
      <c r="F42" s="149">
        <v>1</v>
      </c>
      <c r="G42" s="34">
        <v>1</v>
      </c>
      <c r="H42" s="96">
        <v>3</v>
      </c>
      <c r="I42" s="10">
        <v>3</v>
      </c>
      <c r="J42" s="36">
        <v>0</v>
      </c>
      <c r="K42" s="36">
        <v>0</v>
      </c>
      <c r="L42" s="36">
        <v>1</v>
      </c>
      <c r="M42" s="36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3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4</v>
      </c>
      <c r="AD42" s="10">
        <v>0</v>
      </c>
      <c r="AE42" s="10">
        <v>0</v>
      </c>
      <c r="AF42" s="10">
        <v>0</v>
      </c>
      <c r="AG42" s="10">
        <v>0</v>
      </c>
      <c r="AH42" s="10">
        <v>2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46">
        <v>0</v>
      </c>
    </row>
    <row r="43" spans="1:44" ht="12.75">
      <c r="A43" s="34">
        <v>42</v>
      </c>
      <c r="B43" s="165">
        <v>46.11768</v>
      </c>
      <c r="C43" s="165">
        <v>-91.21247</v>
      </c>
      <c r="D43" s="10">
        <v>3.5</v>
      </c>
      <c r="E43" s="10" t="s">
        <v>563</v>
      </c>
      <c r="F43" s="149">
        <v>1</v>
      </c>
      <c r="G43" s="34">
        <v>1</v>
      </c>
      <c r="H43" s="96">
        <v>2</v>
      </c>
      <c r="I43" s="10">
        <v>3</v>
      </c>
      <c r="J43" s="36">
        <v>0</v>
      </c>
      <c r="K43" s="36">
        <v>0</v>
      </c>
      <c r="L43" s="36">
        <v>0</v>
      </c>
      <c r="M43" s="36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2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1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46">
        <v>3</v>
      </c>
    </row>
    <row r="44" spans="1:44" ht="12.75">
      <c r="A44" s="34">
        <v>43</v>
      </c>
      <c r="B44" s="165">
        <v>46.11769</v>
      </c>
      <c r="C44" s="165">
        <v>-91.212</v>
      </c>
      <c r="D44" s="10">
        <v>4</v>
      </c>
      <c r="E44" s="10" t="s">
        <v>563</v>
      </c>
      <c r="F44" s="149">
        <v>1</v>
      </c>
      <c r="G44" s="34">
        <v>1</v>
      </c>
      <c r="H44" s="96">
        <v>4</v>
      </c>
      <c r="I44" s="10">
        <v>1</v>
      </c>
      <c r="J44" s="36">
        <v>0</v>
      </c>
      <c r="K44" s="36">
        <v>0</v>
      </c>
      <c r="L44" s="36">
        <v>0</v>
      </c>
      <c r="M44" s="36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1</v>
      </c>
      <c r="X44" s="10">
        <v>0</v>
      </c>
      <c r="Y44" s="10">
        <v>4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1</v>
      </c>
      <c r="AI44" s="10">
        <v>0</v>
      </c>
      <c r="AJ44" s="10">
        <v>0</v>
      </c>
      <c r="AK44" s="10">
        <v>0</v>
      </c>
      <c r="AL44" s="10">
        <v>1</v>
      </c>
      <c r="AM44" s="10">
        <v>0</v>
      </c>
      <c r="AN44" s="10">
        <v>0</v>
      </c>
      <c r="AO44" s="10">
        <v>1</v>
      </c>
      <c r="AP44" s="10">
        <v>0</v>
      </c>
      <c r="AQ44" s="10">
        <v>0</v>
      </c>
      <c r="AR44" s="146">
        <v>0</v>
      </c>
    </row>
    <row r="45" spans="1:44" ht="12.75">
      <c r="A45" s="34">
        <v>44</v>
      </c>
      <c r="B45" s="165">
        <v>46.11769</v>
      </c>
      <c r="C45" s="165">
        <v>-91.21154</v>
      </c>
      <c r="D45" s="10">
        <v>2.5</v>
      </c>
      <c r="E45" s="10" t="s">
        <v>563</v>
      </c>
      <c r="F45" s="149">
        <v>1</v>
      </c>
      <c r="G45" s="34">
        <v>1</v>
      </c>
      <c r="H45" s="96">
        <v>5</v>
      </c>
      <c r="I45" s="10">
        <v>3</v>
      </c>
      <c r="J45" s="36">
        <v>0</v>
      </c>
      <c r="K45" s="36">
        <v>2</v>
      </c>
      <c r="L45" s="36">
        <v>0</v>
      </c>
      <c r="M45" s="36">
        <v>0</v>
      </c>
      <c r="N45" s="10">
        <v>0</v>
      </c>
      <c r="O45" s="10">
        <v>0</v>
      </c>
      <c r="P45" s="10">
        <v>0</v>
      </c>
      <c r="Q45" s="10">
        <v>2</v>
      </c>
      <c r="R45" s="10">
        <v>0</v>
      </c>
      <c r="S45" s="10">
        <v>0</v>
      </c>
      <c r="T45" s="10">
        <v>0</v>
      </c>
      <c r="U45" s="10">
        <v>0</v>
      </c>
      <c r="V45" s="10">
        <v>1</v>
      </c>
      <c r="W45" s="10">
        <v>3</v>
      </c>
      <c r="X45" s="10">
        <v>4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1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46">
        <v>0</v>
      </c>
    </row>
    <row r="46" spans="1:44" ht="12.75">
      <c r="A46" s="34">
        <v>45</v>
      </c>
      <c r="B46" s="165">
        <v>46.11795</v>
      </c>
      <c r="C46" s="165">
        <v>-91.21806</v>
      </c>
      <c r="D46" s="10">
        <v>3</v>
      </c>
      <c r="E46" s="10" t="s">
        <v>563</v>
      </c>
      <c r="F46" s="149">
        <v>1</v>
      </c>
      <c r="G46" s="34">
        <v>1</v>
      </c>
      <c r="H46" s="96">
        <v>4</v>
      </c>
      <c r="I46" s="10">
        <v>2</v>
      </c>
      <c r="J46" s="36">
        <v>0</v>
      </c>
      <c r="K46" s="36">
        <v>0</v>
      </c>
      <c r="L46" s="36">
        <v>0</v>
      </c>
      <c r="M46" s="36">
        <v>0</v>
      </c>
      <c r="N46" s="10">
        <v>0</v>
      </c>
      <c r="O46" s="10">
        <v>0</v>
      </c>
      <c r="P46" s="10">
        <v>0</v>
      </c>
      <c r="Q46" s="10">
        <v>1</v>
      </c>
      <c r="R46" s="10">
        <v>4</v>
      </c>
      <c r="S46" s="10">
        <v>0</v>
      </c>
      <c r="T46" s="10">
        <v>1</v>
      </c>
      <c r="U46" s="10">
        <v>0</v>
      </c>
      <c r="V46" s="10">
        <v>0</v>
      </c>
      <c r="W46" s="10">
        <v>2</v>
      </c>
      <c r="X46" s="10">
        <v>0</v>
      </c>
      <c r="Y46" s="10">
        <v>4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4</v>
      </c>
      <c r="AH46" s="10">
        <v>1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46">
        <v>2</v>
      </c>
    </row>
    <row r="47" spans="1:44" ht="12.75">
      <c r="A47" s="34">
        <v>46</v>
      </c>
      <c r="B47" s="165">
        <v>46.11795</v>
      </c>
      <c r="C47" s="165">
        <v>-91.2176</v>
      </c>
      <c r="D47" s="10">
        <v>5</v>
      </c>
      <c r="E47" s="10" t="s">
        <v>563</v>
      </c>
      <c r="F47" s="149">
        <v>1</v>
      </c>
      <c r="G47" s="34">
        <v>1</v>
      </c>
      <c r="H47" s="96">
        <v>6</v>
      </c>
      <c r="I47" s="10">
        <v>2</v>
      </c>
      <c r="J47" s="36">
        <v>0</v>
      </c>
      <c r="K47" s="36">
        <v>0</v>
      </c>
      <c r="L47" s="36">
        <v>1</v>
      </c>
      <c r="M47" s="36">
        <v>0</v>
      </c>
      <c r="N47" s="10">
        <v>0</v>
      </c>
      <c r="O47" s="10">
        <v>0</v>
      </c>
      <c r="P47" s="10">
        <v>1</v>
      </c>
      <c r="Q47" s="10">
        <v>0</v>
      </c>
      <c r="R47" s="10">
        <v>4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1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1</v>
      </c>
      <c r="AF47" s="10">
        <v>0</v>
      </c>
      <c r="AG47" s="10">
        <v>1</v>
      </c>
      <c r="AH47" s="10">
        <v>2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46">
        <v>0</v>
      </c>
    </row>
    <row r="48" spans="1:44" ht="12.75">
      <c r="A48" s="34">
        <v>47</v>
      </c>
      <c r="B48" s="165">
        <v>46.11796</v>
      </c>
      <c r="C48" s="165">
        <v>-91.21713</v>
      </c>
      <c r="D48" s="10">
        <v>12.5</v>
      </c>
      <c r="E48" s="10" t="s">
        <v>563</v>
      </c>
      <c r="F48" s="149">
        <v>1</v>
      </c>
      <c r="G48" s="34">
        <v>0</v>
      </c>
      <c r="H48" s="96">
        <v>0</v>
      </c>
      <c r="I48" s="10">
        <v>0</v>
      </c>
      <c r="J48" s="36">
        <v>0</v>
      </c>
      <c r="K48" s="36">
        <v>0</v>
      </c>
      <c r="L48" s="36">
        <v>0</v>
      </c>
      <c r="M48" s="36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46">
        <v>0</v>
      </c>
    </row>
    <row r="49" spans="1:44" ht="12.75">
      <c r="A49" s="34">
        <v>48</v>
      </c>
      <c r="B49" s="165">
        <v>46.11796</v>
      </c>
      <c r="C49" s="165">
        <v>-91.21667</v>
      </c>
      <c r="D49" s="10">
        <v>17.5</v>
      </c>
      <c r="E49" s="10">
        <v>0</v>
      </c>
      <c r="F49" s="149">
        <v>0</v>
      </c>
      <c r="G49" s="34">
        <v>0</v>
      </c>
      <c r="H49" s="96">
        <v>0</v>
      </c>
      <c r="I49" s="10">
        <v>0</v>
      </c>
      <c r="J49" s="36">
        <v>0</v>
      </c>
      <c r="K49" s="36">
        <v>0</v>
      </c>
      <c r="L49" s="36">
        <v>0</v>
      </c>
      <c r="M49" s="36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46">
        <v>0</v>
      </c>
    </row>
    <row r="50" spans="1:44" ht="12.75">
      <c r="A50" s="34">
        <v>49</v>
      </c>
      <c r="B50" s="165">
        <v>46.11797</v>
      </c>
      <c r="C50" s="165">
        <v>-91.2162</v>
      </c>
      <c r="D50" s="10">
        <v>19.5</v>
      </c>
      <c r="E50" s="10">
        <v>0</v>
      </c>
      <c r="F50" s="149">
        <v>0</v>
      </c>
      <c r="G50" s="34">
        <v>0</v>
      </c>
      <c r="H50" s="96">
        <v>0</v>
      </c>
      <c r="I50" s="10">
        <v>0</v>
      </c>
      <c r="J50" s="36">
        <v>0</v>
      </c>
      <c r="K50" s="36">
        <v>0</v>
      </c>
      <c r="L50" s="36">
        <v>0</v>
      </c>
      <c r="M50" s="36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46">
        <v>0</v>
      </c>
    </row>
    <row r="51" spans="1:44" ht="12.75">
      <c r="A51" s="34">
        <v>50</v>
      </c>
      <c r="B51" s="165">
        <v>46.11797</v>
      </c>
      <c r="C51" s="165">
        <v>-91.21573</v>
      </c>
      <c r="D51" s="10">
        <v>22</v>
      </c>
      <c r="E51" s="10">
        <v>0</v>
      </c>
      <c r="F51" s="149">
        <v>0</v>
      </c>
      <c r="G51" s="34">
        <v>0</v>
      </c>
      <c r="H51" s="96">
        <v>0</v>
      </c>
      <c r="I51" s="10">
        <v>0</v>
      </c>
      <c r="J51" s="36">
        <v>0</v>
      </c>
      <c r="K51" s="36">
        <v>0</v>
      </c>
      <c r="L51" s="36">
        <v>0</v>
      </c>
      <c r="M51" s="36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46">
        <v>0</v>
      </c>
    </row>
    <row r="52" spans="1:44" ht="12.75">
      <c r="A52" s="34">
        <v>51</v>
      </c>
      <c r="B52" s="165">
        <v>46.11798</v>
      </c>
      <c r="C52" s="165">
        <v>-91.21527</v>
      </c>
      <c r="D52" s="10">
        <v>13.5</v>
      </c>
      <c r="E52" s="10" t="s">
        <v>563</v>
      </c>
      <c r="F52" s="149">
        <v>1</v>
      </c>
      <c r="G52" s="34">
        <v>0</v>
      </c>
      <c r="H52" s="96">
        <v>0</v>
      </c>
      <c r="I52" s="10">
        <v>0</v>
      </c>
      <c r="J52" s="36">
        <v>0</v>
      </c>
      <c r="K52" s="36">
        <v>0</v>
      </c>
      <c r="L52" s="36">
        <v>0</v>
      </c>
      <c r="M52" s="36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46">
        <v>0</v>
      </c>
    </row>
    <row r="53" spans="1:44" ht="12.75">
      <c r="A53" s="34">
        <v>52</v>
      </c>
      <c r="B53" s="165">
        <v>46.11798</v>
      </c>
      <c r="C53" s="165">
        <v>-91.2148</v>
      </c>
      <c r="D53" s="10">
        <v>6</v>
      </c>
      <c r="E53" s="10" t="s">
        <v>563</v>
      </c>
      <c r="F53" s="149">
        <v>1</v>
      </c>
      <c r="G53" s="34">
        <v>1</v>
      </c>
      <c r="H53" s="96">
        <v>4</v>
      </c>
      <c r="I53" s="10">
        <v>2</v>
      </c>
      <c r="J53" s="36">
        <v>0</v>
      </c>
      <c r="K53" s="36">
        <v>0</v>
      </c>
      <c r="L53" s="36">
        <v>1</v>
      </c>
      <c r="M53" s="36">
        <v>0</v>
      </c>
      <c r="N53" s="10">
        <v>0</v>
      </c>
      <c r="O53" s="10">
        <v>0</v>
      </c>
      <c r="P53" s="10">
        <v>0</v>
      </c>
      <c r="Q53" s="10">
        <v>0</v>
      </c>
      <c r="R53" s="10">
        <v>1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1</v>
      </c>
      <c r="AE53" s="10">
        <v>0</v>
      </c>
      <c r="AF53" s="10">
        <v>0</v>
      </c>
      <c r="AG53" s="10">
        <v>0</v>
      </c>
      <c r="AH53" s="10">
        <v>2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46">
        <v>0</v>
      </c>
    </row>
    <row r="54" spans="1:44" ht="12.75">
      <c r="A54" s="34">
        <v>53</v>
      </c>
      <c r="B54" s="165">
        <v>46.11799</v>
      </c>
      <c r="C54" s="165">
        <v>-91.21434</v>
      </c>
      <c r="D54" s="10">
        <v>4</v>
      </c>
      <c r="E54" s="10" t="s">
        <v>563</v>
      </c>
      <c r="F54" s="149">
        <v>1</v>
      </c>
      <c r="G54" s="34">
        <v>1</v>
      </c>
      <c r="H54" s="96">
        <v>6</v>
      </c>
      <c r="I54" s="10">
        <v>3</v>
      </c>
      <c r="J54" s="36">
        <v>0</v>
      </c>
      <c r="K54" s="36">
        <v>0</v>
      </c>
      <c r="L54" s="36">
        <v>1</v>
      </c>
      <c r="M54" s="36">
        <v>0</v>
      </c>
      <c r="N54" s="10">
        <v>0</v>
      </c>
      <c r="O54" s="10">
        <v>0</v>
      </c>
      <c r="P54" s="10">
        <v>1</v>
      </c>
      <c r="Q54" s="10">
        <v>0</v>
      </c>
      <c r="R54" s="10">
        <v>1</v>
      </c>
      <c r="S54" s="10">
        <v>0</v>
      </c>
      <c r="T54" s="10">
        <v>0</v>
      </c>
      <c r="U54" s="10">
        <v>0</v>
      </c>
      <c r="V54" s="10">
        <v>1</v>
      </c>
      <c r="W54" s="10">
        <v>2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1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46">
        <v>0</v>
      </c>
    </row>
    <row r="55" spans="1:44" ht="12.75">
      <c r="A55" s="34">
        <v>54</v>
      </c>
      <c r="B55" s="165">
        <v>46.11799</v>
      </c>
      <c r="C55" s="165">
        <v>-91.21387</v>
      </c>
      <c r="D55" s="10">
        <v>4</v>
      </c>
      <c r="E55" s="10" t="s">
        <v>563</v>
      </c>
      <c r="F55" s="149">
        <v>1</v>
      </c>
      <c r="G55" s="34">
        <v>1</v>
      </c>
      <c r="H55" s="96">
        <v>5</v>
      </c>
      <c r="I55" s="10">
        <v>3</v>
      </c>
      <c r="J55" s="36">
        <v>0</v>
      </c>
      <c r="K55" s="36">
        <v>0</v>
      </c>
      <c r="L55" s="36">
        <v>0</v>
      </c>
      <c r="M55" s="36">
        <v>2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1</v>
      </c>
      <c r="W55" s="10">
        <v>2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1</v>
      </c>
      <c r="AI55" s="10">
        <v>0</v>
      </c>
      <c r="AJ55" s="10">
        <v>0</v>
      </c>
      <c r="AK55" s="10">
        <v>0</v>
      </c>
      <c r="AL55" s="10">
        <v>1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46">
        <v>0</v>
      </c>
    </row>
    <row r="56" spans="1:44" ht="12.75">
      <c r="A56" s="34">
        <v>55</v>
      </c>
      <c r="B56" s="165">
        <v>46.118</v>
      </c>
      <c r="C56" s="165">
        <v>-91.21341</v>
      </c>
      <c r="D56" s="10">
        <v>5</v>
      </c>
      <c r="E56" s="10" t="s">
        <v>563</v>
      </c>
      <c r="F56" s="149">
        <v>1</v>
      </c>
      <c r="G56" s="34">
        <v>1</v>
      </c>
      <c r="H56" s="96">
        <v>3</v>
      </c>
      <c r="I56" s="10">
        <v>2</v>
      </c>
      <c r="J56" s="36">
        <v>0</v>
      </c>
      <c r="K56" s="36">
        <v>0</v>
      </c>
      <c r="L56" s="36">
        <v>0</v>
      </c>
      <c r="M56" s="36">
        <v>0</v>
      </c>
      <c r="N56" s="10">
        <v>0</v>
      </c>
      <c r="O56" s="10">
        <v>0</v>
      </c>
      <c r="P56" s="10">
        <v>0</v>
      </c>
      <c r="Q56" s="10">
        <v>0</v>
      </c>
      <c r="R56" s="10">
        <v>1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1</v>
      </c>
      <c r="AE56" s="10">
        <v>0</v>
      </c>
      <c r="AF56" s="10">
        <v>0</v>
      </c>
      <c r="AG56" s="10">
        <v>0</v>
      </c>
      <c r="AH56" s="10">
        <v>2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46">
        <v>0</v>
      </c>
    </row>
    <row r="57" spans="1:44" ht="12.75">
      <c r="A57" s="34">
        <v>56</v>
      </c>
      <c r="B57" s="165">
        <v>46.118</v>
      </c>
      <c r="C57" s="165">
        <v>-91.21294</v>
      </c>
      <c r="D57" s="10">
        <v>8</v>
      </c>
      <c r="E57" s="10" t="s">
        <v>563</v>
      </c>
      <c r="F57" s="149">
        <v>1</v>
      </c>
      <c r="G57" s="34">
        <v>1</v>
      </c>
      <c r="H57" s="96">
        <v>2</v>
      </c>
      <c r="I57" s="10">
        <v>1</v>
      </c>
      <c r="J57" s="36">
        <v>0</v>
      </c>
      <c r="K57" s="36">
        <v>0</v>
      </c>
      <c r="L57" s="36">
        <v>0</v>
      </c>
      <c r="M57" s="36">
        <v>0</v>
      </c>
      <c r="N57" s="10">
        <v>0</v>
      </c>
      <c r="O57" s="10">
        <v>0</v>
      </c>
      <c r="P57" s="10">
        <v>0</v>
      </c>
      <c r="Q57" s="10">
        <v>0</v>
      </c>
      <c r="R57" s="10">
        <v>1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1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46">
        <v>0</v>
      </c>
    </row>
    <row r="58" spans="1:44" ht="12.75">
      <c r="A58" s="34">
        <v>57</v>
      </c>
      <c r="B58" s="165">
        <v>46.11801</v>
      </c>
      <c r="C58" s="165">
        <v>-91.21247</v>
      </c>
      <c r="D58" s="10">
        <v>7.5</v>
      </c>
      <c r="E58" s="10" t="s">
        <v>563</v>
      </c>
      <c r="F58" s="149">
        <v>1</v>
      </c>
      <c r="G58" s="34">
        <v>1</v>
      </c>
      <c r="H58" s="96">
        <v>5</v>
      </c>
      <c r="I58" s="10">
        <v>1</v>
      </c>
      <c r="J58" s="36">
        <v>0</v>
      </c>
      <c r="K58" s="36">
        <v>0</v>
      </c>
      <c r="L58" s="36">
        <v>1</v>
      </c>
      <c r="M58" s="36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1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4</v>
      </c>
      <c r="AE58" s="10">
        <v>0</v>
      </c>
      <c r="AF58" s="10">
        <v>0</v>
      </c>
      <c r="AG58" s="10">
        <v>0</v>
      </c>
      <c r="AH58" s="10">
        <v>1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1</v>
      </c>
      <c r="AP58" s="10">
        <v>1</v>
      </c>
      <c r="AQ58" s="10">
        <v>0</v>
      </c>
      <c r="AR58" s="146">
        <v>0</v>
      </c>
    </row>
    <row r="59" spans="1:44" ht="12.75">
      <c r="A59" s="34">
        <v>58</v>
      </c>
      <c r="B59" s="165">
        <v>46.11801</v>
      </c>
      <c r="C59" s="165">
        <v>-91.21201</v>
      </c>
      <c r="D59" s="10">
        <v>4.5</v>
      </c>
      <c r="E59" s="10" t="s">
        <v>563</v>
      </c>
      <c r="F59" s="149">
        <v>1</v>
      </c>
      <c r="G59" s="34">
        <v>1</v>
      </c>
      <c r="H59" s="96">
        <v>1</v>
      </c>
      <c r="I59" s="10">
        <v>1</v>
      </c>
      <c r="J59" s="36">
        <v>0</v>
      </c>
      <c r="K59" s="36">
        <v>0</v>
      </c>
      <c r="L59" s="36">
        <v>0</v>
      </c>
      <c r="M59" s="36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1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46">
        <v>0</v>
      </c>
    </row>
    <row r="60" spans="1:44" ht="12.75">
      <c r="A60" s="34">
        <v>59</v>
      </c>
      <c r="B60" s="165">
        <v>46.11802</v>
      </c>
      <c r="C60" s="165">
        <v>-91.21154</v>
      </c>
      <c r="D60" s="10">
        <v>4.5</v>
      </c>
      <c r="E60" s="10" t="s">
        <v>563</v>
      </c>
      <c r="F60" s="149">
        <v>1</v>
      </c>
      <c r="G60" s="34">
        <v>1</v>
      </c>
      <c r="H60" s="96">
        <v>2</v>
      </c>
      <c r="I60" s="10">
        <v>2</v>
      </c>
      <c r="J60" s="36">
        <v>0</v>
      </c>
      <c r="K60" s="36">
        <v>0</v>
      </c>
      <c r="L60" s="36">
        <v>0</v>
      </c>
      <c r="M60" s="36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2</v>
      </c>
      <c r="U60" s="10">
        <v>0</v>
      </c>
      <c r="V60" s="10">
        <v>4</v>
      </c>
      <c r="W60" s="10">
        <v>0</v>
      </c>
      <c r="X60" s="10">
        <v>0</v>
      </c>
      <c r="Y60" s="10">
        <v>1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46">
        <v>0</v>
      </c>
    </row>
    <row r="61" spans="1:44" ht="12.75">
      <c r="A61" s="34">
        <v>60</v>
      </c>
      <c r="B61" s="165">
        <v>46.11802</v>
      </c>
      <c r="C61" s="165">
        <v>-91.21108</v>
      </c>
      <c r="D61" s="10">
        <v>4</v>
      </c>
      <c r="E61" s="10" t="s">
        <v>563</v>
      </c>
      <c r="F61" s="149">
        <v>1</v>
      </c>
      <c r="G61" s="34">
        <v>1</v>
      </c>
      <c r="H61" s="96">
        <v>5</v>
      </c>
      <c r="I61" s="10">
        <v>2</v>
      </c>
      <c r="J61" s="36">
        <v>0</v>
      </c>
      <c r="K61" s="36">
        <v>0</v>
      </c>
      <c r="L61" s="36">
        <v>0</v>
      </c>
      <c r="M61" s="36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1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1</v>
      </c>
      <c r="AH61" s="10">
        <v>2</v>
      </c>
      <c r="AI61" s="10">
        <v>0</v>
      </c>
      <c r="AJ61" s="10">
        <v>0</v>
      </c>
      <c r="AK61" s="10">
        <v>0</v>
      </c>
      <c r="AL61" s="10">
        <v>1</v>
      </c>
      <c r="AM61" s="10">
        <v>0</v>
      </c>
      <c r="AN61" s="10">
        <v>0</v>
      </c>
      <c r="AO61" s="10">
        <v>1</v>
      </c>
      <c r="AP61" s="10">
        <v>0</v>
      </c>
      <c r="AQ61" s="10">
        <v>0</v>
      </c>
      <c r="AR61" s="146">
        <v>0</v>
      </c>
    </row>
    <row r="62" spans="1:44" ht="12.75">
      <c r="A62" s="34">
        <v>61</v>
      </c>
      <c r="B62" s="165">
        <v>46.11827</v>
      </c>
      <c r="C62" s="165">
        <v>-91.21807</v>
      </c>
      <c r="D62" s="10">
        <v>6</v>
      </c>
      <c r="E62" s="10" t="s">
        <v>563</v>
      </c>
      <c r="F62" s="149">
        <v>1</v>
      </c>
      <c r="G62" s="34">
        <v>1</v>
      </c>
      <c r="H62" s="96">
        <v>3</v>
      </c>
      <c r="I62" s="10">
        <v>3</v>
      </c>
      <c r="J62" s="36">
        <v>0</v>
      </c>
      <c r="K62" s="36">
        <v>0</v>
      </c>
      <c r="L62" s="36">
        <v>4</v>
      </c>
      <c r="M62" s="36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3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2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1</v>
      </c>
      <c r="AQ62" s="10">
        <v>0</v>
      </c>
      <c r="AR62" s="146">
        <v>0</v>
      </c>
    </row>
    <row r="63" spans="1:44" ht="12.75">
      <c r="A63" s="34">
        <v>62</v>
      </c>
      <c r="B63" s="165">
        <v>46.11828</v>
      </c>
      <c r="C63" s="165">
        <v>-91.2176</v>
      </c>
      <c r="D63" s="10">
        <v>6</v>
      </c>
      <c r="E63" s="10" t="s">
        <v>563</v>
      </c>
      <c r="F63" s="149">
        <v>1</v>
      </c>
      <c r="G63" s="34">
        <v>1</v>
      </c>
      <c r="H63" s="96">
        <v>3</v>
      </c>
      <c r="I63" s="10">
        <v>2</v>
      </c>
      <c r="J63" s="36">
        <v>0</v>
      </c>
      <c r="K63" s="36">
        <v>0</v>
      </c>
      <c r="L63" s="36">
        <v>1</v>
      </c>
      <c r="M63" s="36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1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2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46">
        <v>0</v>
      </c>
    </row>
    <row r="64" spans="1:44" ht="12.75">
      <c r="A64" s="34">
        <v>63</v>
      </c>
      <c r="B64" s="165">
        <v>46.11828</v>
      </c>
      <c r="C64" s="165">
        <v>-91.21714</v>
      </c>
      <c r="D64" s="10">
        <v>13</v>
      </c>
      <c r="E64" s="10" t="s">
        <v>563</v>
      </c>
      <c r="F64" s="149">
        <v>1</v>
      </c>
      <c r="G64" s="34">
        <v>0</v>
      </c>
      <c r="H64" s="96">
        <v>0</v>
      </c>
      <c r="I64" s="10">
        <v>0</v>
      </c>
      <c r="J64" s="36">
        <v>0</v>
      </c>
      <c r="K64" s="36">
        <v>0</v>
      </c>
      <c r="L64" s="36">
        <v>0</v>
      </c>
      <c r="M64" s="36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46">
        <v>0</v>
      </c>
    </row>
    <row r="65" spans="1:44" ht="12.75">
      <c r="A65" s="34">
        <v>64</v>
      </c>
      <c r="B65" s="165">
        <v>46.11829</v>
      </c>
      <c r="C65" s="165">
        <v>-91.21667</v>
      </c>
      <c r="D65" s="10">
        <v>21</v>
      </c>
      <c r="E65" s="10">
        <v>0</v>
      </c>
      <c r="F65" s="149">
        <v>0</v>
      </c>
      <c r="G65" s="34">
        <v>0</v>
      </c>
      <c r="H65" s="96">
        <v>0</v>
      </c>
      <c r="I65" s="10">
        <v>0</v>
      </c>
      <c r="J65" s="36">
        <v>0</v>
      </c>
      <c r="K65" s="36">
        <v>0</v>
      </c>
      <c r="L65" s="36">
        <v>0</v>
      </c>
      <c r="M65" s="36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46">
        <v>0</v>
      </c>
    </row>
    <row r="66" spans="1:44" ht="12.75">
      <c r="A66" s="34">
        <v>65</v>
      </c>
      <c r="B66" s="165">
        <v>46.11829</v>
      </c>
      <c r="C66" s="165">
        <v>-91.21621</v>
      </c>
      <c r="D66" s="10">
        <v>20.5</v>
      </c>
      <c r="E66" s="10">
        <v>0</v>
      </c>
      <c r="F66" s="149">
        <v>0</v>
      </c>
      <c r="G66" s="34">
        <v>0</v>
      </c>
      <c r="H66" s="96">
        <v>0</v>
      </c>
      <c r="I66" s="10">
        <v>0</v>
      </c>
      <c r="J66" s="36">
        <v>0</v>
      </c>
      <c r="K66" s="36">
        <v>0</v>
      </c>
      <c r="L66" s="36">
        <v>0</v>
      </c>
      <c r="M66" s="36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46">
        <v>0</v>
      </c>
    </row>
    <row r="67" spans="1:44" ht="12.75">
      <c r="A67" s="34">
        <v>66</v>
      </c>
      <c r="B67" s="165">
        <v>46.1183</v>
      </c>
      <c r="C67" s="165">
        <v>-91.21574</v>
      </c>
      <c r="D67" s="10">
        <v>26.5</v>
      </c>
      <c r="E67" s="10">
        <v>0</v>
      </c>
      <c r="F67" s="149">
        <v>0</v>
      </c>
      <c r="G67" s="34">
        <v>0</v>
      </c>
      <c r="H67" s="96">
        <v>0</v>
      </c>
      <c r="I67" s="10">
        <v>0</v>
      </c>
      <c r="J67" s="36">
        <v>0</v>
      </c>
      <c r="K67" s="36">
        <v>0</v>
      </c>
      <c r="L67" s="36">
        <v>0</v>
      </c>
      <c r="M67" s="36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46">
        <v>0</v>
      </c>
    </row>
    <row r="68" spans="1:44" ht="12.75">
      <c r="A68" s="34">
        <v>67</v>
      </c>
      <c r="B68" s="165">
        <v>46.1183</v>
      </c>
      <c r="C68" s="165">
        <v>-91.21528</v>
      </c>
      <c r="D68" s="10">
        <v>18</v>
      </c>
      <c r="E68" s="10">
        <v>0</v>
      </c>
      <c r="F68" s="149">
        <v>0</v>
      </c>
      <c r="G68" s="34">
        <v>0</v>
      </c>
      <c r="H68" s="96">
        <v>0</v>
      </c>
      <c r="I68" s="10">
        <v>0</v>
      </c>
      <c r="J68" s="36">
        <v>0</v>
      </c>
      <c r="K68" s="36">
        <v>0</v>
      </c>
      <c r="L68" s="36">
        <v>0</v>
      </c>
      <c r="M68" s="36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46">
        <v>0</v>
      </c>
    </row>
    <row r="69" spans="1:44" ht="12.75">
      <c r="A69" s="34">
        <v>68</v>
      </c>
      <c r="B69" s="165">
        <v>46.1183</v>
      </c>
      <c r="C69" s="165">
        <v>-91.21481</v>
      </c>
      <c r="D69" s="10">
        <v>12.5</v>
      </c>
      <c r="E69" s="10" t="s">
        <v>563</v>
      </c>
      <c r="F69" s="149">
        <v>1</v>
      </c>
      <c r="G69" s="34">
        <v>0</v>
      </c>
      <c r="H69" s="96">
        <v>0</v>
      </c>
      <c r="I69" s="10">
        <v>0</v>
      </c>
      <c r="J69" s="36">
        <v>0</v>
      </c>
      <c r="K69" s="36">
        <v>0</v>
      </c>
      <c r="L69" s="36">
        <v>0</v>
      </c>
      <c r="M69" s="36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46">
        <v>0</v>
      </c>
    </row>
    <row r="70" spans="1:44" ht="12.75">
      <c r="A70" s="34">
        <v>69</v>
      </c>
      <c r="B70" s="165">
        <v>46.11831</v>
      </c>
      <c r="C70" s="165">
        <v>-91.21434</v>
      </c>
      <c r="D70" s="10">
        <v>5</v>
      </c>
      <c r="E70" s="10" t="s">
        <v>563</v>
      </c>
      <c r="F70" s="149">
        <v>1</v>
      </c>
      <c r="G70" s="34">
        <v>1</v>
      </c>
      <c r="H70" s="96">
        <v>2</v>
      </c>
      <c r="I70" s="10">
        <v>3</v>
      </c>
      <c r="J70" s="36">
        <v>0</v>
      </c>
      <c r="K70" s="36">
        <v>0</v>
      </c>
      <c r="L70" s="36">
        <v>1</v>
      </c>
      <c r="M70" s="36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4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3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46">
        <v>0</v>
      </c>
    </row>
    <row r="71" spans="1:44" ht="12.75">
      <c r="A71" s="34">
        <v>70</v>
      </c>
      <c r="B71" s="165">
        <v>46.11832</v>
      </c>
      <c r="C71" s="165">
        <v>-91.21388</v>
      </c>
      <c r="D71" s="10">
        <v>4</v>
      </c>
      <c r="E71" s="10" t="s">
        <v>563</v>
      </c>
      <c r="F71" s="149">
        <v>1</v>
      </c>
      <c r="G71" s="34">
        <v>1</v>
      </c>
      <c r="H71" s="96">
        <v>5</v>
      </c>
      <c r="I71" s="10">
        <v>3</v>
      </c>
      <c r="J71" s="36">
        <v>0</v>
      </c>
      <c r="K71" s="36">
        <v>0</v>
      </c>
      <c r="L71" s="36">
        <v>0</v>
      </c>
      <c r="M71" s="36">
        <v>2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3</v>
      </c>
      <c r="W71" s="10">
        <v>1</v>
      </c>
      <c r="X71" s="10">
        <v>0</v>
      </c>
      <c r="Y71" s="10">
        <v>1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1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46">
        <v>0</v>
      </c>
    </row>
    <row r="72" spans="1:44" ht="12.75">
      <c r="A72" s="34">
        <v>71</v>
      </c>
      <c r="B72" s="165">
        <v>46.11832</v>
      </c>
      <c r="C72" s="165">
        <v>-91.21341</v>
      </c>
      <c r="D72" s="10">
        <v>8</v>
      </c>
      <c r="E72" s="10" t="s">
        <v>563</v>
      </c>
      <c r="F72" s="149">
        <v>1</v>
      </c>
      <c r="G72" s="34">
        <v>1</v>
      </c>
      <c r="H72" s="96">
        <v>3</v>
      </c>
      <c r="I72" s="10">
        <v>1</v>
      </c>
      <c r="J72" s="36">
        <v>0</v>
      </c>
      <c r="K72" s="36">
        <v>0</v>
      </c>
      <c r="L72" s="36">
        <v>0</v>
      </c>
      <c r="M72" s="36">
        <v>1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1</v>
      </c>
      <c r="U72" s="10">
        <v>0</v>
      </c>
      <c r="V72" s="10">
        <v>0</v>
      </c>
      <c r="W72" s="10">
        <v>0</v>
      </c>
      <c r="X72" s="10">
        <v>0</v>
      </c>
      <c r="Y72" s="10">
        <v>4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1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46">
        <v>0</v>
      </c>
    </row>
    <row r="73" spans="1:44" ht="12.75">
      <c r="A73" s="34">
        <v>72</v>
      </c>
      <c r="B73" s="165">
        <v>46.11833</v>
      </c>
      <c r="C73" s="165">
        <v>-91.21295</v>
      </c>
      <c r="D73" s="10">
        <v>12</v>
      </c>
      <c r="E73" s="10" t="s">
        <v>563</v>
      </c>
      <c r="F73" s="149">
        <v>1</v>
      </c>
      <c r="G73" s="34">
        <v>0</v>
      </c>
      <c r="H73" s="96">
        <v>0</v>
      </c>
      <c r="I73" s="10">
        <v>0</v>
      </c>
      <c r="J73" s="36">
        <v>0</v>
      </c>
      <c r="K73" s="36">
        <v>0</v>
      </c>
      <c r="L73" s="36">
        <v>0</v>
      </c>
      <c r="M73" s="36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46">
        <v>0</v>
      </c>
    </row>
    <row r="74" spans="1:44" ht="12.75">
      <c r="A74" s="34">
        <v>73</v>
      </c>
      <c r="B74" s="165">
        <v>46.11833</v>
      </c>
      <c r="C74" s="165">
        <v>-91.21248</v>
      </c>
      <c r="D74" s="10">
        <v>10</v>
      </c>
      <c r="E74" s="10" t="s">
        <v>563</v>
      </c>
      <c r="F74" s="149">
        <v>1</v>
      </c>
      <c r="G74" s="34">
        <v>0</v>
      </c>
      <c r="H74" s="96">
        <v>0</v>
      </c>
      <c r="I74" s="10">
        <v>0</v>
      </c>
      <c r="J74" s="36">
        <v>0</v>
      </c>
      <c r="K74" s="36">
        <v>0</v>
      </c>
      <c r="L74" s="36">
        <v>0</v>
      </c>
      <c r="M74" s="36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46">
        <v>0</v>
      </c>
    </row>
    <row r="75" spans="1:44" ht="12.75">
      <c r="A75" s="34">
        <v>74</v>
      </c>
      <c r="B75" s="165">
        <v>46.11833</v>
      </c>
      <c r="C75" s="165">
        <v>-91.21201</v>
      </c>
      <c r="D75" s="10">
        <v>5</v>
      </c>
      <c r="E75" s="10" t="s">
        <v>563</v>
      </c>
      <c r="F75" s="149">
        <v>1</v>
      </c>
      <c r="G75" s="34">
        <v>1</v>
      </c>
      <c r="H75" s="96">
        <v>3</v>
      </c>
      <c r="I75" s="10">
        <v>2</v>
      </c>
      <c r="J75" s="36">
        <v>0</v>
      </c>
      <c r="K75" s="36">
        <v>0</v>
      </c>
      <c r="L75" s="36">
        <v>0</v>
      </c>
      <c r="M75" s="36">
        <v>1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2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1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46">
        <v>0</v>
      </c>
    </row>
    <row r="76" spans="1:44" ht="12.75">
      <c r="A76" s="34">
        <v>75</v>
      </c>
      <c r="B76" s="165">
        <v>46.11834</v>
      </c>
      <c r="C76" s="165">
        <v>-91.21155</v>
      </c>
      <c r="D76" s="10">
        <v>5</v>
      </c>
      <c r="E76" s="10" t="s">
        <v>563</v>
      </c>
      <c r="F76" s="149">
        <v>1</v>
      </c>
      <c r="G76" s="34">
        <v>1</v>
      </c>
      <c r="H76" s="96">
        <v>2</v>
      </c>
      <c r="I76" s="10">
        <v>1</v>
      </c>
      <c r="J76" s="36">
        <v>0</v>
      </c>
      <c r="K76" s="36">
        <v>0</v>
      </c>
      <c r="L76" s="36">
        <v>0</v>
      </c>
      <c r="M76" s="36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1</v>
      </c>
      <c r="U76" s="10">
        <v>0</v>
      </c>
      <c r="V76" s="10">
        <v>0</v>
      </c>
      <c r="W76" s="10">
        <v>0</v>
      </c>
      <c r="X76" s="10">
        <v>0</v>
      </c>
      <c r="Y76" s="10">
        <v>1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46">
        <v>0</v>
      </c>
    </row>
    <row r="77" spans="1:44" ht="12.75">
      <c r="A77" s="34">
        <v>76</v>
      </c>
      <c r="B77" s="165">
        <v>46.11835</v>
      </c>
      <c r="C77" s="165">
        <v>-91.21108</v>
      </c>
      <c r="D77" s="10">
        <v>4</v>
      </c>
      <c r="E77" s="10" t="s">
        <v>563</v>
      </c>
      <c r="F77" s="149">
        <v>1</v>
      </c>
      <c r="G77" s="34">
        <v>1</v>
      </c>
      <c r="H77" s="96">
        <v>5</v>
      </c>
      <c r="I77" s="10">
        <v>3</v>
      </c>
      <c r="J77" s="36">
        <v>0</v>
      </c>
      <c r="K77" s="36">
        <v>0</v>
      </c>
      <c r="L77" s="36">
        <v>0</v>
      </c>
      <c r="M77" s="36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1</v>
      </c>
      <c r="U77" s="10">
        <v>0</v>
      </c>
      <c r="V77" s="10">
        <v>0</v>
      </c>
      <c r="W77" s="10">
        <v>2</v>
      </c>
      <c r="X77" s="10">
        <v>0</v>
      </c>
      <c r="Y77" s="10">
        <v>1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2</v>
      </c>
      <c r="AH77" s="10">
        <v>3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46">
        <v>0</v>
      </c>
    </row>
    <row r="78" spans="1:44" ht="12.75">
      <c r="A78" s="34">
        <v>77</v>
      </c>
      <c r="B78" s="165">
        <v>46.11835</v>
      </c>
      <c r="C78" s="165">
        <v>-91.21062</v>
      </c>
      <c r="D78" s="10">
        <v>4</v>
      </c>
      <c r="E78" s="10" t="s">
        <v>563</v>
      </c>
      <c r="F78" s="149">
        <v>1</v>
      </c>
      <c r="G78" s="34">
        <v>1</v>
      </c>
      <c r="H78" s="96">
        <v>4</v>
      </c>
      <c r="I78" s="10">
        <v>3</v>
      </c>
      <c r="J78" s="36">
        <v>0</v>
      </c>
      <c r="K78" s="36">
        <v>0</v>
      </c>
      <c r="L78" s="36">
        <v>0</v>
      </c>
      <c r="M78" s="36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1</v>
      </c>
      <c r="X78" s="10">
        <v>0</v>
      </c>
      <c r="Y78" s="10">
        <v>1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2</v>
      </c>
      <c r="AH78" s="10">
        <v>3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46">
        <v>0</v>
      </c>
    </row>
    <row r="79" spans="1:44" ht="12.75">
      <c r="A79" s="34">
        <v>78</v>
      </c>
      <c r="B79" s="165">
        <v>46.11859</v>
      </c>
      <c r="C79" s="165">
        <v>-91.21808</v>
      </c>
      <c r="D79" s="10">
        <v>2</v>
      </c>
      <c r="E79" s="10" t="s">
        <v>564</v>
      </c>
      <c r="F79" s="149">
        <v>1</v>
      </c>
      <c r="G79" s="34">
        <v>1</v>
      </c>
      <c r="H79" s="96">
        <v>2</v>
      </c>
      <c r="I79" s="10">
        <v>3</v>
      </c>
      <c r="J79" s="36">
        <v>0</v>
      </c>
      <c r="K79" s="36">
        <v>0</v>
      </c>
      <c r="L79" s="36">
        <v>0</v>
      </c>
      <c r="M79" s="36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1</v>
      </c>
      <c r="W79" s="10">
        <v>0</v>
      </c>
      <c r="X79" s="10">
        <v>3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46">
        <v>0</v>
      </c>
    </row>
    <row r="80" spans="1:44" ht="12.75">
      <c r="A80" s="34">
        <v>79</v>
      </c>
      <c r="B80" s="165">
        <v>46.1186</v>
      </c>
      <c r="C80" s="165">
        <v>-91.21761</v>
      </c>
      <c r="D80" s="10">
        <v>10</v>
      </c>
      <c r="E80" s="10" t="s">
        <v>563</v>
      </c>
      <c r="F80" s="149">
        <v>1</v>
      </c>
      <c r="G80" s="34">
        <v>1</v>
      </c>
      <c r="H80" s="96">
        <v>1</v>
      </c>
      <c r="I80" s="10">
        <v>1</v>
      </c>
      <c r="J80" s="36">
        <v>0</v>
      </c>
      <c r="K80" s="36">
        <v>0</v>
      </c>
      <c r="L80" s="36">
        <v>1</v>
      </c>
      <c r="M80" s="36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46">
        <v>0</v>
      </c>
    </row>
    <row r="81" spans="1:44" ht="12.75">
      <c r="A81" s="34">
        <v>80</v>
      </c>
      <c r="B81" s="165">
        <v>46.1186</v>
      </c>
      <c r="C81" s="165">
        <v>-91.21715</v>
      </c>
      <c r="D81" s="10">
        <v>21</v>
      </c>
      <c r="E81" s="10">
        <v>0</v>
      </c>
      <c r="F81" s="149">
        <v>0</v>
      </c>
      <c r="G81" s="34">
        <v>0</v>
      </c>
      <c r="H81" s="96">
        <v>0</v>
      </c>
      <c r="I81" s="10">
        <v>0</v>
      </c>
      <c r="J81" s="36">
        <v>0</v>
      </c>
      <c r="K81" s="36">
        <v>0</v>
      </c>
      <c r="L81" s="36">
        <v>0</v>
      </c>
      <c r="M81" s="36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46">
        <v>0</v>
      </c>
    </row>
    <row r="82" spans="1:44" ht="12.75">
      <c r="A82" s="34">
        <v>81</v>
      </c>
      <c r="B82" s="165">
        <v>46.11861</v>
      </c>
      <c r="C82" s="165">
        <v>-91.21668</v>
      </c>
      <c r="D82" s="10">
        <v>23.5</v>
      </c>
      <c r="E82" s="10">
        <v>0</v>
      </c>
      <c r="F82" s="149">
        <v>0</v>
      </c>
      <c r="G82" s="34">
        <v>0</v>
      </c>
      <c r="H82" s="96">
        <v>0</v>
      </c>
      <c r="I82" s="10">
        <v>0</v>
      </c>
      <c r="J82" s="36">
        <v>0</v>
      </c>
      <c r="K82" s="36">
        <v>0</v>
      </c>
      <c r="L82" s="36">
        <v>0</v>
      </c>
      <c r="M82" s="36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46">
        <v>0</v>
      </c>
    </row>
    <row r="83" spans="1:44" ht="12.75">
      <c r="A83" s="34">
        <v>82</v>
      </c>
      <c r="B83" s="165">
        <v>46.11862</v>
      </c>
      <c r="C83" s="165">
        <v>-91.21621</v>
      </c>
      <c r="D83" s="10">
        <v>20</v>
      </c>
      <c r="E83" s="10">
        <v>0</v>
      </c>
      <c r="F83" s="149">
        <v>0</v>
      </c>
      <c r="G83" s="34">
        <v>0</v>
      </c>
      <c r="H83" s="96">
        <v>0</v>
      </c>
      <c r="I83" s="10">
        <v>0</v>
      </c>
      <c r="J83" s="36">
        <v>0</v>
      </c>
      <c r="K83" s="36">
        <v>0</v>
      </c>
      <c r="L83" s="36">
        <v>0</v>
      </c>
      <c r="M83" s="36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46">
        <v>0</v>
      </c>
    </row>
    <row r="84" spans="1:44" ht="12.75">
      <c r="A84" s="34">
        <v>83</v>
      </c>
      <c r="B84" s="165">
        <v>46.11862</v>
      </c>
      <c r="C84" s="165">
        <v>-91.21575</v>
      </c>
      <c r="D84" s="10">
        <v>26.5</v>
      </c>
      <c r="E84" s="10">
        <v>0</v>
      </c>
      <c r="F84" s="149">
        <v>0</v>
      </c>
      <c r="G84" s="34">
        <v>0</v>
      </c>
      <c r="H84" s="96">
        <v>0</v>
      </c>
      <c r="I84" s="10">
        <v>0</v>
      </c>
      <c r="J84" s="36">
        <v>0</v>
      </c>
      <c r="K84" s="36">
        <v>0</v>
      </c>
      <c r="L84" s="36">
        <v>0</v>
      </c>
      <c r="M84" s="36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46">
        <v>0</v>
      </c>
    </row>
    <row r="85" spans="1:44" ht="12.75">
      <c r="A85" s="34">
        <v>84</v>
      </c>
      <c r="B85" s="165">
        <v>46.11862</v>
      </c>
      <c r="C85" s="165">
        <v>-91.21528</v>
      </c>
      <c r="D85" s="10">
        <v>23</v>
      </c>
      <c r="E85" s="10">
        <v>0</v>
      </c>
      <c r="F85" s="149">
        <v>0</v>
      </c>
      <c r="G85" s="34">
        <v>0</v>
      </c>
      <c r="H85" s="96">
        <v>0</v>
      </c>
      <c r="I85" s="10">
        <v>0</v>
      </c>
      <c r="J85" s="36">
        <v>0</v>
      </c>
      <c r="K85" s="36">
        <v>0</v>
      </c>
      <c r="L85" s="36">
        <v>0</v>
      </c>
      <c r="M85" s="36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46">
        <v>0</v>
      </c>
    </row>
    <row r="86" spans="1:44" ht="12.75">
      <c r="A86" s="34">
        <v>85</v>
      </c>
      <c r="B86" s="165">
        <v>46.11863</v>
      </c>
      <c r="C86" s="165">
        <v>-91.21482</v>
      </c>
      <c r="D86" s="10">
        <v>14</v>
      </c>
      <c r="E86" s="10" t="s">
        <v>563</v>
      </c>
      <c r="F86" s="149">
        <v>0</v>
      </c>
      <c r="G86" s="34">
        <v>0</v>
      </c>
      <c r="H86" s="96">
        <v>0</v>
      </c>
      <c r="I86" s="10">
        <v>0</v>
      </c>
      <c r="J86" s="36">
        <v>0</v>
      </c>
      <c r="K86" s="36">
        <v>0</v>
      </c>
      <c r="L86" s="36">
        <v>0</v>
      </c>
      <c r="M86" s="36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46">
        <v>0</v>
      </c>
    </row>
    <row r="87" spans="1:44" ht="12.75">
      <c r="A87" s="34">
        <v>86</v>
      </c>
      <c r="B87" s="165">
        <v>46.11863</v>
      </c>
      <c r="C87" s="165">
        <v>-91.21435</v>
      </c>
      <c r="D87" s="10">
        <v>4</v>
      </c>
      <c r="E87" s="10" t="s">
        <v>563</v>
      </c>
      <c r="F87" s="149">
        <v>1</v>
      </c>
      <c r="G87" s="34">
        <v>1</v>
      </c>
      <c r="H87" s="96">
        <v>6</v>
      </c>
      <c r="I87" s="10">
        <v>3</v>
      </c>
      <c r="J87" s="36">
        <v>0</v>
      </c>
      <c r="K87" s="36">
        <v>0</v>
      </c>
      <c r="L87" s="36">
        <v>1</v>
      </c>
      <c r="M87" s="36">
        <v>2</v>
      </c>
      <c r="N87" s="10">
        <v>0</v>
      </c>
      <c r="O87" s="10">
        <v>0</v>
      </c>
      <c r="P87" s="10">
        <v>0</v>
      </c>
      <c r="Q87" s="10">
        <v>0</v>
      </c>
      <c r="R87" s="10">
        <v>1</v>
      </c>
      <c r="S87" s="10">
        <v>0</v>
      </c>
      <c r="T87" s="10">
        <v>0</v>
      </c>
      <c r="U87" s="10">
        <v>0</v>
      </c>
      <c r="V87" s="10">
        <v>3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1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1</v>
      </c>
      <c r="AP87" s="10">
        <v>0</v>
      </c>
      <c r="AQ87" s="10">
        <v>0</v>
      </c>
      <c r="AR87" s="146">
        <v>0</v>
      </c>
    </row>
    <row r="88" spans="1:44" ht="12.75">
      <c r="A88" s="34">
        <v>87</v>
      </c>
      <c r="B88" s="165">
        <v>46.11864</v>
      </c>
      <c r="C88" s="165">
        <v>-91.21388</v>
      </c>
      <c r="D88" s="10">
        <v>4.5</v>
      </c>
      <c r="E88" s="10" t="s">
        <v>563</v>
      </c>
      <c r="F88" s="149">
        <v>1</v>
      </c>
      <c r="G88" s="34">
        <v>1</v>
      </c>
      <c r="H88" s="96">
        <v>4</v>
      </c>
      <c r="I88" s="10">
        <v>2</v>
      </c>
      <c r="J88" s="36">
        <v>0</v>
      </c>
      <c r="K88" s="36">
        <v>0</v>
      </c>
      <c r="L88" s="36">
        <v>0</v>
      </c>
      <c r="M88" s="36">
        <v>1</v>
      </c>
      <c r="N88" s="10">
        <v>0</v>
      </c>
      <c r="O88" s="10">
        <v>0</v>
      </c>
      <c r="P88" s="10">
        <v>0</v>
      </c>
      <c r="Q88" s="10">
        <v>0</v>
      </c>
      <c r="R88" s="10">
        <v>1</v>
      </c>
      <c r="S88" s="10">
        <v>0</v>
      </c>
      <c r="T88" s="10">
        <v>0</v>
      </c>
      <c r="U88" s="10">
        <v>0</v>
      </c>
      <c r="V88" s="10">
        <v>2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1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46">
        <v>1</v>
      </c>
    </row>
    <row r="89" spans="1:44" ht="12.75">
      <c r="A89" s="34">
        <v>88</v>
      </c>
      <c r="B89" s="165">
        <v>46.11864</v>
      </c>
      <c r="C89" s="165">
        <v>-91.21342</v>
      </c>
      <c r="D89" s="10">
        <v>11</v>
      </c>
      <c r="E89" s="10" t="s">
        <v>563</v>
      </c>
      <c r="F89" s="149">
        <v>1</v>
      </c>
      <c r="G89" s="34">
        <v>1</v>
      </c>
      <c r="H89" s="96">
        <v>1</v>
      </c>
      <c r="I89" s="10">
        <v>2</v>
      </c>
      <c r="J89" s="36">
        <v>0</v>
      </c>
      <c r="K89" s="36">
        <v>0</v>
      </c>
      <c r="L89" s="36">
        <v>0</v>
      </c>
      <c r="M89" s="36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2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46">
        <v>0</v>
      </c>
    </row>
    <row r="90" spans="1:44" ht="12.75">
      <c r="A90" s="34">
        <v>89</v>
      </c>
      <c r="B90" s="165">
        <v>46.11865</v>
      </c>
      <c r="C90" s="165">
        <v>-91.21295</v>
      </c>
      <c r="D90" s="10">
        <v>16.5</v>
      </c>
      <c r="E90" s="10">
        <v>0</v>
      </c>
      <c r="F90" s="149">
        <v>0</v>
      </c>
      <c r="G90" s="34">
        <v>0</v>
      </c>
      <c r="H90" s="96">
        <v>0</v>
      </c>
      <c r="I90" s="10">
        <v>0</v>
      </c>
      <c r="J90" s="36">
        <v>0</v>
      </c>
      <c r="K90" s="36">
        <v>0</v>
      </c>
      <c r="L90" s="36">
        <v>0</v>
      </c>
      <c r="M90" s="36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46">
        <v>0</v>
      </c>
    </row>
    <row r="91" spans="1:44" ht="12.75">
      <c r="A91" s="34">
        <v>90</v>
      </c>
      <c r="B91" s="165">
        <v>46.11865</v>
      </c>
      <c r="C91" s="165">
        <v>-91.21249</v>
      </c>
      <c r="D91" s="10">
        <v>13.5</v>
      </c>
      <c r="E91" s="10" t="s">
        <v>563</v>
      </c>
      <c r="F91" s="149">
        <v>1</v>
      </c>
      <c r="G91" s="34">
        <v>0</v>
      </c>
      <c r="H91" s="96">
        <v>0</v>
      </c>
      <c r="I91" s="10">
        <v>0</v>
      </c>
      <c r="J91" s="36">
        <v>0</v>
      </c>
      <c r="K91" s="36">
        <v>0</v>
      </c>
      <c r="L91" s="36">
        <v>0</v>
      </c>
      <c r="M91" s="36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46">
        <v>0</v>
      </c>
    </row>
    <row r="92" spans="1:44" ht="12.75">
      <c r="A92" s="34">
        <v>91</v>
      </c>
      <c r="B92" s="165">
        <v>46.11866</v>
      </c>
      <c r="C92" s="165">
        <v>-91.21202</v>
      </c>
      <c r="D92" s="10">
        <v>7</v>
      </c>
      <c r="E92" s="10" t="s">
        <v>563</v>
      </c>
      <c r="F92" s="149">
        <v>1</v>
      </c>
      <c r="G92" s="34">
        <v>1</v>
      </c>
      <c r="H92" s="96">
        <v>6</v>
      </c>
      <c r="I92" s="10">
        <v>2</v>
      </c>
      <c r="J92" s="36">
        <v>0</v>
      </c>
      <c r="K92" s="36">
        <v>0</v>
      </c>
      <c r="L92" s="36">
        <v>1</v>
      </c>
      <c r="M92" s="36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1</v>
      </c>
      <c r="U92" s="10">
        <v>1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1</v>
      </c>
      <c r="AI92" s="10">
        <v>0</v>
      </c>
      <c r="AJ92" s="10">
        <v>0</v>
      </c>
      <c r="AK92" s="10">
        <v>0</v>
      </c>
      <c r="AL92" s="10">
        <v>2</v>
      </c>
      <c r="AM92" s="10">
        <v>0</v>
      </c>
      <c r="AN92" s="10">
        <v>0</v>
      </c>
      <c r="AO92" s="10">
        <v>1</v>
      </c>
      <c r="AP92" s="10">
        <v>0</v>
      </c>
      <c r="AQ92" s="10">
        <v>0</v>
      </c>
      <c r="AR92" s="146">
        <v>0</v>
      </c>
    </row>
    <row r="93" spans="1:44" ht="12.75">
      <c r="A93" s="34">
        <v>92</v>
      </c>
      <c r="B93" s="165">
        <v>46.11866</v>
      </c>
      <c r="C93" s="165">
        <v>-91.21156</v>
      </c>
      <c r="D93" s="10">
        <v>6</v>
      </c>
      <c r="E93" s="10" t="s">
        <v>563</v>
      </c>
      <c r="F93" s="149">
        <v>1</v>
      </c>
      <c r="G93" s="34">
        <v>1</v>
      </c>
      <c r="H93" s="96">
        <v>5</v>
      </c>
      <c r="I93" s="10">
        <v>2</v>
      </c>
      <c r="J93" s="36">
        <v>0</v>
      </c>
      <c r="K93" s="36">
        <v>0</v>
      </c>
      <c r="L93" s="36">
        <v>0</v>
      </c>
      <c r="M93" s="36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1</v>
      </c>
      <c r="U93" s="10">
        <v>0</v>
      </c>
      <c r="V93" s="10">
        <v>0</v>
      </c>
      <c r="W93" s="10">
        <v>0</v>
      </c>
      <c r="X93" s="10">
        <v>0</v>
      </c>
      <c r="Y93" s="10">
        <v>1</v>
      </c>
      <c r="Z93" s="10">
        <v>0</v>
      </c>
      <c r="AA93" s="10">
        <v>0</v>
      </c>
      <c r="AB93" s="10">
        <v>0</v>
      </c>
      <c r="AC93" s="10">
        <v>0</v>
      </c>
      <c r="AD93" s="10">
        <v>1</v>
      </c>
      <c r="AE93" s="10">
        <v>1</v>
      </c>
      <c r="AF93" s="10">
        <v>0</v>
      </c>
      <c r="AG93" s="10">
        <v>0</v>
      </c>
      <c r="AH93" s="10">
        <v>2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46">
        <v>0</v>
      </c>
    </row>
    <row r="94" spans="1:44" ht="12.75">
      <c r="A94" s="34">
        <v>93</v>
      </c>
      <c r="B94" s="165">
        <v>46.11867</v>
      </c>
      <c r="C94" s="165">
        <v>-91.21109</v>
      </c>
      <c r="D94" s="10">
        <v>7.5</v>
      </c>
      <c r="E94" s="10" t="s">
        <v>563</v>
      </c>
      <c r="F94" s="149">
        <v>1</v>
      </c>
      <c r="G94" s="34">
        <v>1</v>
      </c>
      <c r="H94" s="96">
        <v>2</v>
      </c>
      <c r="I94" s="10">
        <v>1</v>
      </c>
      <c r="J94" s="36">
        <v>0</v>
      </c>
      <c r="K94" s="36">
        <v>0</v>
      </c>
      <c r="L94" s="36">
        <v>1</v>
      </c>
      <c r="M94" s="36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1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46">
        <v>0</v>
      </c>
    </row>
    <row r="95" spans="1:44" ht="12.75">
      <c r="A95" s="34">
        <v>94</v>
      </c>
      <c r="B95" s="165">
        <v>46.11867</v>
      </c>
      <c r="C95" s="165">
        <v>-91.21062</v>
      </c>
      <c r="D95" s="10">
        <v>6</v>
      </c>
      <c r="E95" s="10" t="s">
        <v>563</v>
      </c>
      <c r="F95" s="149">
        <v>1</v>
      </c>
      <c r="G95" s="34">
        <v>1</v>
      </c>
      <c r="H95" s="96">
        <v>5</v>
      </c>
      <c r="I95" s="10">
        <v>3</v>
      </c>
      <c r="J95" s="36">
        <v>0</v>
      </c>
      <c r="K95" s="36">
        <v>0</v>
      </c>
      <c r="L95" s="36">
        <v>1</v>
      </c>
      <c r="M95" s="36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2</v>
      </c>
      <c r="Z95" s="10">
        <v>0</v>
      </c>
      <c r="AA95" s="10">
        <v>0</v>
      </c>
      <c r="AB95" s="10">
        <v>0</v>
      </c>
      <c r="AC95" s="10">
        <v>0</v>
      </c>
      <c r="AD95" s="10">
        <v>1</v>
      </c>
      <c r="AE95" s="10">
        <v>0</v>
      </c>
      <c r="AF95" s="10">
        <v>0</v>
      </c>
      <c r="AG95" s="10">
        <v>0</v>
      </c>
      <c r="AH95" s="10">
        <v>1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2</v>
      </c>
      <c r="AP95" s="10">
        <v>0</v>
      </c>
      <c r="AQ95" s="10">
        <v>0</v>
      </c>
      <c r="AR95" s="146">
        <v>0</v>
      </c>
    </row>
    <row r="96" spans="1:44" ht="12.75">
      <c r="A96" s="34">
        <v>95</v>
      </c>
      <c r="B96" s="165">
        <v>46.11892</v>
      </c>
      <c r="C96" s="165">
        <v>-91.21762</v>
      </c>
      <c r="D96" s="10">
        <v>7</v>
      </c>
      <c r="E96" s="10" t="s">
        <v>563</v>
      </c>
      <c r="F96" s="149">
        <v>1</v>
      </c>
      <c r="G96" s="34">
        <v>1</v>
      </c>
      <c r="H96" s="96">
        <v>3</v>
      </c>
      <c r="I96" s="10">
        <v>3</v>
      </c>
      <c r="J96" s="36">
        <v>0</v>
      </c>
      <c r="K96" s="36">
        <v>0</v>
      </c>
      <c r="L96" s="36">
        <v>1</v>
      </c>
      <c r="M96" s="36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1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3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46">
        <v>1</v>
      </c>
    </row>
    <row r="97" spans="1:44" ht="12.75">
      <c r="A97" s="34">
        <v>96</v>
      </c>
      <c r="B97" s="165">
        <v>46.11893</v>
      </c>
      <c r="C97" s="165">
        <v>-91.21715</v>
      </c>
      <c r="D97" s="10">
        <v>27</v>
      </c>
      <c r="E97" s="10">
        <v>0</v>
      </c>
      <c r="F97" s="149">
        <v>0</v>
      </c>
      <c r="G97" s="34">
        <v>0</v>
      </c>
      <c r="H97" s="96">
        <v>0</v>
      </c>
      <c r="I97" s="10">
        <v>0</v>
      </c>
      <c r="J97" s="36">
        <v>0</v>
      </c>
      <c r="K97" s="36">
        <v>0</v>
      </c>
      <c r="L97" s="36">
        <v>0</v>
      </c>
      <c r="M97" s="36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46">
        <v>0</v>
      </c>
    </row>
    <row r="98" spans="1:44" ht="12.75">
      <c r="A98" s="34">
        <v>97</v>
      </c>
      <c r="B98" s="165">
        <v>46.11893</v>
      </c>
      <c r="C98" s="165">
        <v>-91.21669</v>
      </c>
      <c r="D98" s="10">
        <v>26.5</v>
      </c>
      <c r="E98" s="10">
        <v>0</v>
      </c>
      <c r="F98" s="149">
        <v>0</v>
      </c>
      <c r="G98" s="34">
        <v>0</v>
      </c>
      <c r="H98" s="96">
        <v>0</v>
      </c>
      <c r="I98" s="10">
        <v>0</v>
      </c>
      <c r="J98" s="36">
        <v>0</v>
      </c>
      <c r="K98" s="36">
        <v>0</v>
      </c>
      <c r="L98" s="36">
        <v>0</v>
      </c>
      <c r="M98" s="36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46">
        <v>0</v>
      </c>
    </row>
    <row r="99" spans="1:44" ht="12.75">
      <c r="A99" s="34">
        <v>98</v>
      </c>
      <c r="B99" s="165">
        <v>46.11894</v>
      </c>
      <c r="C99" s="165">
        <v>-91.21622</v>
      </c>
      <c r="D99" s="10">
        <v>21</v>
      </c>
      <c r="E99" s="10">
        <v>0</v>
      </c>
      <c r="F99" s="149">
        <v>0</v>
      </c>
      <c r="G99" s="34">
        <v>0</v>
      </c>
      <c r="H99" s="96">
        <v>0</v>
      </c>
      <c r="I99" s="10">
        <v>0</v>
      </c>
      <c r="J99" s="36">
        <v>0</v>
      </c>
      <c r="K99" s="36">
        <v>0</v>
      </c>
      <c r="L99" s="36">
        <v>0</v>
      </c>
      <c r="M99" s="36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46">
        <v>0</v>
      </c>
    </row>
    <row r="100" spans="1:44" ht="12.75">
      <c r="A100" s="34">
        <v>99</v>
      </c>
      <c r="B100" s="165">
        <v>46.11894</v>
      </c>
      <c r="C100" s="165">
        <v>-91.21575</v>
      </c>
      <c r="D100" s="10">
        <v>25</v>
      </c>
      <c r="E100" s="10">
        <v>0</v>
      </c>
      <c r="F100" s="149">
        <v>0</v>
      </c>
      <c r="G100" s="34">
        <v>0</v>
      </c>
      <c r="H100" s="96">
        <v>0</v>
      </c>
      <c r="I100" s="10">
        <v>0</v>
      </c>
      <c r="J100" s="36">
        <v>0</v>
      </c>
      <c r="K100" s="36">
        <v>0</v>
      </c>
      <c r="L100" s="36">
        <v>0</v>
      </c>
      <c r="M100" s="36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46">
        <v>0</v>
      </c>
    </row>
    <row r="101" spans="1:44" ht="12.75">
      <c r="A101" s="34">
        <v>100</v>
      </c>
      <c r="B101" s="165">
        <v>46.11895</v>
      </c>
      <c r="C101" s="165">
        <v>-91.21529</v>
      </c>
      <c r="D101" s="10">
        <v>24</v>
      </c>
      <c r="E101" s="10">
        <v>0</v>
      </c>
      <c r="F101" s="149">
        <v>0</v>
      </c>
      <c r="G101" s="34">
        <v>0</v>
      </c>
      <c r="H101" s="96">
        <v>0</v>
      </c>
      <c r="I101" s="10">
        <v>0</v>
      </c>
      <c r="J101" s="36">
        <v>0</v>
      </c>
      <c r="K101" s="36">
        <v>0</v>
      </c>
      <c r="L101" s="36">
        <v>0</v>
      </c>
      <c r="M101" s="36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46">
        <v>0</v>
      </c>
    </row>
    <row r="102" spans="1:44" ht="12.75">
      <c r="A102" s="34">
        <v>101</v>
      </c>
      <c r="B102" s="165">
        <v>46.11895</v>
      </c>
      <c r="C102" s="165">
        <v>-91.21482</v>
      </c>
      <c r="D102" s="10">
        <v>18.5</v>
      </c>
      <c r="E102" s="10">
        <v>0</v>
      </c>
      <c r="F102" s="149">
        <v>0</v>
      </c>
      <c r="G102" s="34">
        <v>0</v>
      </c>
      <c r="H102" s="96">
        <v>0</v>
      </c>
      <c r="I102" s="10">
        <v>0</v>
      </c>
      <c r="J102" s="36">
        <v>0</v>
      </c>
      <c r="K102" s="36">
        <v>0</v>
      </c>
      <c r="L102" s="36">
        <v>0</v>
      </c>
      <c r="M102" s="36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46">
        <v>0</v>
      </c>
    </row>
    <row r="103" spans="1:44" ht="12.75">
      <c r="A103" s="34">
        <v>102</v>
      </c>
      <c r="B103" s="165">
        <v>46.11896</v>
      </c>
      <c r="C103" s="165">
        <v>-91.21436</v>
      </c>
      <c r="D103" s="10">
        <v>8</v>
      </c>
      <c r="E103" s="10" t="s">
        <v>565</v>
      </c>
      <c r="F103" s="149">
        <v>1</v>
      </c>
      <c r="G103" s="34">
        <v>1</v>
      </c>
      <c r="H103" s="96">
        <v>2</v>
      </c>
      <c r="I103" s="10">
        <v>2</v>
      </c>
      <c r="J103" s="36">
        <v>0</v>
      </c>
      <c r="K103" s="36">
        <v>0</v>
      </c>
      <c r="L103" s="36">
        <v>2</v>
      </c>
      <c r="M103" s="36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2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46">
        <v>0</v>
      </c>
    </row>
    <row r="104" spans="1:44" ht="12.75">
      <c r="A104" s="34">
        <v>103</v>
      </c>
      <c r="B104" s="165">
        <v>46.11896</v>
      </c>
      <c r="C104" s="165">
        <v>-91.21389</v>
      </c>
      <c r="D104" s="10">
        <v>5</v>
      </c>
      <c r="E104" s="10" t="s">
        <v>563</v>
      </c>
      <c r="F104" s="149">
        <v>1</v>
      </c>
      <c r="G104" s="34">
        <v>1</v>
      </c>
      <c r="H104" s="96">
        <v>5</v>
      </c>
      <c r="I104" s="10">
        <v>2</v>
      </c>
      <c r="J104" s="36">
        <v>0</v>
      </c>
      <c r="K104" s="36">
        <v>0</v>
      </c>
      <c r="L104" s="36">
        <v>0</v>
      </c>
      <c r="M104" s="36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1</v>
      </c>
      <c r="S104" s="10">
        <v>0</v>
      </c>
      <c r="T104" s="10">
        <v>0</v>
      </c>
      <c r="U104" s="10">
        <v>0</v>
      </c>
      <c r="V104" s="10">
        <v>2</v>
      </c>
      <c r="W104" s="10">
        <v>2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1</v>
      </c>
      <c r="AI104" s="10">
        <v>0</v>
      </c>
      <c r="AJ104" s="10">
        <v>0</v>
      </c>
      <c r="AK104" s="10">
        <v>0</v>
      </c>
      <c r="AL104" s="10">
        <v>1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46">
        <v>0</v>
      </c>
    </row>
    <row r="105" spans="1:44" ht="12.75">
      <c r="A105" s="34">
        <v>104</v>
      </c>
      <c r="B105" s="165">
        <v>46.11897</v>
      </c>
      <c r="C105" s="165">
        <v>-91.21343</v>
      </c>
      <c r="D105" s="10">
        <v>10</v>
      </c>
      <c r="E105" s="10" t="s">
        <v>563</v>
      </c>
      <c r="F105" s="149">
        <v>1</v>
      </c>
      <c r="G105" s="34">
        <v>1</v>
      </c>
      <c r="H105" s="96">
        <v>1</v>
      </c>
      <c r="I105" s="10">
        <v>2</v>
      </c>
      <c r="J105" s="36">
        <v>0</v>
      </c>
      <c r="K105" s="36">
        <v>0</v>
      </c>
      <c r="L105" s="36">
        <v>0</v>
      </c>
      <c r="M105" s="36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2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46">
        <v>0</v>
      </c>
    </row>
    <row r="106" spans="1:44" ht="12.75">
      <c r="A106" s="34">
        <v>105</v>
      </c>
      <c r="B106" s="165">
        <v>46.11897</v>
      </c>
      <c r="C106" s="165">
        <v>-91.21296</v>
      </c>
      <c r="D106" s="10">
        <v>16.5</v>
      </c>
      <c r="E106" s="10">
        <v>0</v>
      </c>
      <c r="F106" s="149">
        <v>0</v>
      </c>
      <c r="G106" s="34">
        <v>0</v>
      </c>
      <c r="H106" s="96">
        <v>0</v>
      </c>
      <c r="I106" s="10">
        <v>0</v>
      </c>
      <c r="J106" s="36">
        <v>0</v>
      </c>
      <c r="K106" s="36">
        <v>0</v>
      </c>
      <c r="L106" s="36">
        <v>0</v>
      </c>
      <c r="M106" s="36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46">
        <v>0</v>
      </c>
    </row>
    <row r="107" spans="1:44" ht="12.75">
      <c r="A107" s="34">
        <v>106</v>
      </c>
      <c r="B107" s="165">
        <v>46.11898</v>
      </c>
      <c r="C107" s="165">
        <v>-91.2125</v>
      </c>
      <c r="D107" s="10">
        <v>16</v>
      </c>
      <c r="E107" s="10" t="s">
        <v>563</v>
      </c>
      <c r="F107" s="149">
        <v>0</v>
      </c>
      <c r="G107" s="34">
        <v>0</v>
      </c>
      <c r="H107" s="96">
        <v>0</v>
      </c>
      <c r="I107" s="10">
        <v>0</v>
      </c>
      <c r="J107" s="36">
        <v>0</v>
      </c>
      <c r="K107" s="36">
        <v>0</v>
      </c>
      <c r="L107" s="36">
        <v>0</v>
      </c>
      <c r="M107" s="36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46">
        <v>0</v>
      </c>
    </row>
    <row r="108" spans="1:44" ht="12.75">
      <c r="A108" s="34">
        <v>107</v>
      </c>
      <c r="B108" s="165">
        <v>46.11898</v>
      </c>
      <c r="C108" s="165">
        <v>-91.21203</v>
      </c>
      <c r="D108" s="10">
        <v>14.5</v>
      </c>
      <c r="E108" s="10" t="s">
        <v>563</v>
      </c>
      <c r="F108" s="149">
        <v>0</v>
      </c>
      <c r="G108" s="34">
        <v>0</v>
      </c>
      <c r="H108" s="96">
        <v>0</v>
      </c>
      <c r="I108" s="10">
        <v>0</v>
      </c>
      <c r="J108" s="36">
        <v>0</v>
      </c>
      <c r="K108" s="36">
        <v>0</v>
      </c>
      <c r="L108" s="36">
        <v>0</v>
      </c>
      <c r="M108" s="36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46">
        <v>0</v>
      </c>
    </row>
    <row r="109" spans="1:44" ht="12.75">
      <c r="A109" s="34">
        <v>108</v>
      </c>
      <c r="B109" s="165">
        <v>46.11899</v>
      </c>
      <c r="C109" s="165">
        <v>-91.21156</v>
      </c>
      <c r="D109" s="10">
        <v>11</v>
      </c>
      <c r="E109" s="10" t="s">
        <v>563</v>
      </c>
      <c r="F109" s="149">
        <v>1</v>
      </c>
      <c r="G109" s="34">
        <v>0</v>
      </c>
      <c r="H109" s="96">
        <v>0</v>
      </c>
      <c r="I109" s="10">
        <v>0</v>
      </c>
      <c r="J109" s="36">
        <v>0</v>
      </c>
      <c r="K109" s="36">
        <v>0</v>
      </c>
      <c r="L109" s="36">
        <v>0</v>
      </c>
      <c r="M109" s="36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46">
        <v>0</v>
      </c>
    </row>
    <row r="110" spans="1:44" ht="12.75">
      <c r="A110" s="34">
        <v>109</v>
      </c>
      <c r="B110" s="165">
        <v>46.11899</v>
      </c>
      <c r="C110" s="165">
        <v>-91.2111</v>
      </c>
      <c r="D110" s="10">
        <v>9.5</v>
      </c>
      <c r="E110" s="10" t="s">
        <v>563</v>
      </c>
      <c r="F110" s="149">
        <v>1</v>
      </c>
      <c r="G110" s="34">
        <v>1</v>
      </c>
      <c r="H110" s="96">
        <v>1</v>
      </c>
      <c r="I110" s="10">
        <v>1</v>
      </c>
      <c r="J110" s="36">
        <v>0</v>
      </c>
      <c r="K110" s="36">
        <v>0</v>
      </c>
      <c r="L110" s="36">
        <v>0</v>
      </c>
      <c r="M110" s="36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4</v>
      </c>
      <c r="AE110" s="10">
        <v>0</v>
      </c>
      <c r="AF110" s="10">
        <v>1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46">
        <v>0</v>
      </c>
    </row>
    <row r="111" spans="1:44" ht="12.75">
      <c r="A111" s="34">
        <v>110</v>
      </c>
      <c r="B111" s="165">
        <v>46.119</v>
      </c>
      <c r="C111" s="165">
        <v>-91.21063</v>
      </c>
      <c r="D111" s="10">
        <v>7.5</v>
      </c>
      <c r="E111" s="10" t="s">
        <v>563</v>
      </c>
      <c r="F111" s="149">
        <v>1</v>
      </c>
      <c r="G111" s="34">
        <v>1</v>
      </c>
      <c r="H111" s="96">
        <v>3</v>
      </c>
      <c r="I111" s="10">
        <v>2</v>
      </c>
      <c r="J111" s="36">
        <v>0</v>
      </c>
      <c r="K111" s="36">
        <v>0</v>
      </c>
      <c r="L111" s="36">
        <v>0</v>
      </c>
      <c r="M111" s="36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2</v>
      </c>
      <c r="AG111" s="10">
        <v>1</v>
      </c>
      <c r="AH111" s="10">
        <v>0</v>
      </c>
      <c r="AI111" s="10">
        <v>0</v>
      </c>
      <c r="AJ111" s="10">
        <v>0</v>
      </c>
      <c r="AK111" s="10">
        <v>0</v>
      </c>
      <c r="AL111" s="10">
        <v>1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46">
        <v>0</v>
      </c>
    </row>
    <row r="112" spans="1:44" ht="12.75">
      <c r="A112" s="34">
        <v>111</v>
      </c>
      <c r="B112" s="165">
        <v>46.11925</v>
      </c>
      <c r="C112" s="165">
        <v>-91.21763</v>
      </c>
      <c r="D112" s="10">
        <v>14.5</v>
      </c>
      <c r="E112" s="10" t="s">
        <v>563</v>
      </c>
      <c r="F112" s="149">
        <v>0</v>
      </c>
      <c r="G112" s="34">
        <v>0</v>
      </c>
      <c r="H112" s="96">
        <v>0</v>
      </c>
      <c r="I112" s="10">
        <v>0</v>
      </c>
      <c r="J112" s="36">
        <v>0</v>
      </c>
      <c r="K112" s="36">
        <v>0</v>
      </c>
      <c r="L112" s="36">
        <v>0</v>
      </c>
      <c r="M112" s="36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46">
        <v>0</v>
      </c>
    </row>
    <row r="113" spans="1:44" ht="12.75">
      <c r="A113" s="34">
        <v>112</v>
      </c>
      <c r="B113" s="165">
        <v>46.11925</v>
      </c>
      <c r="C113" s="165">
        <v>-91.21716</v>
      </c>
      <c r="D113" s="10">
        <v>29</v>
      </c>
      <c r="E113" s="10">
        <v>0</v>
      </c>
      <c r="F113" s="149">
        <v>0</v>
      </c>
      <c r="G113" s="34">
        <v>0</v>
      </c>
      <c r="H113" s="96">
        <v>0</v>
      </c>
      <c r="I113" s="10">
        <v>0</v>
      </c>
      <c r="J113" s="36">
        <v>0</v>
      </c>
      <c r="K113" s="36">
        <v>0</v>
      </c>
      <c r="L113" s="36">
        <v>0</v>
      </c>
      <c r="M113" s="36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46">
        <v>0</v>
      </c>
    </row>
    <row r="114" spans="1:44" ht="12.75">
      <c r="A114" s="34">
        <v>113</v>
      </c>
      <c r="B114" s="165">
        <v>46.11926</v>
      </c>
      <c r="C114" s="165">
        <v>-91.21669</v>
      </c>
      <c r="D114" s="10">
        <v>28.5</v>
      </c>
      <c r="E114" s="10">
        <v>0</v>
      </c>
      <c r="F114" s="149">
        <v>0</v>
      </c>
      <c r="G114" s="34">
        <v>0</v>
      </c>
      <c r="H114" s="96">
        <v>0</v>
      </c>
      <c r="I114" s="10">
        <v>0</v>
      </c>
      <c r="J114" s="36">
        <v>0</v>
      </c>
      <c r="K114" s="36">
        <v>0</v>
      </c>
      <c r="L114" s="36">
        <v>0</v>
      </c>
      <c r="M114" s="36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46">
        <v>0</v>
      </c>
    </row>
    <row r="115" spans="1:44" ht="12.75">
      <c r="A115" s="34">
        <v>114</v>
      </c>
      <c r="B115" s="165">
        <v>46.11926</v>
      </c>
      <c r="C115" s="165">
        <v>-91.21623</v>
      </c>
      <c r="D115" s="10">
        <v>26.5</v>
      </c>
      <c r="E115" s="10">
        <v>0</v>
      </c>
      <c r="F115" s="149">
        <v>0</v>
      </c>
      <c r="G115" s="34">
        <v>0</v>
      </c>
      <c r="H115" s="96">
        <v>0</v>
      </c>
      <c r="I115" s="10">
        <v>0</v>
      </c>
      <c r="J115" s="36">
        <v>0</v>
      </c>
      <c r="K115" s="36">
        <v>0</v>
      </c>
      <c r="L115" s="36">
        <v>0</v>
      </c>
      <c r="M115" s="36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46">
        <v>0</v>
      </c>
    </row>
    <row r="116" spans="1:44" ht="12.75">
      <c r="A116" s="34">
        <v>115</v>
      </c>
      <c r="B116" s="165">
        <v>46.11927</v>
      </c>
      <c r="C116" s="165">
        <v>-91.21576</v>
      </c>
      <c r="D116" s="10">
        <v>26</v>
      </c>
      <c r="E116" s="10">
        <v>0</v>
      </c>
      <c r="F116" s="149">
        <v>0</v>
      </c>
      <c r="G116" s="34">
        <v>0</v>
      </c>
      <c r="H116" s="96">
        <v>0</v>
      </c>
      <c r="I116" s="10">
        <v>0</v>
      </c>
      <c r="J116" s="36">
        <v>0</v>
      </c>
      <c r="K116" s="36">
        <v>0</v>
      </c>
      <c r="L116" s="36">
        <v>0</v>
      </c>
      <c r="M116" s="36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46">
        <v>0</v>
      </c>
    </row>
    <row r="117" spans="1:44" ht="12.75">
      <c r="A117" s="34">
        <v>116</v>
      </c>
      <c r="B117" s="165">
        <v>46.11927</v>
      </c>
      <c r="C117" s="165">
        <v>-91.2153</v>
      </c>
      <c r="D117" s="10">
        <v>25</v>
      </c>
      <c r="E117" s="10">
        <v>0</v>
      </c>
      <c r="F117" s="149">
        <v>0</v>
      </c>
      <c r="G117" s="34">
        <v>0</v>
      </c>
      <c r="H117" s="96">
        <v>0</v>
      </c>
      <c r="I117" s="10">
        <v>0</v>
      </c>
      <c r="J117" s="36">
        <v>0</v>
      </c>
      <c r="K117" s="36">
        <v>0</v>
      </c>
      <c r="L117" s="36">
        <v>0</v>
      </c>
      <c r="M117" s="36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46">
        <v>0</v>
      </c>
    </row>
    <row r="118" spans="1:44" ht="12.75">
      <c r="A118" s="34">
        <v>117</v>
      </c>
      <c r="B118" s="165">
        <v>46.11928</v>
      </c>
      <c r="C118" s="165">
        <v>-91.21483</v>
      </c>
      <c r="D118" s="10">
        <v>18.5</v>
      </c>
      <c r="E118" s="10">
        <v>0</v>
      </c>
      <c r="F118" s="149">
        <v>0</v>
      </c>
      <c r="G118" s="34">
        <v>0</v>
      </c>
      <c r="H118" s="96">
        <v>0</v>
      </c>
      <c r="I118" s="10">
        <v>0</v>
      </c>
      <c r="J118" s="36">
        <v>0</v>
      </c>
      <c r="K118" s="36">
        <v>0</v>
      </c>
      <c r="L118" s="36">
        <v>0</v>
      </c>
      <c r="M118" s="36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46">
        <v>0</v>
      </c>
    </row>
    <row r="119" spans="1:44" ht="12.75">
      <c r="A119" s="34">
        <v>118</v>
      </c>
      <c r="B119" s="165">
        <v>46.11928</v>
      </c>
      <c r="C119" s="165">
        <v>-91.21437</v>
      </c>
      <c r="D119" s="10">
        <v>11</v>
      </c>
      <c r="E119" s="10" t="s">
        <v>563</v>
      </c>
      <c r="F119" s="149">
        <v>1</v>
      </c>
      <c r="G119" s="34">
        <v>0</v>
      </c>
      <c r="H119" s="96">
        <v>0</v>
      </c>
      <c r="I119" s="10">
        <v>0</v>
      </c>
      <c r="J119" s="36">
        <v>0</v>
      </c>
      <c r="K119" s="36">
        <v>0</v>
      </c>
      <c r="L119" s="36">
        <v>0</v>
      </c>
      <c r="M119" s="36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46">
        <v>0</v>
      </c>
    </row>
    <row r="120" spans="1:44" ht="12.75">
      <c r="A120" s="34">
        <v>119</v>
      </c>
      <c r="B120" s="165">
        <v>46.11929</v>
      </c>
      <c r="C120" s="165">
        <v>-91.2139</v>
      </c>
      <c r="D120" s="10">
        <v>4.5</v>
      </c>
      <c r="E120" s="10" t="s">
        <v>563</v>
      </c>
      <c r="F120" s="149">
        <v>1</v>
      </c>
      <c r="G120" s="34">
        <v>1</v>
      </c>
      <c r="H120" s="96">
        <v>8</v>
      </c>
      <c r="I120" s="10">
        <v>3</v>
      </c>
      <c r="J120" s="36">
        <v>1</v>
      </c>
      <c r="K120" s="36">
        <v>0</v>
      </c>
      <c r="L120" s="36">
        <v>0</v>
      </c>
      <c r="M120" s="36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1</v>
      </c>
      <c r="S120" s="10">
        <v>0</v>
      </c>
      <c r="T120" s="10">
        <v>0</v>
      </c>
      <c r="U120" s="10">
        <v>0</v>
      </c>
      <c r="V120" s="10">
        <v>3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1</v>
      </c>
      <c r="AE120" s="10">
        <v>1</v>
      </c>
      <c r="AF120" s="10">
        <v>0</v>
      </c>
      <c r="AG120" s="10">
        <v>0</v>
      </c>
      <c r="AH120" s="10">
        <v>1</v>
      </c>
      <c r="AI120" s="10">
        <v>0</v>
      </c>
      <c r="AJ120" s="10">
        <v>0</v>
      </c>
      <c r="AK120" s="10">
        <v>0</v>
      </c>
      <c r="AL120" s="10">
        <v>1</v>
      </c>
      <c r="AM120" s="10">
        <v>0</v>
      </c>
      <c r="AN120" s="10">
        <v>0</v>
      </c>
      <c r="AO120" s="10">
        <v>1</v>
      </c>
      <c r="AP120" s="10">
        <v>0</v>
      </c>
      <c r="AQ120" s="10">
        <v>0</v>
      </c>
      <c r="AR120" s="146">
        <v>0</v>
      </c>
    </row>
    <row r="121" spans="1:44" ht="12.75">
      <c r="A121" s="34">
        <v>120</v>
      </c>
      <c r="B121" s="165">
        <v>46.11929</v>
      </c>
      <c r="C121" s="165">
        <v>-91.21343</v>
      </c>
      <c r="D121" s="10">
        <v>13</v>
      </c>
      <c r="E121" s="10" t="s">
        <v>563</v>
      </c>
      <c r="F121" s="149">
        <v>1</v>
      </c>
      <c r="G121" s="34">
        <v>0</v>
      </c>
      <c r="H121" s="96">
        <v>0</v>
      </c>
      <c r="I121" s="10">
        <v>0</v>
      </c>
      <c r="J121" s="36">
        <v>0</v>
      </c>
      <c r="K121" s="36">
        <v>0</v>
      </c>
      <c r="L121" s="36">
        <v>0</v>
      </c>
      <c r="M121" s="36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46">
        <v>0</v>
      </c>
    </row>
    <row r="122" spans="1:44" ht="12.75">
      <c r="A122" s="34">
        <v>121</v>
      </c>
      <c r="B122" s="165">
        <v>46.1193</v>
      </c>
      <c r="C122" s="165">
        <v>-91.21297</v>
      </c>
      <c r="D122" s="10">
        <v>16</v>
      </c>
      <c r="E122" s="10" t="s">
        <v>563</v>
      </c>
      <c r="F122" s="149">
        <v>0</v>
      </c>
      <c r="G122" s="34">
        <v>0</v>
      </c>
      <c r="H122" s="96">
        <v>0</v>
      </c>
      <c r="I122" s="10">
        <v>0</v>
      </c>
      <c r="J122" s="36">
        <v>0</v>
      </c>
      <c r="K122" s="36">
        <v>0</v>
      </c>
      <c r="L122" s="36">
        <v>0</v>
      </c>
      <c r="M122" s="36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46">
        <v>0</v>
      </c>
    </row>
    <row r="123" spans="1:44" ht="12.75">
      <c r="A123" s="34">
        <v>122</v>
      </c>
      <c r="B123" s="165">
        <v>46.1193</v>
      </c>
      <c r="C123" s="165">
        <v>-91.2125</v>
      </c>
      <c r="D123" s="10">
        <v>16</v>
      </c>
      <c r="E123" s="10" t="s">
        <v>563</v>
      </c>
      <c r="F123" s="149">
        <v>0</v>
      </c>
      <c r="G123" s="34">
        <v>0</v>
      </c>
      <c r="H123" s="96">
        <v>0</v>
      </c>
      <c r="I123" s="10">
        <v>0</v>
      </c>
      <c r="J123" s="36">
        <v>0</v>
      </c>
      <c r="K123" s="36">
        <v>0</v>
      </c>
      <c r="L123" s="36">
        <v>0</v>
      </c>
      <c r="M123" s="36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46">
        <v>0</v>
      </c>
    </row>
    <row r="124" spans="1:44" ht="12.75">
      <c r="A124" s="34">
        <v>123</v>
      </c>
      <c r="B124" s="165">
        <v>46.11931</v>
      </c>
      <c r="C124" s="165">
        <v>-91.21204</v>
      </c>
      <c r="D124" s="10">
        <v>15.5</v>
      </c>
      <c r="E124" s="10" t="s">
        <v>563</v>
      </c>
      <c r="F124" s="149">
        <v>0</v>
      </c>
      <c r="G124" s="34">
        <v>0</v>
      </c>
      <c r="H124" s="96">
        <v>0</v>
      </c>
      <c r="I124" s="10">
        <v>0</v>
      </c>
      <c r="J124" s="36">
        <v>0</v>
      </c>
      <c r="K124" s="36">
        <v>0</v>
      </c>
      <c r="L124" s="36">
        <v>0</v>
      </c>
      <c r="M124" s="36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46">
        <v>0</v>
      </c>
    </row>
    <row r="125" spans="1:44" ht="12.75">
      <c r="A125" s="34">
        <v>124</v>
      </c>
      <c r="B125" s="165">
        <v>46.11931</v>
      </c>
      <c r="C125" s="165">
        <v>-91.21157</v>
      </c>
      <c r="D125" s="10">
        <v>12.5</v>
      </c>
      <c r="E125" s="10" t="s">
        <v>563</v>
      </c>
      <c r="F125" s="149">
        <v>1</v>
      </c>
      <c r="G125" s="34">
        <v>0</v>
      </c>
      <c r="H125" s="96">
        <v>0</v>
      </c>
      <c r="I125" s="10">
        <v>0</v>
      </c>
      <c r="J125" s="36">
        <v>0</v>
      </c>
      <c r="K125" s="36">
        <v>0</v>
      </c>
      <c r="L125" s="36">
        <v>0</v>
      </c>
      <c r="M125" s="36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46">
        <v>0</v>
      </c>
    </row>
    <row r="126" spans="1:44" ht="12.75">
      <c r="A126" s="34">
        <v>125</v>
      </c>
      <c r="B126" s="165">
        <v>46.11932</v>
      </c>
      <c r="C126" s="165">
        <v>-91.2111</v>
      </c>
      <c r="D126" s="10">
        <v>8.5</v>
      </c>
      <c r="E126" s="10" t="s">
        <v>563</v>
      </c>
      <c r="F126" s="149">
        <v>1</v>
      </c>
      <c r="G126" s="34">
        <v>1</v>
      </c>
      <c r="H126" s="96">
        <v>2</v>
      </c>
      <c r="I126" s="10">
        <v>3</v>
      </c>
      <c r="J126" s="36">
        <v>0</v>
      </c>
      <c r="K126" s="36">
        <v>0</v>
      </c>
      <c r="L126" s="36">
        <v>1</v>
      </c>
      <c r="M126" s="36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3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46">
        <v>0</v>
      </c>
    </row>
    <row r="127" spans="1:44" ht="12.75">
      <c r="A127" s="34">
        <v>126</v>
      </c>
      <c r="B127" s="165">
        <v>46.11957</v>
      </c>
      <c r="C127" s="165">
        <v>-91.21763</v>
      </c>
      <c r="D127" s="10">
        <v>16</v>
      </c>
      <c r="E127" s="10" t="s">
        <v>563</v>
      </c>
      <c r="F127" s="149">
        <v>0</v>
      </c>
      <c r="G127" s="34">
        <v>0</v>
      </c>
      <c r="H127" s="96">
        <v>0</v>
      </c>
      <c r="I127" s="10">
        <v>0</v>
      </c>
      <c r="J127" s="36">
        <v>0</v>
      </c>
      <c r="K127" s="36">
        <v>0</v>
      </c>
      <c r="L127" s="36">
        <v>0</v>
      </c>
      <c r="M127" s="36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46">
        <v>0</v>
      </c>
    </row>
    <row r="128" spans="1:44" ht="12.75">
      <c r="A128" s="34">
        <v>127</v>
      </c>
      <c r="B128" s="165">
        <v>46.11958</v>
      </c>
      <c r="C128" s="165">
        <v>-91.21717</v>
      </c>
      <c r="D128" s="10">
        <v>29</v>
      </c>
      <c r="E128" s="10">
        <v>0</v>
      </c>
      <c r="F128" s="149">
        <v>0</v>
      </c>
      <c r="G128" s="34">
        <v>0</v>
      </c>
      <c r="H128" s="96">
        <v>0</v>
      </c>
      <c r="I128" s="10">
        <v>0</v>
      </c>
      <c r="J128" s="36">
        <v>0</v>
      </c>
      <c r="K128" s="36">
        <v>0</v>
      </c>
      <c r="L128" s="36">
        <v>0</v>
      </c>
      <c r="M128" s="36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46">
        <v>0</v>
      </c>
    </row>
    <row r="129" spans="1:44" ht="12.75">
      <c r="A129" s="34">
        <v>128</v>
      </c>
      <c r="B129" s="165">
        <v>46.11958</v>
      </c>
      <c r="C129" s="165">
        <v>-91.2167</v>
      </c>
      <c r="D129" s="10">
        <v>29</v>
      </c>
      <c r="E129" s="10">
        <v>0</v>
      </c>
      <c r="F129" s="149">
        <v>0</v>
      </c>
      <c r="G129" s="34">
        <v>0</v>
      </c>
      <c r="H129" s="96">
        <v>0</v>
      </c>
      <c r="I129" s="10">
        <v>0</v>
      </c>
      <c r="J129" s="36">
        <v>0</v>
      </c>
      <c r="K129" s="36">
        <v>0</v>
      </c>
      <c r="L129" s="36">
        <v>0</v>
      </c>
      <c r="M129" s="36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46">
        <v>0</v>
      </c>
    </row>
    <row r="130" spans="1:44" ht="12.75">
      <c r="A130" s="34">
        <v>129</v>
      </c>
      <c r="B130" s="165">
        <v>46.11959</v>
      </c>
      <c r="C130" s="165">
        <v>-91.21624</v>
      </c>
      <c r="D130" s="10">
        <v>29</v>
      </c>
      <c r="E130" s="10">
        <v>0</v>
      </c>
      <c r="F130" s="149">
        <v>0</v>
      </c>
      <c r="G130" s="34">
        <v>0</v>
      </c>
      <c r="H130" s="96">
        <v>0</v>
      </c>
      <c r="I130" s="10">
        <v>0</v>
      </c>
      <c r="J130" s="36">
        <v>0</v>
      </c>
      <c r="K130" s="36">
        <v>0</v>
      </c>
      <c r="L130" s="36">
        <v>0</v>
      </c>
      <c r="M130" s="36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46">
        <v>0</v>
      </c>
    </row>
    <row r="131" spans="1:44" ht="12.75">
      <c r="A131" s="34">
        <v>130</v>
      </c>
      <c r="B131" s="165">
        <v>46.11959</v>
      </c>
      <c r="C131" s="165">
        <v>-91.21577</v>
      </c>
      <c r="D131" s="10">
        <v>29</v>
      </c>
      <c r="E131" s="10">
        <v>0</v>
      </c>
      <c r="F131" s="149">
        <v>0</v>
      </c>
      <c r="G131" s="34">
        <v>0</v>
      </c>
      <c r="H131" s="96">
        <v>0</v>
      </c>
      <c r="I131" s="10">
        <v>0</v>
      </c>
      <c r="J131" s="36">
        <v>0</v>
      </c>
      <c r="K131" s="36">
        <v>0</v>
      </c>
      <c r="L131" s="36">
        <v>0</v>
      </c>
      <c r="M131" s="36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46">
        <v>0</v>
      </c>
    </row>
    <row r="132" spans="1:44" ht="12.75">
      <c r="A132" s="34">
        <v>131</v>
      </c>
      <c r="B132" s="165">
        <v>46.1196</v>
      </c>
      <c r="C132" s="165">
        <v>-91.2153</v>
      </c>
      <c r="D132" s="10">
        <v>28.5</v>
      </c>
      <c r="E132" s="10">
        <v>0</v>
      </c>
      <c r="F132" s="149">
        <v>0</v>
      </c>
      <c r="G132" s="34">
        <v>0</v>
      </c>
      <c r="H132" s="96">
        <v>0</v>
      </c>
      <c r="I132" s="10">
        <v>0</v>
      </c>
      <c r="J132" s="36">
        <v>0</v>
      </c>
      <c r="K132" s="36">
        <v>0</v>
      </c>
      <c r="L132" s="36">
        <v>0</v>
      </c>
      <c r="M132" s="36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46">
        <v>0</v>
      </c>
    </row>
    <row r="133" spans="1:44" ht="12.75">
      <c r="A133" s="34">
        <v>132</v>
      </c>
      <c r="B133" s="165">
        <v>46.1196</v>
      </c>
      <c r="C133" s="165">
        <v>-91.21484</v>
      </c>
      <c r="D133" s="10">
        <v>20</v>
      </c>
      <c r="E133" s="10">
        <v>0</v>
      </c>
      <c r="F133" s="149">
        <v>0</v>
      </c>
      <c r="G133" s="34">
        <v>0</v>
      </c>
      <c r="H133" s="96">
        <v>0</v>
      </c>
      <c r="I133" s="10">
        <v>0</v>
      </c>
      <c r="J133" s="36">
        <v>0</v>
      </c>
      <c r="K133" s="36">
        <v>0</v>
      </c>
      <c r="L133" s="36">
        <v>0</v>
      </c>
      <c r="M133" s="36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46">
        <v>0</v>
      </c>
    </row>
    <row r="134" spans="1:44" ht="12.75">
      <c r="A134" s="34">
        <v>133</v>
      </c>
      <c r="B134" s="165">
        <v>46.11961</v>
      </c>
      <c r="C134" s="165">
        <v>-91.21437</v>
      </c>
      <c r="D134" s="10">
        <v>13.5</v>
      </c>
      <c r="E134" s="10" t="s">
        <v>563</v>
      </c>
      <c r="F134" s="149">
        <v>1</v>
      </c>
      <c r="G134" s="34">
        <v>0</v>
      </c>
      <c r="H134" s="96">
        <v>0</v>
      </c>
      <c r="I134" s="10">
        <v>0</v>
      </c>
      <c r="J134" s="36">
        <v>0</v>
      </c>
      <c r="K134" s="36">
        <v>0</v>
      </c>
      <c r="L134" s="36">
        <v>0</v>
      </c>
      <c r="M134" s="36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46">
        <v>0</v>
      </c>
    </row>
    <row r="135" spans="1:44" ht="12.75">
      <c r="A135" s="34">
        <v>134</v>
      </c>
      <c r="B135" s="165">
        <v>46.11961</v>
      </c>
      <c r="C135" s="165">
        <v>-91.21391</v>
      </c>
      <c r="D135" s="10">
        <v>3.5</v>
      </c>
      <c r="E135" s="10" t="s">
        <v>565</v>
      </c>
      <c r="F135" s="149">
        <v>1</v>
      </c>
      <c r="G135" s="34">
        <v>1</v>
      </c>
      <c r="H135" s="96">
        <v>6</v>
      </c>
      <c r="I135" s="10">
        <v>3</v>
      </c>
      <c r="J135" s="36">
        <v>0</v>
      </c>
      <c r="K135" s="36">
        <v>0</v>
      </c>
      <c r="L135" s="36">
        <v>0</v>
      </c>
      <c r="M135" s="36">
        <v>2</v>
      </c>
      <c r="N135" s="10">
        <v>0</v>
      </c>
      <c r="O135" s="10">
        <v>0</v>
      </c>
      <c r="P135" s="10">
        <v>0</v>
      </c>
      <c r="Q135" s="10">
        <v>0</v>
      </c>
      <c r="R135" s="10">
        <v>1</v>
      </c>
      <c r="S135" s="10">
        <v>0</v>
      </c>
      <c r="T135" s="10">
        <v>0</v>
      </c>
      <c r="U135" s="10">
        <v>0</v>
      </c>
      <c r="V135" s="10">
        <v>3</v>
      </c>
      <c r="W135" s="10">
        <v>0</v>
      </c>
      <c r="X135" s="10">
        <v>0</v>
      </c>
      <c r="Y135" s="10">
        <v>1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1</v>
      </c>
      <c r="AF135" s="10">
        <v>0</v>
      </c>
      <c r="AG135" s="10">
        <v>0</v>
      </c>
      <c r="AH135" s="10">
        <v>1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46">
        <v>2</v>
      </c>
    </row>
    <row r="136" spans="1:44" ht="12.75">
      <c r="A136" s="34">
        <v>135</v>
      </c>
      <c r="B136" s="165">
        <v>46.11962</v>
      </c>
      <c r="C136" s="165">
        <v>-91.21344</v>
      </c>
      <c r="D136" s="10">
        <v>7</v>
      </c>
      <c r="E136" s="10" t="s">
        <v>563</v>
      </c>
      <c r="F136" s="149">
        <v>1</v>
      </c>
      <c r="G136" s="34">
        <v>1</v>
      </c>
      <c r="H136" s="96">
        <v>4</v>
      </c>
      <c r="I136" s="10">
        <v>2</v>
      </c>
      <c r="J136" s="36">
        <v>0</v>
      </c>
      <c r="K136" s="36">
        <v>0</v>
      </c>
      <c r="L136" s="36">
        <v>2</v>
      </c>
      <c r="M136" s="36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4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1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1</v>
      </c>
      <c r="AH136" s="10">
        <v>0</v>
      </c>
      <c r="AI136" s="10">
        <v>0</v>
      </c>
      <c r="AJ136" s="10">
        <v>0</v>
      </c>
      <c r="AK136" s="10">
        <v>0</v>
      </c>
      <c r="AL136" s="10">
        <v>1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46">
        <v>0</v>
      </c>
    </row>
    <row r="137" spans="1:44" ht="12.75">
      <c r="A137" s="34">
        <v>136</v>
      </c>
      <c r="B137" s="165">
        <v>46.11962</v>
      </c>
      <c r="C137" s="165">
        <v>-91.21297</v>
      </c>
      <c r="D137" s="10">
        <v>15.5</v>
      </c>
      <c r="E137" s="10" t="s">
        <v>563</v>
      </c>
      <c r="F137" s="149">
        <v>0</v>
      </c>
      <c r="G137" s="34">
        <v>0</v>
      </c>
      <c r="H137" s="96">
        <v>0</v>
      </c>
      <c r="I137" s="10">
        <v>0</v>
      </c>
      <c r="J137" s="36">
        <v>0</v>
      </c>
      <c r="K137" s="36">
        <v>0</v>
      </c>
      <c r="L137" s="36">
        <v>0</v>
      </c>
      <c r="M137" s="36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46">
        <v>0</v>
      </c>
    </row>
    <row r="138" spans="1:44" ht="12.75">
      <c r="A138" s="34">
        <v>137</v>
      </c>
      <c r="B138" s="165">
        <v>46.11963</v>
      </c>
      <c r="C138" s="165">
        <v>-91.21251</v>
      </c>
      <c r="D138" s="10">
        <v>15.5</v>
      </c>
      <c r="E138" s="10" t="s">
        <v>563</v>
      </c>
      <c r="F138" s="149">
        <v>0</v>
      </c>
      <c r="G138" s="34">
        <v>0</v>
      </c>
      <c r="H138" s="96">
        <v>0</v>
      </c>
      <c r="I138" s="10">
        <v>0</v>
      </c>
      <c r="J138" s="36">
        <v>0</v>
      </c>
      <c r="K138" s="36">
        <v>0</v>
      </c>
      <c r="L138" s="36">
        <v>0</v>
      </c>
      <c r="M138" s="36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46">
        <v>0</v>
      </c>
    </row>
    <row r="139" spans="1:44" ht="12.75">
      <c r="A139" s="34">
        <v>138</v>
      </c>
      <c r="B139" s="165">
        <v>46.11963</v>
      </c>
      <c r="C139" s="165">
        <v>-91.21204</v>
      </c>
      <c r="D139" s="10">
        <v>15.5</v>
      </c>
      <c r="E139" s="10" t="s">
        <v>563</v>
      </c>
      <c r="F139" s="149">
        <v>0</v>
      </c>
      <c r="G139" s="34">
        <v>0</v>
      </c>
      <c r="H139" s="96">
        <v>0</v>
      </c>
      <c r="I139" s="10">
        <v>0</v>
      </c>
      <c r="J139" s="36">
        <v>0</v>
      </c>
      <c r="K139" s="36">
        <v>0</v>
      </c>
      <c r="L139" s="36">
        <v>0</v>
      </c>
      <c r="M139" s="36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46">
        <v>0</v>
      </c>
    </row>
    <row r="140" spans="1:44" ht="12.75">
      <c r="A140" s="34">
        <v>139</v>
      </c>
      <c r="B140" s="165">
        <v>46.11964</v>
      </c>
      <c r="C140" s="165">
        <v>-91.21158</v>
      </c>
      <c r="D140" s="10">
        <v>10</v>
      </c>
      <c r="E140" s="10" t="s">
        <v>563</v>
      </c>
      <c r="F140" s="149">
        <v>1</v>
      </c>
      <c r="G140" s="34">
        <v>1</v>
      </c>
      <c r="H140" s="96">
        <v>1</v>
      </c>
      <c r="I140" s="10">
        <v>3</v>
      </c>
      <c r="J140" s="36">
        <v>0</v>
      </c>
      <c r="K140" s="36">
        <v>0</v>
      </c>
      <c r="L140" s="36">
        <v>0</v>
      </c>
      <c r="M140" s="36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3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46">
        <v>0</v>
      </c>
    </row>
    <row r="141" spans="1:44" ht="12.75">
      <c r="A141" s="34">
        <v>140</v>
      </c>
      <c r="B141" s="165">
        <v>46.11964</v>
      </c>
      <c r="C141" s="165">
        <v>-91.21111</v>
      </c>
      <c r="D141" s="10">
        <v>4</v>
      </c>
      <c r="E141" s="10" t="s">
        <v>563</v>
      </c>
      <c r="F141" s="149">
        <v>1</v>
      </c>
      <c r="G141" s="34">
        <v>1</v>
      </c>
      <c r="H141" s="96">
        <v>4</v>
      </c>
      <c r="I141" s="10">
        <v>3</v>
      </c>
      <c r="J141" s="36">
        <v>0</v>
      </c>
      <c r="K141" s="36">
        <v>0</v>
      </c>
      <c r="L141" s="36">
        <v>0</v>
      </c>
      <c r="M141" s="36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2</v>
      </c>
      <c r="W141" s="10">
        <v>4</v>
      </c>
      <c r="X141" s="10">
        <v>0</v>
      </c>
      <c r="Y141" s="10">
        <v>3</v>
      </c>
      <c r="Z141" s="10">
        <v>0</v>
      </c>
      <c r="AA141" s="10">
        <v>0</v>
      </c>
      <c r="AB141" s="10">
        <v>0</v>
      </c>
      <c r="AC141" s="10">
        <v>4</v>
      </c>
      <c r="AD141" s="10">
        <v>0</v>
      </c>
      <c r="AE141" s="10">
        <v>0</v>
      </c>
      <c r="AF141" s="10">
        <v>0</v>
      </c>
      <c r="AG141" s="10">
        <v>1</v>
      </c>
      <c r="AH141" s="10">
        <v>2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46">
        <v>0</v>
      </c>
    </row>
    <row r="142" spans="1:44" ht="12.75">
      <c r="A142" s="34">
        <v>141</v>
      </c>
      <c r="B142" s="165">
        <v>46.1199</v>
      </c>
      <c r="C142" s="165">
        <v>-91.21764</v>
      </c>
      <c r="D142" s="10">
        <v>18.5</v>
      </c>
      <c r="E142" s="10">
        <v>0</v>
      </c>
      <c r="F142" s="149">
        <v>0</v>
      </c>
      <c r="G142" s="34">
        <v>0</v>
      </c>
      <c r="H142" s="96">
        <v>0</v>
      </c>
      <c r="I142" s="10">
        <v>0</v>
      </c>
      <c r="J142" s="36">
        <v>0</v>
      </c>
      <c r="K142" s="36">
        <v>0</v>
      </c>
      <c r="L142" s="36">
        <v>0</v>
      </c>
      <c r="M142" s="36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46">
        <v>0</v>
      </c>
    </row>
    <row r="143" spans="1:44" ht="12.75">
      <c r="A143" s="34">
        <v>142</v>
      </c>
      <c r="B143" s="165">
        <v>46.1199</v>
      </c>
      <c r="C143" s="165">
        <v>-91.21717</v>
      </c>
      <c r="D143" s="10">
        <v>29</v>
      </c>
      <c r="E143" s="10">
        <v>0</v>
      </c>
      <c r="F143" s="149">
        <v>0</v>
      </c>
      <c r="G143" s="34">
        <v>0</v>
      </c>
      <c r="H143" s="96">
        <v>0</v>
      </c>
      <c r="I143" s="10">
        <v>0</v>
      </c>
      <c r="J143" s="36">
        <v>0</v>
      </c>
      <c r="K143" s="36">
        <v>0</v>
      </c>
      <c r="L143" s="36">
        <v>0</v>
      </c>
      <c r="M143" s="36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46">
        <v>0</v>
      </c>
    </row>
    <row r="144" spans="1:44" ht="12.75">
      <c r="A144" s="34">
        <v>143</v>
      </c>
      <c r="B144" s="165">
        <v>46.1199</v>
      </c>
      <c r="C144" s="165">
        <v>-91.21671</v>
      </c>
      <c r="D144" s="10">
        <v>29.5</v>
      </c>
      <c r="E144" s="10">
        <v>0</v>
      </c>
      <c r="F144" s="149">
        <v>0</v>
      </c>
      <c r="G144" s="34">
        <v>0</v>
      </c>
      <c r="H144" s="96">
        <v>0</v>
      </c>
      <c r="I144" s="10">
        <v>0</v>
      </c>
      <c r="J144" s="36">
        <v>0</v>
      </c>
      <c r="K144" s="36">
        <v>0</v>
      </c>
      <c r="L144" s="36">
        <v>0</v>
      </c>
      <c r="M144" s="36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46">
        <v>0</v>
      </c>
    </row>
    <row r="145" spans="1:44" ht="12.75">
      <c r="A145" s="34">
        <v>144</v>
      </c>
      <c r="B145" s="165">
        <v>46.11991</v>
      </c>
      <c r="C145" s="165">
        <v>-91.21624</v>
      </c>
      <c r="D145" s="10">
        <v>29.5</v>
      </c>
      <c r="E145" s="10">
        <v>0</v>
      </c>
      <c r="F145" s="149">
        <v>0</v>
      </c>
      <c r="G145" s="34">
        <v>0</v>
      </c>
      <c r="H145" s="96">
        <v>0</v>
      </c>
      <c r="I145" s="10">
        <v>0</v>
      </c>
      <c r="J145" s="36">
        <v>0</v>
      </c>
      <c r="K145" s="36">
        <v>0</v>
      </c>
      <c r="L145" s="36">
        <v>0</v>
      </c>
      <c r="M145" s="36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46">
        <v>0</v>
      </c>
    </row>
    <row r="146" spans="1:44" ht="12.75">
      <c r="A146" s="34">
        <v>145</v>
      </c>
      <c r="B146" s="165">
        <v>46.11991</v>
      </c>
      <c r="C146" s="165">
        <v>-91.21578</v>
      </c>
      <c r="D146" s="10">
        <v>27.5</v>
      </c>
      <c r="E146" s="10">
        <v>0</v>
      </c>
      <c r="F146" s="149">
        <v>0</v>
      </c>
      <c r="G146" s="34">
        <v>0</v>
      </c>
      <c r="H146" s="96">
        <v>0</v>
      </c>
      <c r="I146" s="10">
        <v>0</v>
      </c>
      <c r="J146" s="36">
        <v>0</v>
      </c>
      <c r="K146" s="36">
        <v>0</v>
      </c>
      <c r="L146" s="36">
        <v>0</v>
      </c>
      <c r="M146" s="36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46">
        <v>0</v>
      </c>
    </row>
    <row r="147" spans="1:44" ht="12.75">
      <c r="A147" s="34">
        <v>146</v>
      </c>
      <c r="B147" s="165">
        <v>46.11992</v>
      </c>
      <c r="C147" s="165">
        <v>-91.21531</v>
      </c>
      <c r="D147" s="10">
        <v>20</v>
      </c>
      <c r="E147" s="10">
        <v>0</v>
      </c>
      <c r="F147" s="149">
        <v>0</v>
      </c>
      <c r="G147" s="34">
        <v>0</v>
      </c>
      <c r="H147" s="96">
        <v>0</v>
      </c>
      <c r="I147" s="10">
        <v>0</v>
      </c>
      <c r="J147" s="36">
        <v>0</v>
      </c>
      <c r="K147" s="36">
        <v>0</v>
      </c>
      <c r="L147" s="36">
        <v>0</v>
      </c>
      <c r="M147" s="36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46">
        <v>0</v>
      </c>
    </row>
    <row r="148" spans="1:44" ht="12.75">
      <c r="A148" s="34">
        <v>147</v>
      </c>
      <c r="B148" s="165">
        <v>46.11993</v>
      </c>
      <c r="C148" s="165">
        <v>-91.21484</v>
      </c>
      <c r="D148" s="10">
        <v>15.5</v>
      </c>
      <c r="E148" s="10" t="s">
        <v>563</v>
      </c>
      <c r="F148" s="149">
        <v>0</v>
      </c>
      <c r="G148" s="34">
        <v>0</v>
      </c>
      <c r="H148" s="96">
        <v>0</v>
      </c>
      <c r="I148" s="10">
        <v>0</v>
      </c>
      <c r="J148" s="36">
        <v>0</v>
      </c>
      <c r="K148" s="36">
        <v>0</v>
      </c>
      <c r="L148" s="36">
        <v>0</v>
      </c>
      <c r="M148" s="36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46">
        <v>0</v>
      </c>
    </row>
    <row r="149" spans="1:44" ht="12.75">
      <c r="A149" s="34">
        <v>148</v>
      </c>
      <c r="B149" s="165">
        <v>46.11993</v>
      </c>
      <c r="C149" s="165">
        <v>-91.21438</v>
      </c>
      <c r="D149" s="10">
        <v>7.5</v>
      </c>
      <c r="E149" s="10" t="s">
        <v>565</v>
      </c>
      <c r="F149" s="149">
        <v>1</v>
      </c>
      <c r="G149" s="34">
        <v>1</v>
      </c>
      <c r="H149" s="96">
        <v>4</v>
      </c>
      <c r="I149" s="10">
        <v>2</v>
      </c>
      <c r="J149" s="36">
        <v>0</v>
      </c>
      <c r="K149" s="36">
        <v>0</v>
      </c>
      <c r="L149" s="36">
        <v>2</v>
      </c>
      <c r="M149" s="36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1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1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1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46">
        <v>0</v>
      </c>
    </row>
    <row r="150" spans="1:44" ht="12.75">
      <c r="A150" s="34">
        <v>149</v>
      </c>
      <c r="B150" s="165">
        <v>46.11994</v>
      </c>
      <c r="C150" s="165">
        <v>-91.21391</v>
      </c>
      <c r="D150" s="10">
        <v>4</v>
      </c>
      <c r="E150" s="10" t="s">
        <v>565</v>
      </c>
      <c r="F150" s="149">
        <v>1</v>
      </c>
      <c r="G150" s="34">
        <v>1</v>
      </c>
      <c r="H150" s="96">
        <v>5</v>
      </c>
      <c r="I150" s="10">
        <v>3</v>
      </c>
      <c r="J150" s="36">
        <v>0</v>
      </c>
      <c r="K150" s="36">
        <v>0</v>
      </c>
      <c r="L150" s="36">
        <v>1</v>
      </c>
      <c r="M150" s="36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2</v>
      </c>
      <c r="S150" s="10">
        <v>0</v>
      </c>
      <c r="T150" s="10">
        <v>1</v>
      </c>
      <c r="U150" s="10">
        <v>0</v>
      </c>
      <c r="V150" s="10">
        <v>3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1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46">
        <v>0</v>
      </c>
    </row>
    <row r="151" spans="1:44" ht="12.75">
      <c r="A151" s="34">
        <v>150</v>
      </c>
      <c r="B151" s="165">
        <v>46.11994</v>
      </c>
      <c r="C151" s="165">
        <v>-91.21345</v>
      </c>
      <c r="D151" s="10">
        <v>7</v>
      </c>
      <c r="E151" s="10" t="s">
        <v>563</v>
      </c>
      <c r="F151" s="149">
        <v>1</v>
      </c>
      <c r="G151" s="34">
        <v>1</v>
      </c>
      <c r="H151" s="96">
        <v>6</v>
      </c>
      <c r="I151" s="10">
        <v>2</v>
      </c>
      <c r="J151" s="36">
        <v>1</v>
      </c>
      <c r="K151" s="36">
        <v>0</v>
      </c>
      <c r="L151" s="36">
        <v>1</v>
      </c>
      <c r="M151" s="36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2</v>
      </c>
      <c r="AE151" s="10">
        <v>1</v>
      </c>
      <c r="AF151" s="10">
        <v>0</v>
      </c>
      <c r="AG151" s="10">
        <v>0</v>
      </c>
      <c r="AH151" s="10">
        <v>2</v>
      </c>
      <c r="AI151" s="10">
        <v>0</v>
      </c>
      <c r="AJ151" s="10">
        <v>0</v>
      </c>
      <c r="AK151" s="10">
        <v>0</v>
      </c>
      <c r="AL151" s="10">
        <v>1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46">
        <v>0</v>
      </c>
    </row>
    <row r="152" spans="1:44" ht="12.75">
      <c r="A152" s="34">
        <v>151</v>
      </c>
      <c r="B152" s="165">
        <v>46.11994</v>
      </c>
      <c r="C152" s="165">
        <v>-91.21298</v>
      </c>
      <c r="D152" s="10">
        <v>12</v>
      </c>
      <c r="E152" s="10" t="s">
        <v>563</v>
      </c>
      <c r="F152" s="149">
        <v>1</v>
      </c>
      <c r="G152" s="34">
        <v>0</v>
      </c>
      <c r="H152" s="96">
        <v>0</v>
      </c>
      <c r="I152" s="10">
        <v>0</v>
      </c>
      <c r="J152" s="36">
        <v>0</v>
      </c>
      <c r="K152" s="36">
        <v>0</v>
      </c>
      <c r="L152" s="36">
        <v>0</v>
      </c>
      <c r="M152" s="36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46">
        <v>0</v>
      </c>
    </row>
    <row r="153" spans="1:44" ht="12.75">
      <c r="A153" s="34">
        <v>152</v>
      </c>
      <c r="B153" s="165">
        <v>46.11995</v>
      </c>
      <c r="C153" s="165">
        <v>-91.21252</v>
      </c>
      <c r="D153" s="10">
        <v>10.5</v>
      </c>
      <c r="E153" s="10" t="s">
        <v>563</v>
      </c>
      <c r="F153" s="149">
        <v>1</v>
      </c>
      <c r="G153" s="34">
        <v>1</v>
      </c>
      <c r="H153" s="96">
        <v>1</v>
      </c>
      <c r="I153" s="10">
        <v>1</v>
      </c>
      <c r="J153" s="36">
        <v>0</v>
      </c>
      <c r="K153" s="36">
        <v>0</v>
      </c>
      <c r="L153" s="36">
        <v>1</v>
      </c>
      <c r="M153" s="36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46">
        <v>0</v>
      </c>
    </row>
    <row r="154" spans="1:44" ht="12.75">
      <c r="A154" s="34">
        <v>153</v>
      </c>
      <c r="B154" s="165">
        <v>46.11996</v>
      </c>
      <c r="C154" s="165">
        <v>-91.21205</v>
      </c>
      <c r="D154" s="10">
        <v>5.5</v>
      </c>
      <c r="E154" s="10" t="s">
        <v>563</v>
      </c>
      <c r="F154" s="149">
        <v>1</v>
      </c>
      <c r="G154" s="34">
        <v>1</v>
      </c>
      <c r="H154" s="96">
        <v>5</v>
      </c>
      <c r="I154" s="10">
        <v>2</v>
      </c>
      <c r="J154" s="36">
        <v>0</v>
      </c>
      <c r="K154" s="36">
        <v>0</v>
      </c>
      <c r="L154" s="36">
        <v>1</v>
      </c>
      <c r="M154" s="36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1</v>
      </c>
      <c r="Z154" s="10">
        <v>0</v>
      </c>
      <c r="AA154" s="10">
        <v>0</v>
      </c>
      <c r="AB154" s="10">
        <v>0</v>
      </c>
      <c r="AC154" s="10">
        <v>1</v>
      </c>
      <c r="AD154" s="10">
        <v>1</v>
      </c>
      <c r="AE154" s="10">
        <v>0</v>
      </c>
      <c r="AF154" s="10">
        <v>0</v>
      </c>
      <c r="AG154" s="10">
        <v>0</v>
      </c>
      <c r="AH154" s="10">
        <v>2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46">
        <v>0</v>
      </c>
    </row>
    <row r="155" spans="1:44" ht="12.75">
      <c r="A155" s="34">
        <v>154</v>
      </c>
      <c r="B155" s="165">
        <v>46.11996</v>
      </c>
      <c r="C155" s="165">
        <v>-91.21158</v>
      </c>
      <c r="D155" s="10">
        <v>2</v>
      </c>
      <c r="E155" s="10" t="s">
        <v>563</v>
      </c>
      <c r="F155" s="149">
        <v>1</v>
      </c>
      <c r="G155" s="34">
        <v>1</v>
      </c>
      <c r="H155" s="96">
        <v>5</v>
      </c>
      <c r="I155" s="10">
        <v>3</v>
      </c>
      <c r="J155" s="36">
        <v>0</v>
      </c>
      <c r="K155" s="36">
        <v>0</v>
      </c>
      <c r="L155" s="36">
        <v>0</v>
      </c>
      <c r="M155" s="36">
        <v>0</v>
      </c>
      <c r="N155" s="10">
        <v>0</v>
      </c>
      <c r="O155" s="10">
        <v>0</v>
      </c>
      <c r="P155" s="10">
        <v>0</v>
      </c>
      <c r="Q155" s="10">
        <v>2</v>
      </c>
      <c r="R155" s="10">
        <v>0</v>
      </c>
      <c r="S155" s="10">
        <v>0</v>
      </c>
      <c r="T155" s="10">
        <v>1</v>
      </c>
      <c r="U155" s="10">
        <v>0</v>
      </c>
      <c r="V155" s="10">
        <v>0</v>
      </c>
      <c r="W155" s="10">
        <v>3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4</v>
      </c>
      <c r="AD155" s="10">
        <v>0</v>
      </c>
      <c r="AE155" s="10">
        <v>0</v>
      </c>
      <c r="AF155" s="10">
        <v>0</v>
      </c>
      <c r="AG155" s="10">
        <v>0</v>
      </c>
      <c r="AH155" s="10">
        <v>1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1</v>
      </c>
      <c r="AO155" s="10">
        <v>0</v>
      </c>
      <c r="AP155" s="10">
        <v>0</v>
      </c>
      <c r="AQ155" s="10">
        <v>0</v>
      </c>
      <c r="AR155" s="146">
        <v>0</v>
      </c>
    </row>
    <row r="156" spans="1:44" ht="12.75">
      <c r="A156" s="34">
        <v>155</v>
      </c>
      <c r="B156" s="165">
        <v>46.12019</v>
      </c>
      <c r="C156" s="165">
        <v>-91.22091</v>
      </c>
      <c r="D156" s="10">
        <v>6</v>
      </c>
      <c r="E156" s="10" t="s">
        <v>563</v>
      </c>
      <c r="F156" s="149">
        <v>1</v>
      </c>
      <c r="G156" s="34">
        <v>1</v>
      </c>
      <c r="H156" s="96">
        <v>4</v>
      </c>
      <c r="I156" s="10">
        <v>2</v>
      </c>
      <c r="J156" s="36">
        <v>0</v>
      </c>
      <c r="K156" s="36">
        <v>0</v>
      </c>
      <c r="L156" s="36">
        <v>1</v>
      </c>
      <c r="M156" s="36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1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2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1</v>
      </c>
      <c r="AQ156" s="10">
        <v>0</v>
      </c>
      <c r="AR156" s="146">
        <v>1</v>
      </c>
    </row>
    <row r="157" spans="1:44" ht="12.75">
      <c r="A157" s="34">
        <v>156</v>
      </c>
      <c r="B157" s="165">
        <v>46.12019</v>
      </c>
      <c r="C157" s="165">
        <v>-91.22044</v>
      </c>
      <c r="D157" s="10">
        <v>9</v>
      </c>
      <c r="E157" s="10" t="s">
        <v>563</v>
      </c>
      <c r="F157" s="149">
        <v>1</v>
      </c>
      <c r="G157" s="34">
        <v>1</v>
      </c>
      <c r="H157" s="96">
        <v>1</v>
      </c>
      <c r="I157" s="10">
        <v>1</v>
      </c>
      <c r="J157" s="36">
        <v>0</v>
      </c>
      <c r="K157" s="36">
        <v>0</v>
      </c>
      <c r="L157" s="36">
        <v>1</v>
      </c>
      <c r="M157" s="36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46">
        <v>0</v>
      </c>
    </row>
    <row r="158" spans="1:44" ht="12.75">
      <c r="A158" s="34">
        <v>157</v>
      </c>
      <c r="B158" s="165">
        <v>46.12022</v>
      </c>
      <c r="C158" s="165">
        <v>-91.21765</v>
      </c>
      <c r="D158" s="10">
        <v>18.5</v>
      </c>
      <c r="E158" s="10">
        <v>0</v>
      </c>
      <c r="F158" s="149">
        <v>0</v>
      </c>
      <c r="G158" s="34">
        <v>0</v>
      </c>
      <c r="H158" s="96">
        <v>0</v>
      </c>
      <c r="I158" s="10">
        <v>0</v>
      </c>
      <c r="J158" s="36">
        <v>0</v>
      </c>
      <c r="K158" s="36">
        <v>0</v>
      </c>
      <c r="L158" s="36">
        <v>0</v>
      </c>
      <c r="M158" s="36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46">
        <v>0</v>
      </c>
    </row>
    <row r="159" spans="1:44" ht="12.75">
      <c r="A159" s="34">
        <v>158</v>
      </c>
      <c r="B159" s="165">
        <v>46.12022</v>
      </c>
      <c r="C159" s="165">
        <v>-91.21718</v>
      </c>
      <c r="D159" s="10">
        <v>25</v>
      </c>
      <c r="E159" s="10">
        <v>0</v>
      </c>
      <c r="F159" s="149">
        <v>0</v>
      </c>
      <c r="G159" s="34">
        <v>0</v>
      </c>
      <c r="H159" s="96">
        <v>0</v>
      </c>
      <c r="I159" s="10">
        <v>0</v>
      </c>
      <c r="J159" s="36">
        <v>0</v>
      </c>
      <c r="K159" s="36">
        <v>0</v>
      </c>
      <c r="L159" s="36">
        <v>0</v>
      </c>
      <c r="M159" s="36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46">
        <v>0</v>
      </c>
    </row>
    <row r="160" spans="1:44" ht="12.75">
      <c r="A160" s="34">
        <v>159</v>
      </c>
      <c r="B160" s="165">
        <v>46.12023</v>
      </c>
      <c r="C160" s="165">
        <v>-91.21672</v>
      </c>
      <c r="D160" s="10">
        <v>29</v>
      </c>
      <c r="E160" s="10">
        <v>0</v>
      </c>
      <c r="F160" s="149">
        <v>0</v>
      </c>
      <c r="G160" s="34">
        <v>0</v>
      </c>
      <c r="H160" s="96">
        <v>0</v>
      </c>
      <c r="I160" s="10">
        <v>0</v>
      </c>
      <c r="J160" s="36">
        <v>0</v>
      </c>
      <c r="K160" s="36">
        <v>0</v>
      </c>
      <c r="L160" s="36">
        <v>0</v>
      </c>
      <c r="M160" s="36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46">
        <v>0</v>
      </c>
    </row>
    <row r="161" spans="1:44" ht="12.75">
      <c r="A161" s="34">
        <v>160</v>
      </c>
      <c r="B161" s="165">
        <v>46.12023</v>
      </c>
      <c r="C161" s="165">
        <v>-91.21625</v>
      </c>
      <c r="D161" s="10">
        <v>29</v>
      </c>
      <c r="E161" s="10">
        <v>0</v>
      </c>
      <c r="F161" s="149">
        <v>0</v>
      </c>
      <c r="G161" s="34">
        <v>0</v>
      </c>
      <c r="H161" s="96">
        <v>0</v>
      </c>
      <c r="I161" s="10">
        <v>0</v>
      </c>
      <c r="J161" s="36">
        <v>0</v>
      </c>
      <c r="K161" s="36">
        <v>0</v>
      </c>
      <c r="L161" s="36">
        <v>0</v>
      </c>
      <c r="M161" s="36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46">
        <v>0</v>
      </c>
    </row>
    <row r="162" spans="1:44" ht="12.75">
      <c r="A162" s="34">
        <v>161</v>
      </c>
      <c r="B162" s="165">
        <v>46.12024</v>
      </c>
      <c r="C162" s="165">
        <v>-91.21578</v>
      </c>
      <c r="D162" s="10">
        <v>24.5</v>
      </c>
      <c r="E162" s="10">
        <v>0</v>
      </c>
      <c r="F162" s="149">
        <v>0</v>
      </c>
      <c r="G162" s="34">
        <v>0</v>
      </c>
      <c r="H162" s="96">
        <v>0</v>
      </c>
      <c r="I162" s="10">
        <v>0</v>
      </c>
      <c r="J162" s="36">
        <v>0</v>
      </c>
      <c r="K162" s="36">
        <v>0</v>
      </c>
      <c r="L162" s="36">
        <v>0</v>
      </c>
      <c r="M162" s="36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46">
        <v>0</v>
      </c>
    </row>
    <row r="163" spans="1:44" ht="12.75">
      <c r="A163" s="34">
        <v>162</v>
      </c>
      <c r="B163" s="165">
        <v>46.12024</v>
      </c>
      <c r="C163" s="165">
        <v>-91.21532</v>
      </c>
      <c r="D163" s="10">
        <v>19</v>
      </c>
      <c r="E163" s="10">
        <v>0</v>
      </c>
      <c r="F163" s="149">
        <v>0</v>
      </c>
      <c r="G163" s="34">
        <v>0</v>
      </c>
      <c r="H163" s="96">
        <v>0</v>
      </c>
      <c r="I163" s="10">
        <v>0</v>
      </c>
      <c r="J163" s="36">
        <v>0</v>
      </c>
      <c r="K163" s="36">
        <v>0</v>
      </c>
      <c r="L163" s="36">
        <v>0</v>
      </c>
      <c r="M163" s="36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46">
        <v>0</v>
      </c>
    </row>
    <row r="164" spans="1:44" ht="12.75">
      <c r="A164" s="34">
        <v>163</v>
      </c>
      <c r="B164" s="165">
        <v>46.12025</v>
      </c>
      <c r="C164" s="165">
        <v>-91.21485</v>
      </c>
      <c r="D164" s="10">
        <v>14</v>
      </c>
      <c r="E164" s="10" t="s">
        <v>563</v>
      </c>
      <c r="F164" s="149">
        <v>0</v>
      </c>
      <c r="G164" s="34">
        <v>0</v>
      </c>
      <c r="H164" s="96">
        <v>0</v>
      </c>
      <c r="I164" s="10">
        <v>0</v>
      </c>
      <c r="J164" s="36">
        <v>0</v>
      </c>
      <c r="K164" s="36">
        <v>0</v>
      </c>
      <c r="L164" s="36">
        <v>0</v>
      </c>
      <c r="M164" s="36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46">
        <v>0</v>
      </c>
    </row>
    <row r="165" spans="1:44" ht="12.75">
      <c r="A165" s="34">
        <v>164</v>
      </c>
      <c r="B165" s="165">
        <v>46.12025</v>
      </c>
      <c r="C165" s="165">
        <v>-91.21439</v>
      </c>
      <c r="D165" s="10">
        <v>9.5</v>
      </c>
      <c r="E165" s="10" t="s">
        <v>565</v>
      </c>
      <c r="F165" s="149">
        <v>1</v>
      </c>
      <c r="G165" s="34">
        <v>0</v>
      </c>
      <c r="H165" s="96">
        <v>0</v>
      </c>
      <c r="I165" s="10">
        <v>0</v>
      </c>
      <c r="J165" s="36">
        <v>0</v>
      </c>
      <c r="K165" s="36">
        <v>0</v>
      </c>
      <c r="L165" s="36">
        <v>0</v>
      </c>
      <c r="M165" s="36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46">
        <v>0</v>
      </c>
    </row>
    <row r="166" spans="1:44" ht="12.75">
      <c r="A166" s="34">
        <v>165</v>
      </c>
      <c r="B166" s="165">
        <v>46.12026</v>
      </c>
      <c r="C166" s="165">
        <v>-91.21392</v>
      </c>
      <c r="D166" s="10">
        <v>6.5</v>
      </c>
      <c r="E166" s="10" t="s">
        <v>563</v>
      </c>
      <c r="F166" s="149">
        <v>1</v>
      </c>
      <c r="G166" s="34">
        <v>1</v>
      </c>
      <c r="H166" s="96">
        <v>2</v>
      </c>
      <c r="I166" s="10">
        <v>2</v>
      </c>
      <c r="J166" s="36">
        <v>0</v>
      </c>
      <c r="K166" s="36">
        <v>0</v>
      </c>
      <c r="L166" s="36">
        <v>2</v>
      </c>
      <c r="M166" s="36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4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1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46">
        <v>0</v>
      </c>
    </row>
    <row r="167" spans="1:44" ht="12.75">
      <c r="A167" s="34">
        <v>166</v>
      </c>
      <c r="B167" s="165">
        <v>46.12026</v>
      </c>
      <c r="C167" s="165">
        <v>-91.21345</v>
      </c>
      <c r="D167" s="10">
        <v>6</v>
      </c>
      <c r="E167" s="10" t="s">
        <v>563</v>
      </c>
      <c r="F167" s="149">
        <v>1</v>
      </c>
      <c r="G167" s="34">
        <v>1</v>
      </c>
      <c r="H167" s="96">
        <v>3</v>
      </c>
      <c r="I167" s="10">
        <v>2</v>
      </c>
      <c r="J167" s="36">
        <v>0</v>
      </c>
      <c r="K167" s="36">
        <v>0</v>
      </c>
      <c r="L167" s="36">
        <v>2</v>
      </c>
      <c r="M167" s="36">
        <v>0</v>
      </c>
      <c r="N167" s="10">
        <v>0</v>
      </c>
      <c r="O167" s="10">
        <v>0</v>
      </c>
      <c r="P167" s="10">
        <v>1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1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46">
        <v>2</v>
      </c>
    </row>
    <row r="168" spans="1:44" ht="12.75">
      <c r="A168" s="34">
        <v>167</v>
      </c>
      <c r="B168" s="165">
        <v>46.12051</v>
      </c>
      <c r="C168" s="165">
        <v>-91.22091</v>
      </c>
      <c r="D168" s="10">
        <v>14</v>
      </c>
      <c r="E168" s="10" t="s">
        <v>563</v>
      </c>
      <c r="F168" s="149">
        <v>0</v>
      </c>
      <c r="G168" s="34">
        <v>0</v>
      </c>
      <c r="H168" s="96">
        <v>0</v>
      </c>
      <c r="I168" s="10">
        <v>0</v>
      </c>
      <c r="J168" s="36">
        <v>0</v>
      </c>
      <c r="K168" s="36">
        <v>0</v>
      </c>
      <c r="L168" s="36">
        <v>0</v>
      </c>
      <c r="M168" s="36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46">
        <v>0</v>
      </c>
    </row>
    <row r="169" spans="1:44" ht="12.75">
      <c r="A169" s="34">
        <v>168</v>
      </c>
      <c r="B169" s="165">
        <v>46.12051</v>
      </c>
      <c r="C169" s="165">
        <v>-91.22045</v>
      </c>
      <c r="D169" s="10">
        <v>20</v>
      </c>
      <c r="E169" s="10">
        <v>0</v>
      </c>
      <c r="F169" s="149">
        <v>0</v>
      </c>
      <c r="G169" s="34">
        <v>0</v>
      </c>
      <c r="H169" s="96">
        <v>0</v>
      </c>
      <c r="I169" s="10">
        <v>0</v>
      </c>
      <c r="J169" s="36">
        <v>0</v>
      </c>
      <c r="K169" s="36">
        <v>0</v>
      </c>
      <c r="L169" s="36">
        <v>0</v>
      </c>
      <c r="M169" s="36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46">
        <v>0</v>
      </c>
    </row>
    <row r="170" spans="1:44" ht="12.75">
      <c r="A170" s="34">
        <v>169</v>
      </c>
      <c r="B170" s="165">
        <v>46.12052</v>
      </c>
      <c r="C170" s="165">
        <v>-91.21998</v>
      </c>
      <c r="D170" s="10">
        <v>9.5</v>
      </c>
      <c r="E170" s="10" t="s">
        <v>563</v>
      </c>
      <c r="F170" s="149">
        <v>1</v>
      </c>
      <c r="G170" s="34">
        <v>1</v>
      </c>
      <c r="H170" s="96">
        <v>2</v>
      </c>
      <c r="I170" s="10">
        <v>1</v>
      </c>
      <c r="J170" s="36">
        <v>0</v>
      </c>
      <c r="K170" s="36">
        <v>0</v>
      </c>
      <c r="L170" s="36">
        <v>1</v>
      </c>
      <c r="M170" s="36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4</v>
      </c>
      <c r="AA170" s="10">
        <v>0</v>
      </c>
      <c r="AB170" s="10">
        <v>0</v>
      </c>
      <c r="AC170" s="10">
        <v>0</v>
      </c>
      <c r="AD170" s="10">
        <v>4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1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46">
        <v>0</v>
      </c>
    </row>
    <row r="171" spans="1:44" ht="12.75">
      <c r="A171" s="34">
        <v>170</v>
      </c>
      <c r="B171" s="165">
        <v>46.12054</v>
      </c>
      <c r="C171" s="165">
        <v>-91.21765</v>
      </c>
      <c r="D171" s="10">
        <v>21</v>
      </c>
      <c r="E171" s="10">
        <v>0</v>
      </c>
      <c r="F171" s="149">
        <v>0</v>
      </c>
      <c r="G171" s="34">
        <v>0</v>
      </c>
      <c r="H171" s="96">
        <v>0</v>
      </c>
      <c r="I171" s="10">
        <v>0</v>
      </c>
      <c r="J171" s="36">
        <v>0</v>
      </c>
      <c r="K171" s="36">
        <v>0</v>
      </c>
      <c r="L171" s="36">
        <v>0</v>
      </c>
      <c r="M171" s="36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46">
        <v>0</v>
      </c>
    </row>
    <row r="172" spans="1:44" ht="12.75">
      <c r="A172" s="34">
        <v>171</v>
      </c>
      <c r="B172" s="165">
        <v>46.12055</v>
      </c>
      <c r="C172" s="165">
        <v>-91.21719</v>
      </c>
      <c r="D172" s="10">
        <v>24.5</v>
      </c>
      <c r="E172" s="10">
        <v>0</v>
      </c>
      <c r="F172" s="149">
        <v>0</v>
      </c>
      <c r="G172" s="34">
        <v>0</v>
      </c>
      <c r="H172" s="96">
        <v>0</v>
      </c>
      <c r="I172" s="10">
        <v>0</v>
      </c>
      <c r="J172" s="36">
        <v>0</v>
      </c>
      <c r="K172" s="36">
        <v>0</v>
      </c>
      <c r="L172" s="36">
        <v>0</v>
      </c>
      <c r="M172" s="36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46">
        <v>0</v>
      </c>
    </row>
    <row r="173" spans="1:44" ht="12.75">
      <c r="A173" s="34">
        <v>172</v>
      </c>
      <c r="B173" s="165">
        <v>46.12055</v>
      </c>
      <c r="C173" s="165">
        <v>-91.21672</v>
      </c>
      <c r="D173" s="10">
        <v>26.5</v>
      </c>
      <c r="E173" s="10">
        <v>0</v>
      </c>
      <c r="F173" s="149">
        <v>0</v>
      </c>
      <c r="G173" s="34">
        <v>0</v>
      </c>
      <c r="H173" s="96">
        <v>0</v>
      </c>
      <c r="I173" s="10">
        <v>0</v>
      </c>
      <c r="J173" s="36">
        <v>0</v>
      </c>
      <c r="K173" s="36">
        <v>0</v>
      </c>
      <c r="L173" s="36">
        <v>0</v>
      </c>
      <c r="M173" s="36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46">
        <v>0</v>
      </c>
    </row>
    <row r="174" spans="1:44" ht="12.75">
      <c r="A174" s="34">
        <v>173</v>
      </c>
      <c r="B174" s="165">
        <v>46.12056</v>
      </c>
      <c r="C174" s="165">
        <v>-91.21626</v>
      </c>
      <c r="D174" s="10">
        <v>28</v>
      </c>
      <c r="E174" s="10">
        <v>0</v>
      </c>
      <c r="F174" s="149">
        <v>0</v>
      </c>
      <c r="G174" s="34">
        <v>0</v>
      </c>
      <c r="H174" s="96">
        <v>0</v>
      </c>
      <c r="I174" s="10">
        <v>0</v>
      </c>
      <c r="J174" s="36">
        <v>0</v>
      </c>
      <c r="K174" s="36">
        <v>0</v>
      </c>
      <c r="L174" s="36">
        <v>0</v>
      </c>
      <c r="M174" s="36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46">
        <v>0</v>
      </c>
    </row>
    <row r="175" spans="1:44" ht="12.75">
      <c r="A175" s="34">
        <v>174</v>
      </c>
      <c r="B175" s="165">
        <v>46.12056</v>
      </c>
      <c r="C175" s="165">
        <v>-91.21579</v>
      </c>
      <c r="D175" s="10">
        <v>26</v>
      </c>
      <c r="E175" s="10">
        <v>0</v>
      </c>
      <c r="F175" s="149">
        <v>0</v>
      </c>
      <c r="G175" s="34">
        <v>0</v>
      </c>
      <c r="H175" s="96">
        <v>0</v>
      </c>
      <c r="I175" s="10">
        <v>0</v>
      </c>
      <c r="J175" s="36">
        <v>0</v>
      </c>
      <c r="K175" s="36">
        <v>0</v>
      </c>
      <c r="L175" s="36">
        <v>0</v>
      </c>
      <c r="M175" s="36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46">
        <v>0</v>
      </c>
    </row>
    <row r="176" spans="1:44" ht="12.75">
      <c r="A176" s="34">
        <v>175</v>
      </c>
      <c r="B176" s="165">
        <v>46.12057</v>
      </c>
      <c r="C176" s="165">
        <v>-91.21532</v>
      </c>
      <c r="D176" s="10">
        <v>24.5</v>
      </c>
      <c r="E176" s="10">
        <v>0</v>
      </c>
      <c r="F176" s="149">
        <v>0</v>
      </c>
      <c r="G176" s="34">
        <v>0</v>
      </c>
      <c r="H176" s="96">
        <v>0</v>
      </c>
      <c r="I176" s="10">
        <v>0</v>
      </c>
      <c r="J176" s="36">
        <v>0</v>
      </c>
      <c r="K176" s="36">
        <v>0</v>
      </c>
      <c r="L176" s="36">
        <v>0</v>
      </c>
      <c r="M176" s="36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46">
        <v>0</v>
      </c>
    </row>
    <row r="177" spans="1:44" ht="12.75">
      <c r="A177" s="34">
        <v>176</v>
      </c>
      <c r="B177" s="165">
        <v>46.12057</v>
      </c>
      <c r="C177" s="165">
        <v>-91.21486</v>
      </c>
      <c r="D177" s="10">
        <v>20</v>
      </c>
      <c r="E177" s="10">
        <v>0</v>
      </c>
      <c r="F177" s="149">
        <v>0</v>
      </c>
      <c r="G177" s="34">
        <v>0</v>
      </c>
      <c r="H177" s="96">
        <v>0</v>
      </c>
      <c r="I177" s="10">
        <v>0</v>
      </c>
      <c r="J177" s="36">
        <v>0</v>
      </c>
      <c r="K177" s="36">
        <v>0</v>
      </c>
      <c r="L177" s="36">
        <v>0</v>
      </c>
      <c r="M177" s="36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46">
        <v>0</v>
      </c>
    </row>
    <row r="178" spans="1:44" ht="12.75">
      <c r="A178" s="34">
        <v>177</v>
      </c>
      <c r="B178" s="165">
        <v>46.12058</v>
      </c>
      <c r="C178" s="165">
        <v>-91.21439</v>
      </c>
      <c r="D178" s="10">
        <v>18.5</v>
      </c>
      <c r="E178" s="10">
        <v>0</v>
      </c>
      <c r="F178" s="149">
        <v>0</v>
      </c>
      <c r="G178" s="34">
        <v>0</v>
      </c>
      <c r="H178" s="96">
        <v>0</v>
      </c>
      <c r="I178" s="10">
        <v>0</v>
      </c>
      <c r="J178" s="36">
        <v>0</v>
      </c>
      <c r="K178" s="36">
        <v>0</v>
      </c>
      <c r="L178" s="36">
        <v>0</v>
      </c>
      <c r="M178" s="36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46">
        <v>0</v>
      </c>
    </row>
    <row r="179" spans="1:44" ht="12.75">
      <c r="A179" s="34">
        <v>178</v>
      </c>
      <c r="B179" s="165">
        <v>46.12058</v>
      </c>
      <c r="C179" s="165">
        <v>-91.21393</v>
      </c>
      <c r="D179" s="10">
        <v>14.5</v>
      </c>
      <c r="E179" s="10" t="s">
        <v>563</v>
      </c>
      <c r="F179" s="149">
        <v>0</v>
      </c>
      <c r="G179" s="34">
        <v>0</v>
      </c>
      <c r="H179" s="96">
        <v>0</v>
      </c>
      <c r="I179" s="10">
        <v>0</v>
      </c>
      <c r="J179" s="36">
        <v>0</v>
      </c>
      <c r="K179" s="36">
        <v>0</v>
      </c>
      <c r="L179" s="36">
        <v>0</v>
      </c>
      <c r="M179" s="36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46">
        <v>0</v>
      </c>
    </row>
    <row r="180" spans="1:44" ht="12.75">
      <c r="A180" s="34">
        <v>179</v>
      </c>
      <c r="B180" s="165">
        <v>46.1206</v>
      </c>
      <c r="C180" s="165">
        <v>-91.21253</v>
      </c>
      <c r="D180" s="10">
        <v>4</v>
      </c>
      <c r="E180" s="10" t="s">
        <v>563</v>
      </c>
      <c r="F180" s="149">
        <v>1</v>
      </c>
      <c r="G180" s="34">
        <v>1</v>
      </c>
      <c r="H180" s="96">
        <v>9</v>
      </c>
      <c r="I180" s="10">
        <v>3</v>
      </c>
      <c r="J180" s="36">
        <v>0</v>
      </c>
      <c r="K180" s="36">
        <v>0</v>
      </c>
      <c r="L180" s="36">
        <v>1</v>
      </c>
      <c r="M180" s="36">
        <v>0</v>
      </c>
      <c r="N180" s="10">
        <v>0</v>
      </c>
      <c r="O180" s="10">
        <v>0</v>
      </c>
      <c r="P180" s="10">
        <v>1</v>
      </c>
      <c r="Q180" s="10">
        <v>1</v>
      </c>
      <c r="R180" s="10">
        <v>1</v>
      </c>
      <c r="S180" s="10">
        <v>0</v>
      </c>
      <c r="T180" s="10">
        <v>0</v>
      </c>
      <c r="U180" s="10">
        <v>0</v>
      </c>
      <c r="V180" s="10">
        <v>2</v>
      </c>
      <c r="W180" s="10">
        <v>2</v>
      </c>
      <c r="X180" s="10">
        <v>0</v>
      </c>
      <c r="Y180" s="10">
        <v>1</v>
      </c>
      <c r="Z180" s="10">
        <v>0</v>
      </c>
      <c r="AA180" s="10">
        <v>0</v>
      </c>
      <c r="AB180" s="10">
        <v>0</v>
      </c>
      <c r="AC180" s="10">
        <v>0</v>
      </c>
      <c r="AD180" s="10">
        <v>1</v>
      </c>
      <c r="AE180" s="10">
        <v>1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46">
        <v>2</v>
      </c>
    </row>
    <row r="181" spans="1:44" ht="12.75">
      <c r="A181" s="34">
        <v>180</v>
      </c>
      <c r="B181" s="165">
        <v>46.1206</v>
      </c>
      <c r="C181" s="165">
        <v>-91.21206</v>
      </c>
      <c r="D181" s="10">
        <v>4</v>
      </c>
      <c r="E181" s="10" t="s">
        <v>563</v>
      </c>
      <c r="F181" s="149">
        <v>1</v>
      </c>
      <c r="G181" s="34">
        <v>1</v>
      </c>
      <c r="H181" s="96">
        <v>4</v>
      </c>
      <c r="I181" s="10">
        <v>2</v>
      </c>
      <c r="J181" s="36">
        <v>0</v>
      </c>
      <c r="K181" s="36">
        <v>0</v>
      </c>
      <c r="L181" s="36">
        <v>0</v>
      </c>
      <c r="M181" s="36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1</v>
      </c>
      <c r="X181" s="10">
        <v>0</v>
      </c>
      <c r="Y181" s="10">
        <v>2</v>
      </c>
      <c r="Z181" s="10">
        <v>0</v>
      </c>
      <c r="AA181" s="10">
        <v>0</v>
      </c>
      <c r="AB181" s="10">
        <v>0</v>
      </c>
      <c r="AC181" s="10">
        <v>0</v>
      </c>
      <c r="AD181" s="10">
        <v>1</v>
      </c>
      <c r="AE181" s="10">
        <v>0</v>
      </c>
      <c r="AF181" s="10">
        <v>0</v>
      </c>
      <c r="AG181" s="10">
        <v>0</v>
      </c>
      <c r="AH181" s="10">
        <v>2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46">
        <v>0</v>
      </c>
    </row>
    <row r="182" spans="1:44" ht="12.75">
      <c r="A182" s="34">
        <v>181</v>
      </c>
      <c r="B182" s="165">
        <v>46.12083</v>
      </c>
      <c r="C182" s="165">
        <v>-91.22092</v>
      </c>
      <c r="D182" s="10">
        <v>10</v>
      </c>
      <c r="E182" s="10" t="s">
        <v>563</v>
      </c>
      <c r="F182" s="149">
        <v>1</v>
      </c>
      <c r="G182" s="34">
        <v>1</v>
      </c>
      <c r="H182" s="96">
        <v>1</v>
      </c>
      <c r="I182" s="10">
        <v>1</v>
      </c>
      <c r="J182" s="36">
        <v>0</v>
      </c>
      <c r="K182" s="36">
        <v>0</v>
      </c>
      <c r="L182" s="36">
        <v>1</v>
      </c>
      <c r="M182" s="36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46">
        <v>0</v>
      </c>
    </row>
    <row r="183" spans="1:44" ht="12.75">
      <c r="A183" s="34">
        <v>182</v>
      </c>
      <c r="B183" s="165">
        <v>46.12084</v>
      </c>
      <c r="C183" s="165">
        <v>-91.22046</v>
      </c>
      <c r="D183" s="10">
        <v>19.5</v>
      </c>
      <c r="E183" s="10">
        <v>0</v>
      </c>
      <c r="F183" s="149">
        <v>0</v>
      </c>
      <c r="G183" s="34">
        <v>0</v>
      </c>
      <c r="H183" s="96">
        <v>0</v>
      </c>
      <c r="I183" s="10">
        <v>0</v>
      </c>
      <c r="J183" s="36">
        <v>0</v>
      </c>
      <c r="K183" s="36">
        <v>0</v>
      </c>
      <c r="L183" s="36">
        <v>0</v>
      </c>
      <c r="M183" s="36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46">
        <v>0</v>
      </c>
    </row>
    <row r="184" spans="1:44" ht="12.75">
      <c r="A184" s="34">
        <v>183</v>
      </c>
      <c r="B184" s="165">
        <v>46.12084</v>
      </c>
      <c r="C184" s="165">
        <v>-91.21999</v>
      </c>
      <c r="D184" s="10">
        <v>17</v>
      </c>
      <c r="E184" s="10">
        <v>0</v>
      </c>
      <c r="F184" s="149">
        <v>0</v>
      </c>
      <c r="G184" s="34">
        <v>0</v>
      </c>
      <c r="H184" s="96">
        <v>0</v>
      </c>
      <c r="I184" s="10">
        <v>0</v>
      </c>
      <c r="J184" s="36">
        <v>0</v>
      </c>
      <c r="K184" s="36">
        <v>0</v>
      </c>
      <c r="L184" s="36">
        <v>0</v>
      </c>
      <c r="M184" s="36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46">
        <v>0</v>
      </c>
    </row>
    <row r="185" spans="1:44" ht="12.75">
      <c r="A185" s="34">
        <v>184</v>
      </c>
      <c r="B185" s="165">
        <v>46.12086</v>
      </c>
      <c r="C185" s="165">
        <v>-91.21813</v>
      </c>
      <c r="D185" s="10">
        <v>2</v>
      </c>
      <c r="E185" s="10" t="s">
        <v>564</v>
      </c>
      <c r="F185" s="149">
        <v>1</v>
      </c>
      <c r="G185" s="34">
        <v>1</v>
      </c>
      <c r="H185" s="96">
        <v>2</v>
      </c>
      <c r="I185" s="10">
        <v>1</v>
      </c>
      <c r="J185" s="36">
        <v>0</v>
      </c>
      <c r="K185" s="36">
        <v>0</v>
      </c>
      <c r="L185" s="36">
        <v>0</v>
      </c>
      <c r="M185" s="36">
        <v>0</v>
      </c>
      <c r="N185" s="10">
        <v>0</v>
      </c>
      <c r="O185" s="10">
        <v>1</v>
      </c>
      <c r="P185" s="10">
        <v>0</v>
      </c>
      <c r="Q185" s="10">
        <v>0</v>
      </c>
      <c r="R185" s="10">
        <v>0</v>
      </c>
      <c r="S185" s="10">
        <v>0</v>
      </c>
      <c r="T185" s="10">
        <v>1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46">
        <v>2</v>
      </c>
    </row>
    <row r="186" spans="1:44" ht="12.75">
      <c r="A186" s="34">
        <v>185</v>
      </c>
      <c r="B186" s="165">
        <v>46.12087</v>
      </c>
      <c r="C186" s="165">
        <v>-91.21766</v>
      </c>
      <c r="D186" s="10">
        <v>24</v>
      </c>
      <c r="E186" s="10">
        <v>0</v>
      </c>
      <c r="F186" s="149">
        <v>0</v>
      </c>
      <c r="G186" s="34">
        <v>0</v>
      </c>
      <c r="H186" s="96">
        <v>0</v>
      </c>
      <c r="I186" s="10">
        <v>0</v>
      </c>
      <c r="J186" s="36">
        <v>0</v>
      </c>
      <c r="K186" s="36">
        <v>0</v>
      </c>
      <c r="L186" s="36">
        <v>0</v>
      </c>
      <c r="M186" s="36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46">
        <v>0</v>
      </c>
    </row>
    <row r="187" spans="1:44" ht="12.75">
      <c r="A187" s="34">
        <v>186</v>
      </c>
      <c r="B187" s="165">
        <v>46.12087</v>
      </c>
      <c r="C187" s="165">
        <v>-91.2172</v>
      </c>
      <c r="D187" s="10">
        <v>24</v>
      </c>
      <c r="E187" s="10">
        <v>0</v>
      </c>
      <c r="F187" s="149">
        <v>0</v>
      </c>
      <c r="G187" s="34">
        <v>0</v>
      </c>
      <c r="H187" s="96">
        <v>0</v>
      </c>
      <c r="I187" s="10">
        <v>0</v>
      </c>
      <c r="J187" s="36">
        <v>0</v>
      </c>
      <c r="K187" s="36">
        <v>0</v>
      </c>
      <c r="L187" s="36">
        <v>0</v>
      </c>
      <c r="M187" s="36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46">
        <v>0</v>
      </c>
    </row>
    <row r="188" spans="1:44" ht="12.75">
      <c r="A188" s="34">
        <v>187</v>
      </c>
      <c r="B188" s="165">
        <v>46.12088</v>
      </c>
      <c r="C188" s="165">
        <v>-91.21673</v>
      </c>
      <c r="D188" s="10">
        <v>24.5</v>
      </c>
      <c r="E188" s="10">
        <v>0</v>
      </c>
      <c r="F188" s="149">
        <v>0</v>
      </c>
      <c r="G188" s="34">
        <v>0</v>
      </c>
      <c r="H188" s="96">
        <v>0</v>
      </c>
      <c r="I188" s="10">
        <v>0</v>
      </c>
      <c r="J188" s="36">
        <v>0</v>
      </c>
      <c r="K188" s="36">
        <v>0</v>
      </c>
      <c r="L188" s="36">
        <v>0</v>
      </c>
      <c r="M188" s="36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46">
        <v>0</v>
      </c>
    </row>
    <row r="189" spans="1:44" ht="12.75">
      <c r="A189" s="34">
        <v>188</v>
      </c>
      <c r="B189" s="165">
        <v>46.12088</v>
      </c>
      <c r="C189" s="165">
        <v>-91.21626</v>
      </c>
      <c r="D189" s="10">
        <v>25</v>
      </c>
      <c r="E189" s="10">
        <v>0</v>
      </c>
      <c r="F189" s="149">
        <v>0</v>
      </c>
      <c r="G189" s="34">
        <v>0</v>
      </c>
      <c r="H189" s="96">
        <v>0</v>
      </c>
      <c r="I189" s="10">
        <v>0</v>
      </c>
      <c r="J189" s="36">
        <v>0</v>
      </c>
      <c r="K189" s="36">
        <v>0</v>
      </c>
      <c r="L189" s="36">
        <v>0</v>
      </c>
      <c r="M189" s="36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46">
        <v>0</v>
      </c>
    </row>
    <row r="190" spans="1:44" ht="12.75">
      <c r="A190" s="34">
        <v>189</v>
      </c>
      <c r="B190" s="165">
        <v>46.12089</v>
      </c>
      <c r="C190" s="165">
        <v>-91.2158</v>
      </c>
      <c r="D190" s="10">
        <v>25</v>
      </c>
      <c r="E190" s="10">
        <v>0</v>
      </c>
      <c r="F190" s="149">
        <v>0</v>
      </c>
      <c r="G190" s="34">
        <v>0</v>
      </c>
      <c r="H190" s="96">
        <v>0</v>
      </c>
      <c r="I190" s="10">
        <v>0</v>
      </c>
      <c r="J190" s="36">
        <v>0</v>
      </c>
      <c r="K190" s="36">
        <v>0</v>
      </c>
      <c r="L190" s="36">
        <v>0</v>
      </c>
      <c r="M190" s="36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46">
        <v>0</v>
      </c>
    </row>
    <row r="191" spans="1:44" ht="12.75">
      <c r="A191" s="34">
        <v>190</v>
      </c>
      <c r="B191" s="165">
        <v>46.12089</v>
      </c>
      <c r="C191" s="165">
        <v>-91.21533</v>
      </c>
      <c r="D191" s="10">
        <v>26.5</v>
      </c>
      <c r="E191" s="10">
        <v>0</v>
      </c>
      <c r="F191" s="149">
        <v>0</v>
      </c>
      <c r="G191" s="34">
        <v>0</v>
      </c>
      <c r="H191" s="96">
        <v>0</v>
      </c>
      <c r="I191" s="10">
        <v>0</v>
      </c>
      <c r="J191" s="36">
        <v>0</v>
      </c>
      <c r="K191" s="36">
        <v>0</v>
      </c>
      <c r="L191" s="36">
        <v>0</v>
      </c>
      <c r="M191" s="36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46">
        <v>0</v>
      </c>
    </row>
    <row r="192" spans="1:44" ht="12.75">
      <c r="A192" s="34">
        <v>191</v>
      </c>
      <c r="B192" s="165">
        <v>46.1209</v>
      </c>
      <c r="C192" s="165">
        <v>-91.21487</v>
      </c>
      <c r="D192" s="10">
        <v>25.5</v>
      </c>
      <c r="E192" s="10">
        <v>0</v>
      </c>
      <c r="F192" s="149">
        <v>0</v>
      </c>
      <c r="G192" s="34">
        <v>0</v>
      </c>
      <c r="H192" s="96">
        <v>0</v>
      </c>
      <c r="I192" s="10">
        <v>0</v>
      </c>
      <c r="J192" s="36">
        <v>0</v>
      </c>
      <c r="K192" s="36">
        <v>0</v>
      </c>
      <c r="L192" s="36">
        <v>0</v>
      </c>
      <c r="M192" s="36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46">
        <v>0</v>
      </c>
    </row>
    <row r="193" spans="1:44" ht="12.75">
      <c r="A193" s="34">
        <v>192</v>
      </c>
      <c r="B193" s="165">
        <v>46.1209</v>
      </c>
      <c r="C193" s="165">
        <v>-91.2144</v>
      </c>
      <c r="D193" s="10">
        <v>24</v>
      </c>
      <c r="E193" s="10">
        <v>0</v>
      </c>
      <c r="F193" s="149">
        <v>0</v>
      </c>
      <c r="G193" s="34">
        <v>0</v>
      </c>
      <c r="H193" s="96">
        <v>0</v>
      </c>
      <c r="I193" s="10">
        <v>0</v>
      </c>
      <c r="J193" s="36">
        <v>0</v>
      </c>
      <c r="K193" s="36">
        <v>0</v>
      </c>
      <c r="L193" s="36">
        <v>0</v>
      </c>
      <c r="M193" s="36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46">
        <v>0</v>
      </c>
    </row>
    <row r="194" spans="1:44" ht="12.75">
      <c r="A194" s="34">
        <v>193</v>
      </c>
      <c r="B194" s="165">
        <v>46.12091</v>
      </c>
      <c r="C194" s="165">
        <v>-91.21394</v>
      </c>
      <c r="D194" s="10">
        <v>19.5</v>
      </c>
      <c r="E194" s="10">
        <v>0</v>
      </c>
      <c r="F194" s="149">
        <v>0</v>
      </c>
      <c r="G194" s="34">
        <v>0</v>
      </c>
      <c r="H194" s="96">
        <v>0</v>
      </c>
      <c r="I194" s="10">
        <v>0</v>
      </c>
      <c r="J194" s="36">
        <v>0</v>
      </c>
      <c r="K194" s="36">
        <v>0</v>
      </c>
      <c r="L194" s="36">
        <v>0</v>
      </c>
      <c r="M194" s="36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46">
        <v>0</v>
      </c>
    </row>
    <row r="195" spans="1:44" ht="12.75">
      <c r="A195" s="34">
        <v>194</v>
      </c>
      <c r="B195" s="165">
        <v>46.12091</v>
      </c>
      <c r="C195" s="165">
        <v>-91.21347</v>
      </c>
      <c r="D195" s="10">
        <v>14.5</v>
      </c>
      <c r="E195" s="10" t="s">
        <v>563</v>
      </c>
      <c r="F195" s="149">
        <v>0</v>
      </c>
      <c r="G195" s="34">
        <v>0</v>
      </c>
      <c r="H195" s="96">
        <v>0</v>
      </c>
      <c r="I195" s="10">
        <v>0</v>
      </c>
      <c r="J195" s="36">
        <v>0</v>
      </c>
      <c r="K195" s="36">
        <v>0</v>
      </c>
      <c r="L195" s="36">
        <v>0</v>
      </c>
      <c r="M195" s="36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46">
        <v>0</v>
      </c>
    </row>
    <row r="196" spans="1:44" ht="12.75">
      <c r="A196" s="34">
        <v>195</v>
      </c>
      <c r="B196" s="165">
        <v>46.12092</v>
      </c>
      <c r="C196" s="165">
        <v>-91.213</v>
      </c>
      <c r="D196" s="10">
        <v>15</v>
      </c>
      <c r="E196" s="10" t="s">
        <v>563</v>
      </c>
      <c r="F196" s="149">
        <v>0</v>
      </c>
      <c r="G196" s="34">
        <v>0</v>
      </c>
      <c r="H196" s="96">
        <v>0</v>
      </c>
      <c r="I196" s="10">
        <v>0</v>
      </c>
      <c r="J196" s="36">
        <v>0</v>
      </c>
      <c r="K196" s="36">
        <v>0</v>
      </c>
      <c r="L196" s="36">
        <v>0</v>
      </c>
      <c r="M196" s="36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46">
        <v>0</v>
      </c>
    </row>
    <row r="197" spans="1:44" ht="12.75">
      <c r="A197" s="34">
        <v>196</v>
      </c>
      <c r="B197" s="165">
        <v>46.12092</v>
      </c>
      <c r="C197" s="165">
        <v>-91.21254</v>
      </c>
      <c r="D197" s="10">
        <v>14</v>
      </c>
      <c r="E197" s="10" t="s">
        <v>563</v>
      </c>
      <c r="F197" s="149">
        <v>0</v>
      </c>
      <c r="G197" s="34">
        <v>0</v>
      </c>
      <c r="H197" s="96">
        <v>0</v>
      </c>
      <c r="I197" s="10">
        <v>0</v>
      </c>
      <c r="J197" s="36">
        <v>0</v>
      </c>
      <c r="K197" s="36">
        <v>0</v>
      </c>
      <c r="L197" s="36">
        <v>0</v>
      </c>
      <c r="M197" s="36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46">
        <v>0</v>
      </c>
    </row>
    <row r="198" spans="1:44" ht="12.75">
      <c r="A198" s="34">
        <v>197</v>
      </c>
      <c r="B198" s="165">
        <v>46.12093</v>
      </c>
      <c r="C198" s="165">
        <v>-91.21207</v>
      </c>
      <c r="D198" s="10">
        <v>15</v>
      </c>
      <c r="E198" s="10" t="s">
        <v>563</v>
      </c>
      <c r="F198" s="149">
        <v>0</v>
      </c>
      <c r="G198" s="34">
        <v>0</v>
      </c>
      <c r="H198" s="96">
        <v>0</v>
      </c>
      <c r="I198" s="10">
        <v>0</v>
      </c>
      <c r="J198" s="36">
        <v>0</v>
      </c>
      <c r="K198" s="36">
        <v>0</v>
      </c>
      <c r="L198" s="36">
        <v>0</v>
      </c>
      <c r="M198" s="36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46">
        <v>0</v>
      </c>
    </row>
    <row r="199" spans="1:44" ht="12.75">
      <c r="A199" s="34">
        <v>198</v>
      </c>
      <c r="B199" s="165">
        <v>46.12093</v>
      </c>
      <c r="C199" s="165">
        <v>-91.21161</v>
      </c>
      <c r="D199" s="10">
        <v>13.5</v>
      </c>
      <c r="E199" s="10" t="s">
        <v>563</v>
      </c>
      <c r="F199" s="149">
        <v>1</v>
      </c>
      <c r="G199" s="34">
        <v>1</v>
      </c>
      <c r="H199" s="96">
        <v>1</v>
      </c>
      <c r="I199" s="10">
        <v>1</v>
      </c>
      <c r="J199" s="36">
        <v>0</v>
      </c>
      <c r="K199" s="36">
        <v>0</v>
      </c>
      <c r="L199" s="36">
        <v>1</v>
      </c>
      <c r="M199" s="36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46">
        <v>0</v>
      </c>
    </row>
    <row r="200" spans="1:44" ht="12.75">
      <c r="A200" s="34">
        <v>199</v>
      </c>
      <c r="B200" s="165">
        <v>46.12094</v>
      </c>
      <c r="C200" s="165">
        <v>-91.21114</v>
      </c>
      <c r="D200" s="10">
        <v>9</v>
      </c>
      <c r="E200" s="10" t="s">
        <v>563</v>
      </c>
      <c r="F200" s="149">
        <v>1</v>
      </c>
      <c r="G200" s="34">
        <v>1</v>
      </c>
      <c r="H200" s="96">
        <v>2</v>
      </c>
      <c r="I200" s="10">
        <v>2</v>
      </c>
      <c r="J200" s="36">
        <v>0</v>
      </c>
      <c r="K200" s="36">
        <v>0</v>
      </c>
      <c r="L200" s="36">
        <v>2</v>
      </c>
      <c r="M200" s="36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1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46">
        <v>0</v>
      </c>
    </row>
    <row r="201" spans="1:44" ht="12.75">
      <c r="A201" s="34">
        <v>200</v>
      </c>
      <c r="B201" s="165">
        <v>46.12094</v>
      </c>
      <c r="C201" s="165">
        <v>-91.21067</v>
      </c>
      <c r="D201" s="10">
        <v>4</v>
      </c>
      <c r="E201" s="10" t="s">
        <v>563</v>
      </c>
      <c r="F201" s="149">
        <v>1</v>
      </c>
      <c r="G201" s="34">
        <v>1</v>
      </c>
      <c r="H201" s="96">
        <v>5</v>
      </c>
      <c r="I201" s="10">
        <v>2</v>
      </c>
      <c r="J201" s="36">
        <v>0</v>
      </c>
      <c r="K201" s="36">
        <v>0</v>
      </c>
      <c r="L201" s="36">
        <v>1</v>
      </c>
      <c r="M201" s="36">
        <v>0</v>
      </c>
      <c r="N201" s="10">
        <v>0</v>
      </c>
      <c r="O201" s="10">
        <v>0</v>
      </c>
      <c r="P201" s="10">
        <v>0</v>
      </c>
      <c r="Q201" s="10">
        <v>1</v>
      </c>
      <c r="R201" s="10">
        <v>4</v>
      </c>
      <c r="S201" s="10">
        <v>0</v>
      </c>
      <c r="T201" s="10">
        <v>1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2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2</v>
      </c>
      <c r="AQ201" s="10">
        <v>0</v>
      </c>
      <c r="AR201" s="146">
        <v>0</v>
      </c>
    </row>
    <row r="202" spans="1:44" ht="12.75">
      <c r="A202" s="34">
        <v>201</v>
      </c>
      <c r="B202" s="165">
        <v>46.12116</v>
      </c>
      <c r="C202" s="165">
        <v>-91.22093</v>
      </c>
      <c r="D202" s="10">
        <v>3</v>
      </c>
      <c r="E202" s="10" t="s">
        <v>563</v>
      </c>
      <c r="F202" s="149">
        <v>1</v>
      </c>
      <c r="G202" s="34">
        <v>1</v>
      </c>
      <c r="H202" s="96">
        <v>7</v>
      </c>
      <c r="I202" s="10">
        <v>3</v>
      </c>
      <c r="J202" s="36">
        <v>0</v>
      </c>
      <c r="K202" s="36">
        <v>0</v>
      </c>
      <c r="L202" s="36">
        <v>0</v>
      </c>
      <c r="M202" s="36">
        <v>1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1</v>
      </c>
      <c r="U202" s="10">
        <v>0</v>
      </c>
      <c r="V202" s="10">
        <v>0</v>
      </c>
      <c r="W202" s="10">
        <v>2</v>
      </c>
      <c r="X202" s="10">
        <v>0</v>
      </c>
      <c r="Y202" s="10">
        <v>2</v>
      </c>
      <c r="Z202" s="10">
        <v>0</v>
      </c>
      <c r="AA202" s="10">
        <v>0</v>
      </c>
      <c r="AB202" s="10">
        <v>0</v>
      </c>
      <c r="AC202" s="10">
        <v>2</v>
      </c>
      <c r="AD202" s="10">
        <v>0</v>
      </c>
      <c r="AE202" s="10">
        <v>4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1</v>
      </c>
      <c r="AM202" s="10">
        <v>0</v>
      </c>
      <c r="AN202" s="10">
        <v>0</v>
      </c>
      <c r="AO202" s="10">
        <v>0</v>
      </c>
      <c r="AP202" s="10">
        <v>1</v>
      </c>
      <c r="AQ202" s="10">
        <v>0</v>
      </c>
      <c r="AR202" s="146">
        <v>0</v>
      </c>
    </row>
    <row r="203" spans="1:44" ht="12.75">
      <c r="A203" s="34">
        <v>202</v>
      </c>
      <c r="B203" s="165">
        <v>46.12116</v>
      </c>
      <c r="C203" s="165">
        <v>-91.22046</v>
      </c>
      <c r="D203" s="10">
        <v>14</v>
      </c>
      <c r="E203" s="10" t="s">
        <v>563</v>
      </c>
      <c r="F203" s="149">
        <v>0</v>
      </c>
      <c r="G203" s="34">
        <v>0</v>
      </c>
      <c r="H203" s="96">
        <v>0</v>
      </c>
      <c r="I203" s="10">
        <v>0</v>
      </c>
      <c r="J203" s="36">
        <v>0</v>
      </c>
      <c r="K203" s="36">
        <v>0</v>
      </c>
      <c r="L203" s="36">
        <v>0</v>
      </c>
      <c r="M203" s="36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46">
        <v>0</v>
      </c>
    </row>
    <row r="204" spans="1:44" ht="12.75">
      <c r="A204" s="34">
        <v>203</v>
      </c>
      <c r="B204" s="165">
        <v>46.12117</v>
      </c>
      <c r="C204" s="165">
        <v>-91.22</v>
      </c>
      <c r="D204" s="10">
        <v>19.5</v>
      </c>
      <c r="E204" s="10">
        <v>0</v>
      </c>
      <c r="F204" s="149">
        <v>0</v>
      </c>
      <c r="G204" s="34">
        <v>0</v>
      </c>
      <c r="H204" s="96">
        <v>0</v>
      </c>
      <c r="I204" s="10">
        <v>0</v>
      </c>
      <c r="J204" s="36">
        <v>0</v>
      </c>
      <c r="K204" s="36">
        <v>0</v>
      </c>
      <c r="L204" s="36">
        <v>0</v>
      </c>
      <c r="M204" s="36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46">
        <v>0</v>
      </c>
    </row>
    <row r="205" spans="1:44" ht="12.75">
      <c r="A205" s="34">
        <v>204</v>
      </c>
      <c r="B205" s="165">
        <v>46.12117</v>
      </c>
      <c r="C205" s="165">
        <v>-91.21953</v>
      </c>
      <c r="D205" s="10">
        <v>6</v>
      </c>
      <c r="E205" s="10" t="s">
        <v>563</v>
      </c>
      <c r="F205" s="149">
        <v>1</v>
      </c>
      <c r="G205" s="34">
        <v>1</v>
      </c>
      <c r="H205" s="96">
        <v>6</v>
      </c>
      <c r="I205" s="10">
        <v>2</v>
      </c>
      <c r="J205" s="36">
        <v>0</v>
      </c>
      <c r="K205" s="36">
        <v>0</v>
      </c>
      <c r="L205" s="36">
        <v>1</v>
      </c>
      <c r="M205" s="36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4</v>
      </c>
      <c r="U205" s="10">
        <v>0</v>
      </c>
      <c r="V205" s="10">
        <v>2</v>
      </c>
      <c r="W205" s="10">
        <v>1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2</v>
      </c>
      <c r="AD205" s="10">
        <v>4</v>
      </c>
      <c r="AE205" s="10">
        <v>1</v>
      </c>
      <c r="AF205" s="10">
        <v>0</v>
      </c>
      <c r="AG205" s="10">
        <v>0</v>
      </c>
      <c r="AH205" s="10">
        <v>1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46">
        <v>0</v>
      </c>
    </row>
    <row r="206" spans="1:44" ht="12.75">
      <c r="A206" s="34">
        <v>205</v>
      </c>
      <c r="B206" s="165">
        <v>46.12119</v>
      </c>
      <c r="C206" s="165">
        <v>-91.21813</v>
      </c>
      <c r="D206" s="10">
        <v>2</v>
      </c>
      <c r="E206" s="10" t="s">
        <v>564</v>
      </c>
      <c r="F206" s="149">
        <v>1</v>
      </c>
      <c r="G206" s="34">
        <v>1</v>
      </c>
      <c r="H206" s="96">
        <v>4</v>
      </c>
      <c r="I206" s="10">
        <v>2</v>
      </c>
      <c r="J206" s="36">
        <v>0</v>
      </c>
      <c r="K206" s="36">
        <v>0</v>
      </c>
      <c r="L206" s="36">
        <v>0</v>
      </c>
      <c r="M206" s="36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1</v>
      </c>
      <c r="S206" s="10">
        <v>0</v>
      </c>
      <c r="T206" s="10">
        <v>0</v>
      </c>
      <c r="U206" s="10">
        <v>0</v>
      </c>
      <c r="V206" s="10">
        <v>0</v>
      </c>
      <c r="W206" s="10">
        <v>2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2</v>
      </c>
      <c r="AI206" s="10">
        <v>2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46">
        <v>0</v>
      </c>
    </row>
    <row r="207" spans="1:44" ht="12.75">
      <c r="A207" s="34">
        <v>206</v>
      </c>
      <c r="B207" s="165">
        <v>46.12119</v>
      </c>
      <c r="C207" s="165">
        <v>-91.21767</v>
      </c>
      <c r="D207" s="10">
        <v>22</v>
      </c>
      <c r="E207" s="10">
        <v>0</v>
      </c>
      <c r="F207" s="149">
        <v>0</v>
      </c>
      <c r="G207" s="34">
        <v>0</v>
      </c>
      <c r="H207" s="96">
        <v>0</v>
      </c>
      <c r="I207" s="10">
        <v>0</v>
      </c>
      <c r="J207" s="36">
        <v>0</v>
      </c>
      <c r="K207" s="36">
        <v>0</v>
      </c>
      <c r="L207" s="36">
        <v>0</v>
      </c>
      <c r="M207" s="36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46">
        <v>0</v>
      </c>
    </row>
    <row r="208" spans="1:44" ht="12.75">
      <c r="A208" s="34">
        <v>207</v>
      </c>
      <c r="B208" s="165">
        <v>46.1212</v>
      </c>
      <c r="C208" s="165">
        <v>-91.2172</v>
      </c>
      <c r="D208" s="10">
        <v>23</v>
      </c>
      <c r="E208" s="10">
        <v>0</v>
      </c>
      <c r="F208" s="149">
        <v>0</v>
      </c>
      <c r="G208" s="34">
        <v>0</v>
      </c>
      <c r="H208" s="96">
        <v>0</v>
      </c>
      <c r="I208" s="10">
        <v>0</v>
      </c>
      <c r="J208" s="36">
        <v>0</v>
      </c>
      <c r="K208" s="36">
        <v>0</v>
      </c>
      <c r="L208" s="36">
        <v>0</v>
      </c>
      <c r="M208" s="36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46">
        <v>0</v>
      </c>
    </row>
    <row r="209" spans="1:44" ht="12.75">
      <c r="A209" s="34">
        <v>208</v>
      </c>
      <c r="B209" s="165">
        <v>46.1212</v>
      </c>
      <c r="C209" s="165">
        <v>-91.21674</v>
      </c>
      <c r="D209" s="10">
        <v>18</v>
      </c>
      <c r="E209" s="10">
        <v>0</v>
      </c>
      <c r="F209" s="149">
        <v>0</v>
      </c>
      <c r="G209" s="34">
        <v>0</v>
      </c>
      <c r="H209" s="96">
        <v>0</v>
      </c>
      <c r="I209" s="10">
        <v>0</v>
      </c>
      <c r="J209" s="36">
        <v>0</v>
      </c>
      <c r="K209" s="36">
        <v>0</v>
      </c>
      <c r="L209" s="36">
        <v>0</v>
      </c>
      <c r="M209" s="36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46">
        <v>0</v>
      </c>
    </row>
    <row r="210" spans="1:44" ht="12.75">
      <c r="A210" s="34">
        <v>209</v>
      </c>
      <c r="B210" s="165">
        <v>46.12121</v>
      </c>
      <c r="C210" s="165">
        <v>-91.21627</v>
      </c>
      <c r="D210" s="10">
        <v>18.5</v>
      </c>
      <c r="E210" s="10">
        <v>0</v>
      </c>
      <c r="F210" s="149">
        <v>0</v>
      </c>
      <c r="G210" s="34">
        <v>0</v>
      </c>
      <c r="H210" s="96">
        <v>0</v>
      </c>
      <c r="I210" s="10">
        <v>0</v>
      </c>
      <c r="J210" s="36">
        <v>0</v>
      </c>
      <c r="K210" s="36">
        <v>0</v>
      </c>
      <c r="L210" s="36">
        <v>0</v>
      </c>
      <c r="M210" s="36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46">
        <v>0</v>
      </c>
    </row>
    <row r="211" spans="1:44" ht="12.75">
      <c r="A211" s="34">
        <v>210</v>
      </c>
      <c r="B211" s="165">
        <v>46.12121</v>
      </c>
      <c r="C211" s="165">
        <v>-91.21581</v>
      </c>
      <c r="D211" s="10">
        <v>19.5</v>
      </c>
      <c r="E211" s="10">
        <v>0</v>
      </c>
      <c r="F211" s="149">
        <v>0</v>
      </c>
      <c r="G211" s="34">
        <v>0</v>
      </c>
      <c r="H211" s="96">
        <v>0</v>
      </c>
      <c r="I211" s="10">
        <v>0</v>
      </c>
      <c r="J211" s="36">
        <v>0</v>
      </c>
      <c r="K211" s="36">
        <v>0</v>
      </c>
      <c r="L211" s="36">
        <v>0</v>
      </c>
      <c r="M211" s="36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46">
        <v>0</v>
      </c>
    </row>
    <row r="212" spans="1:44" ht="12.75">
      <c r="A212" s="34">
        <v>211</v>
      </c>
      <c r="B212" s="165">
        <v>46.12122</v>
      </c>
      <c r="C212" s="165">
        <v>-91.21534</v>
      </c>
      <c r="D212" s="10">
        <v>18.5</v>
      </c>
      <c r="E212" s="10">
        <v>0</v>
      </c>
      <c r="F212" s="149">
        <v>0</v>
      </c>
      <c r="G212" s="34">
        <v>0</v>
      </c>
      <c r="H212" s="96">
        <v>0</v>
      </c>
      <c r="I212" s="10">
        <v>0</v>
      </c>
      <c r="J212" s="36">
        <v>0</v>
      </c>
      <c r="K212" s="36">
        <v>0</v>
      </c>
      <c r="L212" s="36">
        <v>0</v>
      </c>
      <c r="M212" s="36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46">
        <v>0</v>
      </c>
    </row>
    <row r="213" spans="1:44" ht="12.75">
      <c r="A213" s="34">
        <v>212</v>
      </c>
      <c r="B213" s="165">
        <v>46.12122</v>
      </c>
      <c r="C213" s="165">
        <v>-91.21487</v>
      </c>
      <c r="D213" s="10">
        <v>19.5</v>
      </c>
      <c r="E213" s="10">
        <v>0</v>
      </c>
      <c r="F213" s="149">
        <v>0</v>
      </c>
      <c r="G213" s="34">
        <v>0</v>
      </c>
      <c r="H213" s="96">
        <v>0</v>
      </c>
      <c r="I213" s="10">
        <v>0</v>
      </c>
      <c r="J213" s="36">
        <v>0</v>
      </c>
      <c r="K213" s="36">
        <v>0</v>
      </c>
      <c r="L213" s="36">
        <v>0</v>
      </c>
      <c r="M213" s="36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46">
        <v>0</v>
      </c>
    </row>
    <row r="214" spans="1:44" ht="12.75">
      <c r="A214" s="34">
        <v>213</v>
      </c>
      <c r="B214" s="165">
        <v>46.12123</v>
      </c>
      <c r="C214" s="165">
        <v>-91.21441</v>
      </c>
      <c r="D214" s="10">
        <v>24</v>
      </c>
      <c r="E214" s="10">
        <v>0</v>
      </c>
      <c r="F214" s="149">
        <v>0</v>
      </c>
      <c r="G214" s="34">
        <v>0</v>
      </c>
      <c r="H214" s="96">
        <v>0</v>
      </c>
      <c r="I214" s="10">
        <v>0</v>
      </c>
      <c r="J214" s="36">
        <v>0</v>
      </c>
      <c r="K214" s="36">
        <v>0</v>
      </c>
      <c r="L214" s="36">
        <v>0</v>
      </c>
      <c r="M214" s="36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46">
        <v>0</v>
      </c>
    </row>
    <row r="215" spans="1:44" ht="12.75">
      <c r="A215" s="34">
        <v>214</v>
      </c>
      <c r="B215" s="165">
        <v>46.12123</v>
      </c>
      <c r="C215" s="165">
        <v>-91.21394</v>
      </c>
      <c r="D215" s="10">
        <v>23.5</v>
      </c>
      <c r="E215" s="10">
        <v>0</v>
      </c>
      <c r="F215" s="149">
        <v>0</v>
      </c>
      <c r="G215" s="34">
        <v>0</v>
      </c>
      <c r="H215" s="96">
        <v>0</v>
      </c>
      <c r="I215" s="10">
        <v>0</v>
      </c>
      <c r="J215" s="36">
        <v>0</v>
      </c>
      <c r="K215" s="36">
        <v>0</v>
      </c>
      <c r="L215" s="36">
        <v>0</v>
      </c>
      <c r="M215" s="36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46">
        <v>0</v>
      </c>
    </row>
    <row r="216" spans="1:44" ht="12.75">
      <c r="A216" s="34">
        <v>215</v>
      </c>
      <c r="B216" s="165">
        <v>46.12124</v>
      </c>
      <c r="C216" s="165">
        <v>-91.21348</v>
      </c>
      <c r="D216" s="10">
        <v>20</v>
      </c>
      <c r="E216" s="10">
        <v>0</v>
      </c>
      <c r="F216" s="149">
        <v>0</v>
      </c>
      <c r="G216" s="34">
        <v>0</v>
      </c>
      <c r="H216" s="96">
        <v>0</v>
      </c>
      <c r="I216" s="10">
        <v>0</v>
      </c>
      <c r="J216" s="36">
        <v>0</v>
      </c>
      <c r="K216" s="36">
        <v>0</v>
      </c>
      <c r="L216" s="36">
        <v>0</v>
      </c>
      <c r="M216" s="36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46">
        <v>0</v>
      </c>
    </row>
    <row r="217" spans="1:44" ht="12.75">
      <c r="A217" s="34">
        <v>216</v>
      </c>
      <c r="B217" s="165">
        <v>46.12124</v>
      </c>
      <c r="C217" s="165">
        <v>-91.21301</v>
      </c>
      <c r="D217" s="10">
        <v>20.5</v>
      </c>
      <c r="E217" s="10">
        <v>0</v>
      </c>
      <c r="F217" s="149">
        <v>0</v>
      </c>
      <c r="G217" s="34">
        <v>0</v>
      </c>
      <c r="H217" s="96">
        <v>0</v>
      </c>
      <c r="I217" s="10">
        <v>0</v>
      </c>
      <c r="J217" s="36">
        <v>0</v>
      </c>
      <c r="K217" s="36">
        <v>0</v>
      </c>
      <c r="L217" s="36">
        <v>0</v>
      </c>
      <c r="M217" s="36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46">
        <v>0</v>
      </c>
    </row>
    <row r="218" spans="1:44" ht="12.75">
      <c r="A218" s="34">
        <v>217</v>
      </c>
      <c r="B218" s="165">
        <v>46.12125</v>
      </c>
      <c r="C218" s="165">
        <v>-91.21254</v>
      </c>
      <c r="D218" s="10">
        <v>19.5</v>
      </c>
      <c r="E218" s="10">
        <v>0</v>
      </c>
      <c r="F218" s="149">
        <v>0</v>
      </c>
      <c r="G218" s="34">
        <v>0</v>
      </c>
      <c r="H218" s="96">
        <v>0</v>
      </c>
      <c r="I218" s="10">
        <v>0</v>
      </c>
      <c r="J218" s="36">
        <v>0</v>
      </c>
      <c r="K218" s="36">
        <v>0</v>
      </c>
      <c r="L218" s="36">
        <v>0</v>
      </c>
      <c r="M218" s="36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46">
        <v>0</v>
      </c>
    </row>
    <row r="219" spans="1:44" ht="12.75">
      <c r="A219" s="34">
        <v>218</v>
      </c>
      <c r="B219" s="165">
        <v>46.12125</v>
      </c>
      <c r="C219" s="165">
        <v>-91.21208</v>
      </c>
      <c r="D219" s="10">
        <v>19.5</v>
      </c>
      <c r="E219" s="10">
        <v>0</v>
      </c>
      <c r="F219" s="149">
        <v>0</v>
      </c>
      <c r="G219" s="34">
        <v>0</v>
      </c>
      <c r="H219" s="96">
        <v>0</v>
      </c>
      <c r="I219" s="10">
        <v>0</v>
      </c>
      <c r="J219" s="36">
        <v>0</v>
      </c>
      <c r="K219" s="36">
        <v>0</v>
      </c>
      <c r="L219" s="36">
        <v>0</v>
      </c>
      <c r="M219" s="36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46">
        <v>0</v>
      </c>
    </row>
    <row r="220" spans="1:44" ht="12.75">
      <c r="A220" s="34">
        <v>219</v>
      </c>
      <c r="B220" s="165">
        <v>46.12125</v>
      </c>
      <c r="C220" s="165">
        <v>-91.21161</v>
      </c>
      <c r="D220" s="10">
        <v>17.5</v>
      </c>
      <c r="E220" s="10">
        <v>0</v>
      </c>
      <c r="F220" s="149">
        <v>0</v>
      </c>
      <c r="G220" s="34">
        <v>0</v>
      </c>
      <c r="H220" s="96">
        <v>0</v>
      </c>
      <c r="I220" s="10">
        <v>0</v>
      </c>
      <c r="J220" s="36">
        <v>0</v>
      </c>
      <c r="K220" s="36">
        <v>0</v>
      </c>
      <c r="L220" s="36">
        <v>0</v>
      </c>
      <c r="M220" s="36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46">
        <v>0</v>
      </c>
    </row>
    <row r="221" spans="1:44" ht="12.75">
      <c r="A221" s="34">
        <v>220</v>
      </c>
      <c r="B221" s="165">
        <v>46.12126</v>
      </c>
      <c r="C221" s="165">
        <v>-91.21115</v>
      </c>
      <c r="D221" s="10">
        <v>16</v>
      </c>
      <c r="E221" s="10" t="s">
        <v>563</v>
      </c>
      <c r="F221" s="149">
        <v>0</v>
      </c>
      <c r="G221" s="34">
        <v>0</v>
      </c>
      <c r="H221" s="96">
        <v>0</v>
      </c>
      <c r="I221" s="10">
        <v>0</v>
      </c>
      <c r="J221" s="36">
        <v>0</v>
      </c>
      <c r="K221" s="36">
        <v>0</v>
      </c>
      <c r="L221" s="36">
        <v>0</v>
      </c>
      <c r="M221" s="36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46">
        <v>0</v>
      </c>
    </row>
    <row r="222" spans="1:44" ht="12.75">
      <c r="A222" s="34">
        <v>221</v>
      </c>
      <c r="B222" s="165">
        <v>46.12127</v>
      </c>
      <c r="C222" s="165">
        <v>-91.21068</v>
      </c>
      <c r="D222" s="10">
        <v>11.5</v>
      </c>
      <c r="E222" s="10" t="s">
        <v>563</v>
      </c>
      <c r="F222" s="149">
        <v>1</v>
      </c>
      <c r="G222" s="34">
        <v>1</v>
      </c>
      <c r="H222" s="96">
        <v>2</v>
      </c>
      <c r="I222" s="10">
        <v>1</v>
      </c>
      <c r="J222" s="36">
        <v>0</v>
      </c>
      <c r="K222" s="36">
        <v>0</v>
      </c>
      <c r="L222" s="36">
        <v>1</v>
      </c>
      <c r="M222" s="36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1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46">
        <v>0</v>
      </c>
    </row>
    <row r="223" spans="1:44" ht="12.75">
      <c r="A223" s="34">
        <v>222</v>
      </c>
      <c r="B223" s="165">
        <v>46.12127</v>
      </c>
      <c r="C223" s="165">
        <v>-91.21021</v>
      </c>
      <c r="D223" s="10">
        <v>7</v>
      </c>
      <c r="E223" s="10" t="s">
        <v>563</v>
      </c>
      <c r="F223" s="149">
        <v>1</v>
      </c>
      <c r="G223" s="34">
        <v>1</v>
      </c>
      <c r="H223" s="96">
        <v>4</v>
      </c>
      <c r="I223" s="10">
        <v>2</v>
      </c>
      <c r="J223" s="36">
        <v>0</v>
      </c>
      <c r="K223" s="36">
        <v>0</v>
      </c>
      <c r="L223" s="36">
        <v>1</v>
      </c>
      <c r="M223" s="36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1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2</v>
      </c>
      <c r="AF223" s="10">
        <v>0</v>
      </c>
      <c r="AG223" s="10">
        <v>0</v>
      </c>
      <c r="AH223" s="10">
        <v>1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46">
        <v>0</v>
      </c>
    </row>
    <row r="224" spans="1:44" ht="12.75">
      <c r="A224" s="34">
        <v>223</v>
      </c>
      <c r="B224" s="165">
        <v>46.12148</v>
      </c>
      <c r="C224" s="165">
        <v>-91.22094</v>
      </c>
      <c r="D224" s="10">
        <v>2</v>
      </c>
      <c r="E224" s="10" t="s">
        <v>563</v>
      </c>
      <c r="F224" s="149">
        <v>1</v>
      </c>
      <c r="G224" s="34">
        <v>1</v>
      </c>
      <c r="H224" s="96">
        <v>3</v>
      </c>
      <c r="I224" s="10">
        <v>3</v>
      </c>
      <c r="J224" s="36">
        <v>0</v>
      </c>
      <c r="K224" s="36">
        <v>3</v>
      </c>
      <c r="L224" s="36">
        <v>0</v>
      </c>
      <c r="M224" s="36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1</v>
      </c>
      <c r="X224" s="10">
        <v>4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2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46">
        <v>0</v>
      </c>
    </row>
    <row r="225" spans="1:44" ht="12.75">
      <c r="A225" s="34">
        <v>224</v>
      </c>
      <c r="B225" s="165">
        <v>46.12148</v>
      </c>
      <c r="C225" s="165">
        <v>-91.22047</v>
      </c>
      <c r="D225" s="10">
        <v>4</v>
      </c>
      <c r="E225" s="10" t="s">
        <v>563</v>
      </c>
      <c r="F225" s="149">
        <v>1</v>
      </c>
      <c r="G225" s="34">
        <v>1</v>
      </c>
      <c r="H225" s="96">
        <v>3</v>
      </c>
      <c r="I225" s="10">
        <v>3</v>
      </c>
      <c r="J225" s="36">
        <v>0</v>
      </c>
      <c r="K225" s="36">
        <v>0</v>
      </c>
      <c r="L225" s="36">
        <v>0</v>
      </c>
      <c r="M225" s="36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1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2</v>
      </c>
      <c r="AD225" s="10">
        <v>4</v>
      </c>
      <c r="AE225" s="10">
        <v>0</v>
      </c>
      <c r="AF225" s="10">
        <v>0</v>
      </c>
      <c r="AG225" s="10">
        <v>4</v>
      </c>
      <c r="AH225" s="10">
        <v>3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46">
        <v>2</v>
      </c>
    </row>
    <row r="226" spans="1:44" ht="12.75">
      <c r="A226" s="34">
        <v>225</v>
      </c>
      <c r="B226" s="165">
        <v>46.12149</v>
      </c>
      <c r="C226" s="165">
        <v>-91.22001</v>
      </c>
      <c r="D226" s="10">
        <v>13</v>
      </c>
      <c r="E226" s="10" t="s">
        <v>563</v>
      </c>
      <c r="F226" s="149">
        <v>1</v>
      </c>
      <c r="G226" s="34">
        <v>0</v>
      </c>
      <c r="H226" s="96">
        <v>0</v>
      </c>
      <c r="I226" s="10">
        <v>0</v>
      </c>
      <c r="J226" s="36">
        <v>0</v>
      </c>
      <c r="K226" s="36">
        <v>0</v>
      </c>
      <c r="L226" s="36">
        <v>0</v>
      </c>
      <c r="M226" s="36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46">
        <v>0</v>
      </c>
    </row>
    <row r="227" spans="1:44" ht="12.75">
      <c r="A227" s="34">
        <v>226</v>
      </c>
      <c r="B227" s="165">
        <v>46.1215</v>
      </c>
      <c r="C227" s="165">
        <v>-91.21954</v>
      </c>
      <c r="D227" s="10">
        <v>15.5</v>
      </c>
      <c r="E227" s="10" t="s">
        <v>563</v>
      </c>
      <c r="F227" s="149">
        <v>0</v>
      </c>
      <c r="G227" s="34">
        <v>0</v>
      </c>
      <c r="H227" s="96">
        <v>0</v>
      </c>
      <c r="I227" s="10">
        <v>0</v>
      </c>
      <c r="J227" s="36">
        <v>0</v>
      </c>
      <c r="K227" s="36">
        <v>0</v>
      </c>
      <c r="L227" s="36">
        <v>0</v>
      </c>
      <c r="M227" s="36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46">
        <v>0</v>
      </c>
    </row>
    <row r="228" spans="1:44" ht="12.75">
      <c r="A228" s="34">
        <v>227</v>
      </c>
      <c r="B228" s="165">
        <v>46.12151</v>
      </c>
      <c r="C228" s="165">
        <v>-91.21768</v>
      </c>
      <c r="D228" s="10">
        <v>9</v>
      </c>
      <c r="E228" s="10" t="s">
        <v>563</v>
      </c>
      <c r="F228" s="149">
        <v>1</v>
      </c>
      <c r="G228" s="34">
        <v>1</v>
      </c>
      <c r="H228" s="96">
        <v>1</v>
      </c>
      <c r="I228" s="10">
        <v>1</v>
      </c>
      <c r="J228" s="36">
        <v>0</v>
      </c>
      <c r="K228" s="36">
        <v>0</v>
      </c>
      <c r="L228" s="36">
        <v>1</v>
      </c>
      <c r="M228" s="36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46">
        <v>2</v>
      </c>
    </row>
    <row r="229" spans="1:44" ht="12.75">
      <c r="A229" s="34">
        <v>228</v>
      </c>
      <c r="B229" s="165">
        <v>46.12152</v>
      </c>
      <c r="C229" s="165">
        <v>-91.21721</v>
      </c>
      <c r="D229" s="10">
        <v>11.5</v>
      </c>
      <c r="E229" s="10" t="s">
        <v>563</v>
      </c>
      <c r="F229" s="149">
        <v>1</v>
      </c>
      <c r="G229" s="34">
        <v>0</v>
      </c>
      <c r="H229" s="96">
        <v>0</v>
      </c>
      <c r="I229" s="10">
        <v>0</v>
      </c>
      <c r="J229" s="36">
        <v>0</v>
      </c>
      <c r="K229" s="36">
        <v>0</v>
      </c>
      <c r="L229" s="36">
        <v>0</v>
      </c>
      <c r="M229" s="36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46">
        <v>0</v>
      </c>
    </row>
    <row r="230" spans="1:44" ht="12.75">
      <c r="A230" s="34">
        <v>229</v>
      </c>
      <c r="B230" s="165">
        <v>46.12152</v>
      </c>
      <c r="C230" s="165">
        <v>-91.21674</v>
      </c>
      <c r="D230" s="10">
        <v>8</v>
      </c>
      <c r="E230" s="10" t="s">
        <v>563</v>
      </c>
      <c r="F230" s="149">
        <v>1</v>
      </c>
      <c r="G230" s="34">
        <v>1</v>
      </c>
      <c r="H230" s="96">
        <v>2</v>
      </c>
      <c r="I230" s="10">
        <v>1</v>
      </c>
      <c r="J230" s="36">
        <v>0</v>
      </c>
      <c r="K230" s="36">
        <v>0</v>
      </c>
      <c r="L230" s="36">
        <v>1</v>
      </c>
      <c r="M230" s="36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1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46">
        <v>0</v>
      </c>
    </row>
    <row r="231" spans="1:44" ht="12.75">
      <c r="A231" s="34">
        <v>230</v>
      </c>
      <c r="B231" s="165">
        <v>46.12153</v>
      </c>
      <c r="C231" s="165">
        <v>-91.21628</v>
      </c>
      <c r="D231" s="10">
        <v>15.5</v>
      </c>
      <c r="E231" s="10" t="s">
        <v>563</v>
      </c>
      <c r="F231" s="149">
        <v>0</v>
      </c>
      <c r="G231" s="34">
        <v>0</v>
      </c>
      <c r="H231" s="96">
        <v>0</v>
      </c>
      <c r="I231" s="10">
        <v>0</v>
      </c>
      <c r="J231" s="36">
        <v>0</v>
      </c>
      <c r="K231" s="36">
        <v>0</v>
      </c>
      <c r="L231" s="36">
        <v>0</v>
      </c>
      <c r="M231" s="36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46">
        <v>0</v>
      </c>
    </row>
    <row r="232" spans="1:44" ht="12.75">
      <c r="A232" s="34">
        <v>231</v>
      </c>
      <c r="B232" s="165">
        <v>46.12154</v>
      </c>
      <c r="C232" s="165">
        <v>-91.21581</v>
      </c>
      <c r="D232" s="10">
        <v>18</v>
      </c>
      <c r="E232" s="10">
        <v>0</v>
      </c>
      <c r="F232" s="149">
        <v>0</v>
      </c>
      <c r="G232" s="34">
        <v>0</v>
      </c>
      <c r="H232" s="96">
        <v>0</v>
      </c>
      <c r="I232" s="10">
        <v>0</v>
      </c>
      <c r="J232" s="36">
        <v>0</v>
      </c>
      <c r="K232" s="36">
        <v>0</v>
      </c>
      <c r="L232" s="36">
        <v>0</v>
      </c>
      <c r="M232" s="36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46">
        <v>0</v>
      </c>
    </row>
    <row r="233" spans="1:44" ht="12.75">
      <c r="A233" s="34">
        <v>232</v>
      </c>
      <c r="B233" s="165">
        <v>46.12154</v>
      </c>
      <c r="C233" s="165">
        <v>-91.21535</v>
      </c>
      <c r="D233" s="10">
        <v>18.5</v>
      </c>
      <c r="E233" s="10">
        <v>0</v>
      </c>
      <c r="F233" s="149">
        <v>0</v>
      </c>
      <c r="G233" s="34">
        <v>0</v>
      </c>
      <c r="H233" s="96">
        <v>0</v>
      </c>
      <c r="I233" s="10">
        <v>0</v>
      </c>
      <c r="J233" s="36">
        <v>0</v>
      </c>
      <c r="K233" s="36">
        <v>0</v>
      </c>
      <c r="L233" s="36">
        <v>0</v>
      </c>
      <c r="M233" s="36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46">
        <v>0</v>
      </c>
    </row>
    <row r="234" spans="1:44" ht="12.75">
      <c r="A234" s="34">
        <v>233</v>
      </c>
      <c r="B234" s="165">
        <v>46.12154</v>
      </c>
      <c r="C234" s="165">
        <v>-91.21488</v>
      </c>
      <c r="D234" s="10">
        <v>20</v>
      </c>
      <c r="E234" s="10">
        <v>0</v>
      </c>
      <c r="F234" s="149">
        <v>0</v>
      </c>
      <c r="G234" s="34">
        <v>0</v>
      </c>
      <c r="H234" s="96">
        <v>0</v>
      </c>
      <c r="I234" s="10">
        <v>0</v>
      </c>
      <c r="J234" s="36">
        <v>0</v>
      </c>
      <c r="K234" s="36">
        <v>0</v>
      </c>
      <c r="L234" s="36">
        <v>0</v>
      </c>
      <c r="M234" s="36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46">
        <v>0</v>
      </c>
    </row>
    <row r="235" spans="1:44" ht="12.75">
      <c r="A235" s="34">
        <v>234</v>
      </c>
      <c r="B235" s="165">
        <v>46.12155</v>
      </c>
      <c r="C235" s="165">
        <v>-91.21441</v>
      </c>
      <c r="D235" s="10">
        <v>25</v>
      </c>
      <c r="E235" s="10">
        <v>0</v>
      </c>
      <c r="F235" s="149">
        <v>0</v>
      </c>
      <c r="G235" s="34">
        <v>0</v>
      </c>
      <c r="H235" s="96">
        <v>0</v>
      </c>
      <c r="I235" s="10">
        <v>0</v>
      </c>
      <c r="J235" s="36">
        <v>0</v>
      </c>
      <c r="K235" s="36">
        <v>0</v>
      </c>
      <c r="L235" s="36">
        <v>0</v>
      </c>
      <c r="M235" s="36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46">
        <v>0</v>
      </c>
    </row>
    <row r="236" spans="1:44" ht="12.75">
      <c r="A236" s="34">
        <v>235</v>
      </c>
      <c r="B236" s="165">
        <v>46.12155</v>
      </c>
      <c r="C236" s="165">
        <v>-91.21395</v>
      </c>
      <c r="D236" s="10">
        <v>25</v>
      </c>
      <c r="E236" s="10">
        <v>0</v>
      </c>
      <c r="F236" s="149">
        <v>0</v>
      </c>
      <c r="G236" s="34">
        <v>0</v>
      </c>
      <c r="H236" s="96">
        <v>0</v>
      </c>
      <c r="I236" s="10">
        <v>0</v>
      </c>
      <c r="J236" s="36">
        <v>0</v>
      </c>
      <c r="K236" s="36">
        <v>0</v>
      </c>
      <c r="L236" s="36">
        <v>0</v>
      </c>
      <c r="M236" s="36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46">
        <v>0</v>
      </c>
    </row>
    <row r="237" spans="1:44" ht="12.75">
      <c r="A237" s="34">
        <v>236</v>
      </c>
      <c r="B237" s="165">
        <v>46.12156</v>
      </c>
      <c r="C237" s="165">
        <v>-91.21348</v>
      </c>
      <c r="D237" s="10">
        <v>23.5</v>
      </c>
      <c r="E237" s="10">
        <v>0</v>
      </c>
      <c r="F237" s="149">
        <v>0</v>
      </c>
      <c r="G237" s="34">
        <v>0</v>
      </c>
      <c r="H237" s="96">
        <v>0</v>
      </c>
      <c r="I237" s="10">
        <v>0</v>
      </c>
      <c r="J237" s="36">
        <v>0</v>
      </c>
      <c r="K237" s="36">
        <v>0</v>
      </c>
      <c r="L237" s="36">
        <v>0</v>
      </c>
      <c r="M237" s="36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46">
        <v>0</v>
      </c>
    </row>
    <row r="238" spans="1:44" ht="12.75">
      <c r="A238" s="34">
        <v>237</v>
      </c>
      <c r="B238" s="165">
        <v>46.12157</v>
      </c>
      <c r="C238" s="165">
        <v>-91.21302</v>
      </c>
      <c r="D238" s="10">
        <v>25</v>
      </c>
      <c r="E238" s="10">
        <v>0</v>
      </c>
      <c r="F238" s="149">
        <v>0</v>
      </c>
      <c r="G238" s="34">
        <v>0</v>
      </c>
      <c r="H238" s="96">
        <v>0</v>
      </c>
      <c r="I238" s="10">
        <v>0</v>
      </c>
      <c r="J238" s="36">
        <v>0</v>
      </c>
      <c r="K238" s="36">
        <v>0</v>
      </c>
      <c r="L238" s="36">
        <v>0</v>
      </c>
      <c r="M238" s="36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46">
        <v>0</v>
      </c>
    </row>
    <row r="239" spans="1:44" ht="12.75">
      <c r="A239" s="34">
        <v>238</v>
      </c>
      <c r="B239" s="165">
        <v>46.12157</v>
      </c>
      <c r="C239" s="165">
        <v>-91.21255</v>
      </c>
      <c r="D239" s="10">
        <v>22</v>
      </c>
      <c r="E239" s="10">
        <v>0</v>
      </c>
      <c r="F239" s="149">
        <v>0</v>
      </c>
      <c r="G239" s="34">
        <v>0</v>
      </c>
      <c r="H239" s="96">
        <v>0</v>
      </c>
      <c r="I239" s="10">
        <v>0</v>
      </c>
      <c r="J239" s="36">
        <v>0</v>
      </c>
      <c r="K239" s="36">
        <v>0</v>
      </c>
      <c r="L239" s="36">
        <v>0</v>
      </c>
      <c r="M239" s="36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46">
        <v>0</v>
      </c>
    </row>
    <row r="240" spans="1:44" ht="12.75">
      <c r="A240" s="34">
        <v>239</v>
      </c>
      <c r="B240" s="165">
        <v>46.12157</v>
      </c>
      <c r="C240" s="165">
        <v>-91.21209</v>
      </c>
      <c r="D240" s="10">
        <v>21.5</v>
      </c>
      <c r="E240" s="10">
        <v>0</v>
      </c>
      <c r="F240" s="149">
        <v>0</v>
      </c>
      <c r="G240" s="34">
        <v>0</v>
      </c>
      <c r="H240" s="96">
        <v>0</v>
      </c>
      <c r="I240" s="10">
        <v>0</v>
      </c>
      <c r="J240" s="36">
        <v>0</v>
      </c>
      <c r="K240" s="36">
        <v>0</v>
      </c>
      <c r="L240" s="36">
        <v>0</v>
      </c>
      <c r="M240" s="36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46">
        <v>0</v>
      </c>
    </row>
    <row r="241" spans="1:44" ht="12.75">
      <c r="A241" s="34">
        <v>240</v>
      </c>
      <c r="B241" s="165">
        <v>46.12158</v>
      </c>
      <c r="C241" s="165">
        <v>-91.21162</v>
      </c>
      <c r="D241" s="10">
        <v>20</v>
      </c>
      <c r="E241" s="10">
        <v>0</v>
      </c>
      <c r="F241" s="149">
        <v>0</v>
      </c>
      <c r="G241" s="34">
        <v>0</v>
      </c>
      <c r="H241" s="96">
        <v>0</v>
      </c>
      <c r="I241" s="10">
        <v>0</v>
      </c>
      <c r="J241" s="36">
        <v>0</v>
      </c>
      <c r="K241" s="36">
        <v>0</v>
      </c>
      <c r="L241" s="36">
        <v>0</v>
      </c>
      <c r="M241" s="36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46">
        <v>0</v>
      </c>
    </row>
    <row r="242" spans="1:44" ht="12.75">
      <c r="A242" s="34">
        <v>241</v>
      </c>
      <c r="B242" s="165">
        <v>46.12158</v>
      </c>
      <c r="C242" s="165">
        <v>-91.21115</v>
      </c>
      <c r="D242" s="10">
        <v>18.5</v>
      </c>
      <c r="E242" s="10">
        <v>0</v>
      </c>
      <c r="F242" s="149">
        <v>0</v>
      </c>
      <c r="G242" s="34">
        <v>0</v>
      </c>
      <c r="H242" s="96">
        <v>0</v>
      </c>
      <c r="I242" s="10">
        <v>0</v>
      </c>
      <c r="J242" s="36">
        <v>0</v>
      </c>
      <c r="K242" s="36">
        <v>0</v>
      </c>
      <c r="L242" s="36">
        <v>0</v>
      </c>
      <c r="M242" s="36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46">
        <v>0</v>
      </c>
    </row>
    <row r="243" spans="1:44" ht="12.75">
      <c r="A243" s="34">
        <v>242</v>
      </c>
      <c r="B243" s="165">
        <v>46.12159</v>
      </c>
      <c r="C243" s="165">
        <v>-91.21069</v>
      </c>
      <c r="D243" s="10">
        <v>16</v>
      </c>
      <c r="E243" s="10" t="s">
        <v>563</v>
      </c>
      <c r="F243" s="149">
        <v>0</v>
      </c>
      <c r="G243" s="34">
        <v>0</v>
      </c>
      <c r="H243" s="96">
        <v>0</v>
      </c>
      <c r="I243" s="10">
        <v>0</v>
      </c>
      <c r="J243" s="36">
        <v>0</v>
      </c>
      <c r="K243" s="36">
        <v>0</v>
      </c>
      <c r="L243" s="36">
        <v>0</v>
      </c>
      <c r="M243" s="36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46">
        <v>0</v>
      </c>
    </row>
    <row r="244" spans="1:44" ht="12.75">
      <c r="A244" s="34">
        <v>243</v>
      </c>
      <c r="B244" s="165">
        <v>46.12159</v>
      </c>
      <c r="C244" s="165">
        <v>-91.21022</v>
      </c>
      <c r="D244" s="10">
        <v>12.5</v>
      </c>
      <c r="E244" s="10" t="s">
        <v>563</v>
      </c>
      <c r="F244" s="149">
        <v>1</v>
      </c>
      <c r="G244" s="34">
        <v>0</v>
      </c>
      <c r="H244" s="96">
        <v>0</v>
      </c>
      <c r="I244" s="10">
        <v>0</v>
      </c>
      <c r="J244" s="36">
        <v>0</v>
      </c>
      <c r="K244" s="36">
        <v>0</v>
      </c>
      <c r="L244" s="36">
        <v>0</v>
      </c>
      <c r="M244" s="36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46">
        <v>0</v>
      </c>
    </row>
    <row r="245" spans="1:44" ht="12.75">
      <c r="A245" s="34">
        <v>244</v>
      </c>
      <c r="B245" s="165">
        <v>46.1216</v>
      </c>
      <c r="C245" s="165">
        <v>-91.20976</v>
      </c>
      <c r="D245" s="10">
        <v>8</v>
      </c>
      <c r="E245" s="10" t="s">
        <v>563</v>
      </c>
      <c r="F245" s="149">
        <v>1</v>
      </c>
      <c r="G245" s="34">
        <v>1</v>
      </c>
      <c r="H245" s="96">
        <v>3</v>
      </c>
      <c r="I245" s="10">
        <v>1</v>
      </c>
      <c r="J245" s="36">
        <v>0</v>
      </c>
      <c r="K245" s="36">
        <v>0</v>
      </c>
      <c r="L245" s="36">
        <v>1</v>
      </c>
      <c r="M245" s="36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1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1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46">
        <v>0</v>
      </c>
    </row>
    <row r="246" spans="1:44" ht="12.75">
      <c r="A246" s="34">
        <v>245</v>
      </c>
      <c r="B246" s="165">
        <v>46.1216</v>
      </c>
      <c r="C246" s="165">
        <v>-91.20929</v>
      </c>
      <c r="D246" s="10">
        <v>3</v>
      </c>
      <c r="E246" s="10" t="s">
        <v>563</v>
      </c>
      <c r="F246" s="149">
        <v>1</v>
      </c>
      <c r="G246" s="34">
        <v>1</v>
      </c>
      <c r="H246" s="96">
        <v>6</v>
      </c>
      <c r="I246" s="10">
        <v>3</v>
      </c>
      <c r="J246" s="36">
        <v>0</v>
      </c>
      <c r="K246" s="36">
        <v>2</v>
      </c>
      <c r="L246" s="36">
        <v>0</v>
      </c>
      <c r="M246" s="36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2</v>
      </c>
      <c r="W246" s="10">
        <v>1</v>
      </c>
      <c r="X246" s="10">
        <v>1</v>
      </c>
      <c r="Y246" s="10">
        <v>0</v>
      </c>
      <c r="Z246" s="10">
        <v>0</v>
      </c>
      <c r="AA246" s="10">
        <v>0</v>
      </c>
      <c r="AB246" s="10">
        <v>0</v>
      </c>
      <c r="AC246" s="10">
        <v>1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1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46">
        <v>1</v>
      </c>
    </row>
    <row r="247" spans="1:44" ht="12.75">
      <c r="A247" s="34">
        <v>246</v>
      </c>
      <c r="B247" s="165">
        <v>46.12181</v>
      </c>
      <c r="C247" s="165">
        <v>-91.22048</v>
      </c>
      <c r="D247" s="10">
        <v>4.5</v>
      </c>
      <c r="E247" s="10" t="s">
        <v>563</v>
      </c>
      <c r="F247" s="149">
        <v>1</v>
      </c>
      <c r="G247" s="34">
        <v>1</v>
      </c>
      <c r="H247" s="96">
        <v>5</v>
      </c>
      <c r="I247" s="10">
        <v>3</v>
      </c>
      <c r="J247" s="36">
        <v>0</v>
      </c>
      <c r="K247" s="36">
        <v>0</v>
      </c>
      <c r="L247" s="36">
        <v>0</v>
      </c>
      <c r="M247" s="36">
        <v>2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1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2</v>
      </c>
      <c r="AE247" s="10">
        <v>0</v>
      </c>
      <c r="AF247" s="10">
        <v>0</v>
      </c>
      <c r="AG247" s="10">
        <v>0</v>
      </c>
      <c r="AH247" s="10">
        <v>3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1</v>
      </c>
      <c r="AP247" s="10">
        <v>0</v>
      </c>
      <c r="AQ247" s="10">
        <v>0</v>
      </c>
      <c r="AR247" s="146">
        <v>0</v>
      </c>
    </row>
    <row r="248" spans="1:44" ht="12.75">
      <c r="A248" s="34">
        <v>247</v>
      </c>
      <c r="B248" s="165">
        <v>46.12181</v>
      </c>
      <c r="C248" s="165">
        <v>-91.22001</v>
      </c>
      <c r="D248" s="10">
        <v>4</v>
      </c>
      <c r="E248" s="10" t="s">
        <v>563</v>
      </c>
      <c r="F248" s="149">
        <v>1</v>
      </c>
      <c r="G248" s="34">
        <v>1</v>
      </c>
      <c r="H248" s="96">
        <v>4</v>
      </c>
      <c r="I248" s="10">
        <v>3</v>
      </c>
      <c r="J248" s="36">
        <v>0</v>
      </c>
      <c r="K248" s="36">
        <v>0</v>
      </c>
      <c r="L248" s="36">
        <v>0</v>
      </c>
      <c r="M248" s="36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1</v>
      </c>
      <c r="S248" s="10">
        <v>0</v>
      </c>
      <c r="T248" s="10">
        <v>0</v>
      </c>
      <c r="U248" s="10">
        <v>0</v>
      </c>
      <c r="V248" s="10">
        <v>3</v>
      </c>
      <c r="W248" s="10">
        <v>0</v>
      </c>
      <c r="X248" s="10">
        <v>0</v>
      </c>
      <c r="Y248" s="10">
        <v>4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1</v>
      </c>
      <c r="AH248" s="10">
        <v>1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46">
        <v>0</v>
      </c>
    </row>
    <row r="249" spans="1:44" ht="12.75">
      <c r="A249" s="34">
        <v>248</v>
      </c>
      <c r="B249" s="165">
        <v>46.12182</v>
      </c>
      <c r="C249" s="165">
        <v>-91.21955</v>
      </c>
      <c r="D249" s="10">
        <v>15</v>
      </c>
      <c r="E249" s="10" t="s">
        <v>563</v>
      </c>
      <c r="F249" s="149">
        <v>0</v>
      </c>
      <c r="G249" s="34">
        <v>0</v>
      </c>
      <c r="H249" s="96">
        <v>0</v>
      </c>
      <c r="I249" s="10">
        <v>0</v>
      </c>
      <c r="J249" s="36">
        <v>0</v>
      </c>
      <c r="K249" s="36">
        <v>0</v>
      </c>
      <c r="L249" s="36">
        <v>0</v>
      </c>
      <c r="M249" s="36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46">
        <v>0</v>
      </c>
    </row>
    <row r="250" spans="1:44" ht="12.75">
      <c r="A250" s="34">
        <v>249</v>
      </c>
      <c r="B250" s="165">
        <v>46.12182</v>
      </c>
      <c r="C250" s="165">
        <v>-91.21908</v>
      </c>
      <c r="D250" s="10">
        <v>12</v>
      </c>
      <c r="E250" s="10" t="s">
        <v>563</v>
      </c>
      <c r="F250" s="149">
        <v>1</v>
      </c>
      <c r="G250" s="34">
        <v>1</v>
      </c>
      <c r="H250" s="96">
        <v>1</v>
      </c>
      <c r="I250" s="10">
        <v>1</v>
      </c>
      <c r="J250" s="36">
        <v>0</v>
      </c>
      <c r="K250" s="36">
        <v>0</v>
      </c>
      <c r="L250" s="36">
        <v>1</v>
      </c>
      <c r="M250" s="36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46">
        <v>1</v>
      </c>
    </row>
    <row r="251" spans="1:44" ht="12.75">
      <c r="A251" s="34">
        <v>250</v>
      </c>
      <c r="B251" s="165">
        <v>46.12183</v>
      </c>
      <c r="C251" s="165">
        <v>-91.21861</v>
      </c>
      <c r="D251" s="10">
        <v>3</v>
      </c>
      <c r="E251" s="10" t="s">
        <v>563</v>
      </c>
      <c r="F251" s="149">
        <v>1</v>
      </c>
      <c r="G251" s="34">
        <v>1</v>
      </c>
      <c r="H251" s="96">
        <v>2</v>
      </c>
      <c r="I251" s="10">
        <v>2</v>
      </c>
      <c r="J251" s="36">
        <v>0</v>
      </c>
      <c r="K251" s="36">
        <v>0</v>
      </c>
      <c r="L251" s="36">
        <v>0</v>
      </c>
      <c r="M251" s="36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2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1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46">
        <v>0</v>
      </c>
    </row>
    <row r="252" spans="1:44" ht="12.75">
      <c r="A252" s="34">
        <v>251</v>
      </c>
      <c r="B252" s="165">
        <v>46.12183</v>
      </c>
      <c r="C252" s="165">
        <v>-91.21815</v>
      </c>
      <c r="D252" s="10">
        <v>3</v>
      </c>
      <c r="E252" s="10" t="s">
        <v>563</v>
      </c>
      <c r="F252" s="149">
        <v>1</v>
      </c>
      <c r="G252" s="34">
        <v>1</v>
      </c>
      <c r="H252" s="96">
        <v>5</v>
      </c>
      <c r="I252" s="10">
        <v>3</v>
      </c>
      <c r="J252" s="36">
        <v>0</v>
      </c>
      <c r="K252" s="36">
        <v>0</v>
      </c>
      <c r="L252" s="36">
        <v>1</v>
      </c>
      <c r="M252" s="36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2</v>
      </c>
      <c r="W252" s="10">
        <v>1</v>
      </c>
      <c r="X252" s="10">
        <v>3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2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46">
        <v>1</v>
      </c>
    </row>
    <row r="253" spans="1:44" ht="12.75">
      <c r="A253" s="34">
        <v>252</v>
      </c>
      <c r="B253" s="165">
        <v>46.12184</v>
      </c>
      <c r="C253" s="165">
        <v>-91.21768</v>
      </c>
      <c r="D253" s="10">
        <v>12</v>
      </c>
      <c r="E253" s="10" t="s">
        <v>563</v>
      </c>
      <c r="F253" s="149">
        <v>1</v>
      </c>
      <c r="G253" s="34">
        <v>0</v>
      </c>
      <c r="H253" s="96">
        <v>0</v>
      </c>
      <c r="I253" s="10">
        <v>0</v>
      </c>
      <c r="J253" s="36">
        <v>0</v>
      </c>
      <c r="K253" s="36">
        <v>0</v>
      </c>
      <c r="L253" s="36">
        <v>0</v>
      </c>
      <c r="M253" s="36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46">
        <v>0</v>
      </c>
    </row>
    <row r="254" spans="1:44" ht="12.75">
      <c r="A254" s="34">
        <v>253</v>
      </c>
      <c r="B254" s="165">
        <v>46.12184</v>
      </c>
      <c r="C254" s="165">
        <v>-91.21722</v>
      </c>
      <c r="D254" s="10">
        <v>11</v>
      </c>
      <c r="E254" s="10" t="s">
        <v>563</v>
      </c>
      <c r="F254" s="149">
        <v>1</v>
      </c>
      <c r="G254" s="34">
        <v>0</v>
      </c>
      <c r="H254" s="96">
        <v>0</v>
      </c>
      <c r="I254" s="10">
        <v>0</v>
      </c>
      <c r="J254" s="36">
        <v>0</v>
      </c>
      <c r="K254" s="36">
        <v>0</v>
      </c>
      <c r="L254" s="36">
        <v>0</v>
      </c>
      <c r="M254" s="36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46">
        <v>0</v>
      </c>
    </row>
    <row r="255" spans="1:44" ht="12.75">
      <c r="A255" s="34">
        <v>254</v>
      </c>
      <c r="B255" s="165">
        <v>46.12185</v>
      </c>
      <c r="C255" s="165">
        <v>-91.21675</v>
      </c>
      <c r="D255" s="10">
        <v>14</v>
      </c>
      <c r="E255" s="10" t="s">
        <v>563</v>
      </c>
      <c r="F255" s="149">
        <v>0</v>
      </c>
      <c r="G255" s="34">
        <v>0</v>
      </c>
      <c r="H255" s="96">
        <v>0</v>
      </c>
      <c r="I255" s="10">
        <v>0</v>
      </c>
      <c r="J255" s="36">
        <v>0</v>
      </c>
      <c r="K255" s="36">
        <v>0</v>
      </c>
      <c r="L255" s="36">
        <v>0</v>
      </c>
      <c r="M255" s="36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46">
        <v>0</v>
      </c>
    </row>
    <row r="256" spans="1:44" ht="12.75">
      <c r="A256" s="34">
        <v>255</v>
      </c>
      <c r="B256" s="165">
        <v>46.12185</v>
      </c>
      <c r="C256" s="165">
        <v>-91.21628</v>
      </c>
      <c r="D256" s="10">
        <v>19</v>
      </c>
      <c r="E256" s="10">
        <v>0</v>
      </c>
      <c r="F256" s="149">
        <v>0</v>
      </c>
      <c r="G256" s="34">
        <v>0</v>
      </c>
      <c r="H256" s="96">
        <v>0</v>
      </c>
      <c r="I256" s="10">
        <v>0</v>
      </c>
      <c r="J256" s="36">
        <v>0</v>
      </c>
      <c r="K256" s="36">
        <v>0</v>
      </c>
      <c r="L256" s="36">
        <v>0</v>
      </c>
      <c r="M256" s="36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46">
        <v>0</v>
      </c>
    </row>
    <row r="257" spans="1:44" ht="12.75">
      <c r="A257" s="34">
        <v>256</v>
      </c>
      <c r="B257" s="165">
        <v>46.12186</v>
      </c>
      <c r="C257" s="165">
        <v>-91.21582</v>
      </c>
      <c r="D257" s="10">
        <v>18</v>
      </c>
      <c r="E257" s="10">
        <v>0</v>
      </c>
      <c r="F257" s="149">
        <v>0</v>
      </c>
      <c r="G257" s="34">
        <v>0</v>
      </c>
      <c r="H257" s="96">
        <v>0</v>
      </c>
      <c r="I257" s="10">
        <v>0</v>
      </c>
      <c r="J257" s="36">
        <v>0</v>
      </c>
      <c r="K257" s="36">
        <v>0</v>
      </c>
      <c r="L257" s="36">
        <v>0</v>
      </c>
      <c r="M257" s="36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46">
        <v>0</v>
      </c>
    </row>
    <row r="258" spans="1:44" ht="12.75">
      <c r="A258" s="34">
        <v>257</v>
      </c>
      <c r="B258" s="165">
        <v>46.12186</v>
      </c>
      <c r="C258" s="165">
        <v>-91.21535</v>
      </c>
      <c r="D258" s="10">
        <v>22.5</v>
      </c>
      <c r="E258" s="10">
        <v>0</v>
      </c>
      <c r="F258" s="149">
        <v>0</v>
      </c>
      <c r="G258" s="34">
        <v>0</v>
      </c>
      <c r="H258" s="96">
        <v>0</v>
      </c>
      <c r="I258" s="10">
        <v>0</v>
      </c>
      <c r="J258" s="36">
        <v>0</v>
      </c>
      <c r="K258" s="36">
        <v>0</v>
      </c>
      <c r="L258" s="36">
        <v>0</v>
      </c>
      <c r="M258" s="36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46">
        <v>0</v>
      </c>
    </row>
    <row r="259" spans="1:44" ht="12.75">
      <c r="A259" s="34">
        <v>258</v>
      </c>
      <c r="B259" s="165">
        <v>46.12187</v>
      </c>
      <c r="C259" s="165">
        <v>-91.21489</v>
      </c>
      <c r="D259" s="10">
        <v>28.5</v>
      </c>
      <c r="E259" s="10">
        <v>0</v>
      </c>
      <c r="F259" s="149">
        <v>0</v>
      </c>
      <c r="G259" s="34">
        <v>0</v>
      </c>
      <c r="H259" s="96">
        <v>0</v>
      </c>
      <c r="I259" s="10">
        <v>0</v>
      </c>
      <c r="J259" s="36">
        <v>0</v>
      </c>
      <c r="K259" s="36">
        <v>0</v>
      </c>
      <c r="L259" s="36">
        <v>0</v>
      </c>
      <c r="M259" s="36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46">
        <v>0</v>
      </c>
    </row>
    <row r="260" spans="1:44" ht="12.75">
      <c r="A260" s="34">
        <v>259</v>
      </c>
      <c r="B260" s="165">
        <v>46.12187</v>
      </c>
      <c r="C260" s="165">
        <v>-91.21442</v>
      </c>
      <c r="D260" s="10">
        <v>25.5</v>
      </c>
      <c r="E260" s="10">
        <v>0</v>
      </c>
      <c r="F260" s="149">
        <v>0</v>
      </c>
      <c r="G260" s="34">
        <v>0</v>
      </c>
      <c r="H260" s="96">
        <v>0</v>
      </c>
      <c r="I260" s="10">
        <v>0</v>
      </c>
      <c r="J260" s="36">
        <v>0</v>
      </c>
      <c r="K260" s="36">
        <v>0</v>
      </c>
      <c r="L260" s="36">
        <v>0</v>
      </c>
      <c r="M260" s="36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46">
        <v>0</v>
      </c>
    </row>
    <row r="261" spans="1:44" ht="12.75">
      <c r="A261" s="34">
        <v>260</v>
      </c>
      <c r="B261" s="165">
        <v>46.12188</v>
      </c>
      <c r="C261" s="165">
        <v>-91.21396</v>
      </c>
      <c r="D261" s="10">
        <v>25.5</v>
      </c>
      <c r="E261" s="10">
        <v>0</v>
      </c>
      <c r="F261" s="149">
        <v>0</v>
      </c>
      <c r="G261" s="34">
        <v>0</v>
      </c>
      <c r="H261" s="96">
        <v>0</v>
      </c>
      <c r="I261" s="10">
        <v>0</v>
      </c>
      <c r="J261" s="36">
        <v>0</v>
      </c>
      <c r="K261" s="36">
        <v>0</v>
      </c>
      <c r="L261" s="36">
        <v>0</v>
      </c>
      <c r="M261" s="36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46">
        <v>0</v>
      </c>
    </row>
    <row r="262" spans="1:44" ht="12.75">
      <c r="A262" s="34">
        <v>261</v>
      </c>
      <c r="B262" s="165">
        <v>46.12188</v>
      </c>
      <c r="C262" s="165">
        <v>-91.21349</v>
      </c>
      <c r="D262" s="10">
        <v>22.5</v>
      </c>
      <c r="E262" s="10">
        <v>0</v>
      </c>
      <c r="F262" s="149">
        <v>0</v>
      </c>
      <c r="G262" s="34">
        <v>0</v>
      </c>
      <c r="H262" s="96">
        <v>0</v>
      </c>
      <c r="I262" s="10">
        <v>0</v>
      </c>
      <c r="J262" s="36">
        <v>0</v>
      </c>
      <c r="K262" s="36">
        <v>0</v>
      </c>
      <c r="L262" s="36">
        <v>0</v>
      </c>
      <c r="M262" s="36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46">
        <v>0</v>
      </c>
    </row>
    <row r="263" spans="1:44" ht="12.75">
      <c r="A263" s="34">
        <v>262</v>
      </c>
      <c r="B263" s="165">
        <v>46.12189</v>
      </c>
      <c r="C263" s="165">
        <v>-91.21302</v>
      </c>
      <c r="D263" s="10">
        <v>19</v>
      </c>
      <c r="E263" s="10">
        <v>0</v>
      </c>
      <c r="F263" s="149">
        <v>0</v>
      </c>
      <c r="G263" s="34">
        <v>0</v>
      </c>
      <c r="H263" s="96">
        <v>0</v>
      </c>
      <c r="I263" s="10">
        <v>0</v>
      </c>
      <c r="J263" s="36">
        <v>0</v>
      </c>
      <c r="K263" s="36">
        <v>0</v>
      </c>
      <c r="L263" s="36">
        <v>0</v>
      </c>
      <c r="M263" s="36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46">
        <v>0</v>
      </c>
    </row>
    <row r="264" spans="1:44" ht="12.75">
      <c r="A264" s="34">
        <v>263</v>
      </c>
      <c r="B264" s="165">
        <v>46.12189</v>
      </c>
      <c r="C264" s="165">
        <v>-91.21256</v>
      </c>
      <c r="D264" s="10">
        <v>21.5</v>
      </c>
      <c r="E264" s="10">
        <v>0</v>
      </c>
      <c r="F264" s="149">
        <v>0</v>
      </c>
      <c r="G264" s="34">
        <v>0</v>
      </c>
      <c r="H264" s="96">
        <v>0</v>
      </c>
      <c r="I264" s="10">
        <v>0</v>
      </c>
      <c r="J264" s="36">
        <v>0</v>
      </c>
      <c r="K264" s="36">
        <v>0</v>
      </c>
      <c r="L264" s="36">
        <v>0</v>
      </c>
      <c r="M264" s="36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46">
        <v>0</v>
      </c>
    </row>
    <row r="265" spans="1:44" ht="12.75">
      <c r="A265" s="34">
        <v>264</v>
      </c>
      <c r="B265" s="165">
        <v>46.1219</v>
      </c>
      <c r="C265" s="165">
        <v>-91.21209</v>
      </c>
      <c r="D265" s="10">
        <v>21.5</v>
      </c>
      <c r="E265" s="10">
        <v>0</v>
      </c>
      <c r="F265" s="149">
        <v>0</v>
      </c>
      <c r="G265" s="34">
        <v>0</v>
      </c>
      <c r="H265" s="96">
        <v>0</v>
      </c>
      <c r="I265" s="10">
        <v>0</v>
      </c>
      <c r="J265" s="36">
        <v>0</v>
      </c>
      <c r="K265" s="36">
        <v>0</v>
      </c>
      <c r="L265" s="36">
        <v>0</v>
      </c>
      <c r="M265" s="36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46">
        <v>0</v>
      </c>
    </row>
    <row r="266" spans="1:44" ht="12.75">
      <c r="A266" s="34">
        <v>265</v>
      </c>
      <c r="B266" s="165">
        <v>46.1219</v>
      </c>
      <c r="C266" s="165">
        <v>-91.21163</v>
      </c>
      <c r="D266" s="10">
        <v>23</v>
      </c>
      <c r="E266" s="10">
        <v>0</v>
      </c>
      <c r="F266" s="149">
        <v>0</v>
      </c>
      <c r="G266" s="34">
        <v>0</v>
      </c>
      <c r="H266" s="96">
        <v>0</v>
      </c>
      <c r="I266" s="10">
        <v>0</v>
      </c>
      <c r="J266" s="36">
        <v>0</v>
      </c>
      <c r="K266" s="36">
        <v>0</v>
      </c>
      <c r="L266" s="36">
        <v>0</v>
      </c>
      <c r="M266" s="36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46">
        <v>0</v>
      </c>
    </row>
    <row r="267" spans="1:44" ht="12.75">
      <c r="A267" s="34">
        <v>266</v>
      </c>
      <c r="B267" s="165">
        <v>46.12191</v>
      </c>
      <c r="C267" s="165">
        <v>-91.21116</v>
      </c>
      <c r="D267" s="10">
        <v>18</v>
      </c>
      <c r="E267" s="10">
        <v>0</v>
      </c>
      <c r="F267" s="149">
        <v>0</v>
      </c>
      <c r="G267" s="34">
        <v>0</v>
      </c>
      <c r="H267" s="96">
        <v>0</v>
      </c>
      <c r="I267" s="10">
        <v>0</v>
      </c>
      <c r="J267" s="36">
        <v>0</v>
      </c>
      <c r="K267" s="36">
        <v>0</v>
      </c>
      <c r="L267" s="36">
        <v>0</v>
      </c>
      <c r="M267" s="36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46">
        <v>0</v>
      </c>
    </row>
    <row r="268" spans="1:44" ht="12.75">
      <c r="A268" s="34">
        <v>267</v>
      </c>
      <c r="B268" s="165">
        <v>46.12191</v>
      </c>
      <c r="C268" s="165">
        <v>-91.2107</v>
      </c>
      <c r="D268" s="10">
        <v>17.5</v>
      </c>
      <c r="E268" s="10">
        <v>0</v>
      </c>
      <c r="F268" s="149">
        <v>0</v>
      </c>
      <c r="G268" s="34">
        <v>0</v>
      </c>
      <c r="H268" s="96">
        <v>0</v>
      </c>
      <c r="I268" s="10">
        <v>0</v>
      </c>
      <c r="J268" s="36">
        <v>0</v>
      </c>
      <c r="K268" s="36">
        <v>0</v>
      </c>
      <c r="L268" s="36">
        <v>0</v>
      </c>
      <c r="M268" s="36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46">
        <v>0</v>
      </c>
    </row>
    <row r="269" spans="1:44" ht="12.75">
      <c r="A269" s="34">
        <v>268</v>
      </c>
      <c r="B269" s="165">
        <v>46.12192</v>
      </c>
      <c r="C269" s="165">
        <v>-91.21023</v>
      </c>
      <c r="D269" s="10">
        <v>16.5</v>
      </c>
      <c r="E269" s="10">
        <v>0</v>
      </c>
      <c r="F269" s="149">
        <v>0</v>
      </c>
      <c r="G269" s="34">
        <v>0</v>
      </c>
      <c r="H269" s="96">
        <v>0</v>
      </c>
      <c r="I269" s="10">
        <v>0</v>
      </c>
      <c r="J269" s="36">
        <v>0</v>
      </c>
      <c r="K269" s="36">
        <v>0</v>
      </c>
      <c r="L269" s="36">
        <v>0</v>
      </c>
      <c r="M269" s="36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46">
        <v>0</v>
      </c>
    </row>
    <row r="270" spans="1:44" ht="12.75">
      <c r="A270" s="34">
        <v>269</v>
      </c>
      <c r="B270" s="165">
        <v>46.12192</v>
      </c>
      <c r="C270" s="165">
        <v>-91.20976</v>
      </c>
      <c r="D270" s="10">
        <v>14</v>
      </c>
      <c r="E270" s="10" t="s">
        <v>563</v>
      </c>
      <c r="F270" s="149">
        <v>0</v>
      </c>
      <c r="G270" s="34">
        <v>0</v>
      </c>
      <c r="H270" s="96">
        <v>0</v>
      </c>
      <c r="I270" s="10">
        <v>0</v>
      </c>
      <c r="J270" s="36">
        <v>0</v>
      </c>
      <c r="K270" s="36">
        <v>0</v>
      </c>
      <c r="L270" s="36">
        <v>0</v>
      </c>
      <c r="M270" s="36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46">
        <v>0</v>
      </c>
    </row>
    <row r="271" spans="1:44" ht="12.75">
      <c r="A271" s="34">
        <v>270</v>
      </c>
      <c r="B271" s="165">
        <v>46.12193</v>
      </c>
      <c r="C271" s="165">
        <v>-91.2093</v>
      </c>
      <c r="D271" s="10">
        <v>4</v>
      </c>
      <c r="E271" s="10" t="s">
        <v>563</v>
      </c>
      <c r="F271" s="149">
        <v>1</v>
      </c>
      <c r="G271" s="34">
        <v>1</v>
      </c>
      <c r="H271" s="96">
        <v>5</v>
      </c>
      <c r="I271" s="10">
        <v>3</v>
      </c>
      <c r="J271" s="36">
        <v>0</v>
      </c>
      <c r="K271" s="36">
        <v>0</v>
      </c>
      <c r="L271" s="36">
        <v>0</v>
      </c>
      <c r="M271" s="36">
        <v>0</v>
      </c>
      <c r="N271" s="10">
        <v>0</v>
      </c>
      <c r="O271" s="10">
        <v>0</v>
      </c>
      <c r="P271" s="10">
        <v>0</v>
      </c>
      <c r="Q271" s="10">
        <v>1</v>
      </c>
      <c r="R271" s="10">
        <v>0</v>
      </c>
      <c r="S271" s="10">
        <v>0</v>
      </c>
      <c r="T271" s="10">
        <v>0</v>
      </c>
      <c r="U271" s="10">
        <v>0</v>
      </c>
      <c r="V271" s="10">
        <v>2</v>
      </c>
      <c r="W271" s="10">
        <v>0</v>
      </c>
      <c r="X271" s="10">
        <v>0</v>
      </c>
      <c r="Y271" s="10">
        <v>1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1</v>
      </c>
      <c r="AH271" s="10">
        <v>2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46">
        <v>2</v>
      </c>
    </row>
    <row r="272" spans="1:44" ht="12.75">
      <c r="A272" s="34">
        <v>271</v>
      </c>
      <c r="B272" s="165">
        <v>46.12213</v>
      </c>
      <c r="C272" s="165">
        <v>-91.22048</v>
      </c>
      <c r="D272" s="10">
        <v>2.5</v>
      </c>
      <c r="E272" s="10" t="s">
        <v>563</v>
      </c>
      <c r="F272" s="149">
        <v>1</v>
      </c>
      <c r="G272" s="34">
        <v>1</v>
      </c>
      <c r="H272" s="96">
        <v>4</v>
      </c>
      <c r="I272" s="10">
        <v>3</v>
      </c>
      <c r="J272" s="36">
        <v>0</v>
      </c>
      <c r="K272" s="36">
        <v>2</v>
      </c>
      <c r="L272" s="36">
        <v>0</v>
      </c>
      <c r="M272" s="36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1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3</v>
      </c>
      <c r="AM272" s="10">
        <v>0</v>
      </c>
      <c r="AN272" s="10">
        <v>1</v>
      </c>
      <c r="AO272" s="10">
        <v>0</v>
      </c>
      <c r="AP272" s="10">
        <v>0</v>
      </c>
      <c r="AQ272" s="10">
        <v>0</v>
      </c>
      <c r="AR272" s="146">
        <v>0</v>
      </c>
    </row>
    <row r="273" spans="1:44" ht="12.75">
      <c r="A273" s="34">
        <v>272</v>
      </c>
      <c r="B273" s="165">
        <v>46.12214</v>
      </c>
      <c r="C273" s="165">
        <v>-91.22002</v>
      </c>
      <c r="D273" s="10">
        <v>4</v>
      </c>
      <c r="E273" s="10" t="s">
        <v>563</v>
      </c>
      <c r="F273" s="149">
        <v>1</v>
      </c>
      <c r="G273" s="34">
        <v>1</v>
      </c>
      <c r="H273" s="96">
        <v>6</v>
      </c>
      <c r="I273" s="10">
        <v>3</v>
      </c>
      <c r="J273" s="36">
        <v>0</v>
      </c>
      <c r="K273" s="36">
        <v>0</v>
      </c>
      <c r="L273" s="36">
        <v>1</v>
      </c>
      <c r="M273" s="36">
        <v>0</v>
      </c>
      <c r="N273" s="10">
        <v>0</v>
      </c>
      <c r="O273" s="10">
        <v>0</v>
      </c>
      <c r="P273" s="10">
        <v>1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2</v>
      </c>
      <c r="W273" s="10">
        <v>1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1</v>
      </c>
      <c r="AD273" s="10">
        <v>0</v>
      </c>
      <c r="AE273" s="10">
        <v>0</v>
      </c>
      <c r="AF273" s="10">
        <v>0</v>
      </c>
      <c r="AG273" s="10">
        <v>0</v>
      </c>
      <c r="AH273" s="10">
        <v>3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46">
        <v>0</v>
      </c>
    </row>
    <row r="274" spans="1:44" ht="12.75">
      <c r="A274" s="34">
        <v>273</v>
      </c>
      <c r="B274" s="165">
        <v>46.12214</v>
      </c>
      <c r="C274" s="165">
        <v>-91.21955</v>
      </c>
      <c r="D274" s="10">
        <v>13</v>
      </c>
      <c r="E274" s="10" t="s">
        <v>563</v>
      </c>
      <c r="F274" s="149">
        <v>1</v>
      </c>
      <c r="G274" s="34">
        <v>0</v>
      </c>
      <c r="H274" s="96">
        <v>0</v>
      </c>
      <c r="I274" s="10">
        <v>0</v>
      </c>
      <c r="J274" s="36">
        <v>0</v>
      </c>
      <c r="K274" s="36">
        <v>0</v>
      </c>
      <c r="L274" s="36">
        <v>0</v>
      </c>
      <c r="M274" s="36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46">
        <v>0</v>
      </c>
    </row>
    <row r="275" spans="1:44" ht="12.75">
      <c r="A275" s="34">
        <v>274</v>
      </c>
      <c r="B275" s="165">
        <v>46.12215</v>
      </c>
      <c r="C275" s="165">
        <v>-91.21909</v>
      </c>
      <c r="D275" s="10">
        <v>17</v>
      </c>
      <c r="E275" s="10">
        <v>0</v>
      </c>
      <c r="F275" s="149">
        <v>0</v>
      </c>
      <c r="G275" s="34">
        <v>0</v>
      </c>
      <c r="H275" s="96">
        <v>0</v>
      </c>
      <c r="I275" s="10">
        <v>0</v>
      </c>
      <c r="J275" s="36">
        <v>0</v>
      </c>
      <c r="K275" s="36">
        <v>0</v>
      </c>
      <c r="L275" s="36">
        <v>0</v>
      </c>
      <c r="M275" s="36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46">
        <v>0</v>
      </c>
    </row>
    <row r="276" spans="1:44" ht="12.75">
      <c r="A276" s="34">
        <v>275</v>
      </c>
      <c r="B276" s="165">
        <v>46.12215</v>
      </c>
      <c r="C276" s="165">
        <v>-91.21862</v>
      </c>
      <c r="D276" s="10">
        <v>13</v>
      </c>
      <c r="E276" s="10" t="s">
        <v>563</v>
      </c>
      <c r="F276" s="149">
        <v>1</v>
      </c>
      <c r="G276" s="34">
        <v>0</v>
      </c>
      <c r="H276" s="96">
        <v>0</v>
      </c>
      <c r="I276" s="10">
        <v>0</v>
      </c>
      <c r="J276" s="36">
        <v>0</v>
      </c>
      <c r="K276" s="36">
        <v>0</v>
      </c>
      <c r="L276" s="36">
        <v>0</v>
      </c>
      <c r="M276" s="36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46">
        <v>0</v>
      </c>
    </row>
    <row r="277" spans="1:44" ht="12.75">
      <c r="A277" s="34">
        <v>276</v>
      </c>
      <c r="B277" s="165">
        <v>46.12216</v>
      </c>
      <c r="C277" s="165">
        <v>-91.21816</v>
      </c>
      <c r="D277" s="10">
        <v>12.5</v>
      </c>
      <c r="E277" s="10" t="s">
        <v>563</v>
      </c>
      <c r="F277" s="149">
        <v>1</v>
      </c>
      <c r="G277" s="34">
        <v>0</v>
      </c>
      <c r="H277" s="96">
        <v>0</v>
      </c>
      <c r="I277" s="10">
        <v>0</v>
      </c>
      <c r="J277" s="36">
        <v>0</v>
      </c>
      <c r="K277" s="36">
        <v>0</v>
      </c>
      <c r="L277" s="36">
        <v>0</v>
      </c>
      <c r="M277" s="36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46">
        <v>0</v>
      </c>
    </row>
    <row r="278" spans="1:44" ht="12.75">
      <c r="A278" s="34">
        <v>277</v>
      </c>
      <c r="B278" s="165">
        <v>46.12216</v>
      </c>
      <c r="C278" s="165">
        <v>-91.21769</v>
      </c>
      <c r="D278" s="10">
        <v>15.5</v>
      </c>
      <c r="E278" s="10" t="s">
        <v>563</v>
      </c>
      <c r="F278" s="149">
        <v>0</v>
      </c>
      <c r="G278" s="34">
        <v>0</v>
      </c>
      <c r="H278" s="96">
        <v>0</v>
      </c>
      <c r="I278" s="10">
        <v>0</v>
      </c>
      <c r="J278" s="36">
        <v>0</v>
      </c>
      <c r="K278" s="36">
        <v>0</v>
      </c>
      <c r="L278" s="36">
        <v>0</v>
      </c>
      <c r="M278" s="36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46">
        <v>0</v>
      </c>
    </row>
    <row r="279" spans="1:44" ht="12.75">
      <c r="A279" s="34">
        <v>278</v>
      </c>
      <c r="B279" s="165">
        <v>46.12217</v>
      </c>
      <c r="C279" s="165">
        <v>-91.21722</v>
      </c>
      <c r="D279" s="10">
        <v>16.5</v>
      </c>
      <c r="E279" s="10">
        <v>0</v>
      </c>
      <c r="F279" s="149">
        <v>0</v>
      </c>
      <c r="G279" s="34">
        <v>0</v>
      </c>
      <c r="H279" s="96">
        <v>0</v>
      </c>
      <c r="I279" s="10">
        <v>0</v>
      </c>
      <c r="J279" s="36">
        <v>0</v>
      </c>
      <c r="K279" s="36">
        <v>0</v>
      </c>
      <c r="L279" s="36">
        <v>0</v>
      </c>
      <c r="M279" s="36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46">
        <v>0</v>
      </c>
    </row>
    <row r="280" spans="1:44" ht="12.75">
      <c r="A280" s="34">
        <v>279</v>
      </c>
      <c r="B280" s="165">
        <v>46.12217</v>
      </c>
      <c r="C280" s="165">
        <v>-91.21676</v>
      </c>
      <c r="D280" s="10">
        <v>18</v>
      </c>
      <c r="E280" s="10">
        <v>0</v>
      </c>
      <c r="F280" s="149">
        <v>0</v>
      </c>
      <c r="G280" s="34">
        <v>0</v>
      </c>
      <c r="H280" s="96">
        <v>0</v>
      </c>
      <c r="I280" s="10">
        <v>0</v>
      </c>
      <c r="J280" s="36">
        <v>0</v>
      </c>
      <c r="K280" s="36">
        <v>0</v>
      </c>
      <c r="L280" s="36">
        <v>0</v>
      </c>
      <c r="M280" s="36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46">
        <v>0</v>
      </c>
    </row>
    <row r="281" spans="1:44" ht="12.75">
      <c r="A281" s="34">
        <v>280</v>
      </c>
      <c r="B281" s="165">
        <v>46.12218</v>
      </c>
      <c r="C281" s="165">
        <v>-91.21629</v>
      </c>
      <c r="D281" s="10">
        <v>16.5</v>
      </c>
      <c r="E281" s="10">
        <v>0</v>
      </c>
      <c r="F281" s="149">
        <v>0</v>
      </c>
      <c r="G281" s="34">
        <v>0</v>
      </c>
      <c r="H281" s="96">
        <v>0</v>
      </c>
      <c r="I281" s="10">
        <v>0</v>
      </c>
      <c r="J281" s="36">
        <v>0</v>
      </c>
      <c r="K281" s="36">
        <v>0</v>
      </c>
      <c r="L281" s="36">
        <v>0</v>
      </c>
      <c r="M281" s="36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46">
        <v>0</v>
      </c>
    </row>
    <row r="282" spans="1:44" ht="12.75">
      <c r="A282" s="34">
        <v>281</v>
      </c>
      <c r="B282" s="165">
        <v>46.12218</v>
      </c>
      <c r="C282" s="165">
        <v>-91.21583</v>
      </c>
      <c r="D282" s="10">
        <v>17.5</v>
      </c>
      <c r="E282" s="10">
        <v>0</v>
      </c>
      <c r="F282" s="149">
        <v>0</v>
      </c>
      <c r="G282" s="34">
        <v>0</v>
      </c>
      <c r="H282" s="96">
        <v>0</v>
      </c>
      <c r="I282" s="10">
        <v>0</v>
      </c>
      <c r="J282" s="36">
        <v>0</v>
      </c>
      <c r="K282" s="36">
        <v>0</v>
      </c>
      <c r="L282" s="36">
        <v>0</v>
      </c>
      <c r="M282" s="36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46">
        <v>0</v>
      </c>
    </row>
    <row r="283" spans="1:44" ht="12.75">
      <c r="A283" s="34">
        <v>282</v>
      </c>
      <c r="B283" s="165">
        <v>46.12219</v>
      </c>
      <c r="C283" s="165">
        <v>-91.21536</v>
      </c>
      <c r="D283" s="10">
        <v>22.5</v>
      </c>
      <c r="E283" s="10">
        <v>0</v>
      </c>
      <c r="F283" s="149">
        <v>0</v>
      </c>
      <c r="G283" s="34">
        <v>0</v>
      </c>
      <c r="H283" s="96">
        <v>0</v>
      </c>
      <c r="I283" s="10">
        <v>0</v>
      </c>
      <c r="J283" s="36">
        <v>0</v>
      </c>
      <c r="K283" s="36">
        <v>0</v>
      </c>
      <c r="L283" s="36">
        <v>0</v>
      </c>
      <c r="M283" s="36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46">
        <v>0</v>
      </c>
    </row>
    <row r="284" spans="1:44" ht="12.75">
      <c r="A284" s="34">
        <v>283</v>
      </c>
      <c r="B284" s="165">
        <v>46.12219</v>
      </c>
      <c r="C284" s="165">
        <v>-91.2149</v>
      </c>
      <c r="D284" s="10">
        <v>26.5</v>
      </c>
      <c r="E284" s="10">
        <v>0</v>
      </c>
      <c r="F284" s="149">
        <v>0</v>
      </c>
      <c r="G284" s="34">
        <v>0</v>
      </c>
      <c r="H284" s="96">
        <v>0</v>
      </c>
      <c r="I284" s="10">
        <v>0</v>
      </c>
      <c r="J284" s="36">
        <v>0</v>
      </c>
      <c r="K284" s="36">
        <v>0</v>
      </c>
      <c r="L284" s="36">
        <v>0</v>
      </c>
      <c r="M284" s="36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46">
        <v>0</v>
      </c>
    </row>
    <row r="285" spans="1:44" ht="12.75">
      <c r="A285" s="34">
        <v>284</v>
      </c>
      <c r="B285" s="165">
        <v>46.1222</v>
      </c>
      <c r="C285" s="165">
        <v>-91.21443</v>
      </c>
      <c r="D285" s="10">
        <v>26.5</v>
      </c>
      <c r="E285" s="10">
        <v>0</v>
      </c>
      <c r="F285" s="149">
        <v>0</v>
      </c>
      <c r="G285" s="34">
        <v>0</v>
      </c>
      <c r="H285" s="96">
        <v>0</v>
      </c>
      <c r="I285" s="10">
        <v>0</v>
      </c>
      <c r="J285" s="36">
        <v>0</v>
      </c>
      <c r="K285" s="36">
        <v>0</v>
      </c>
      <c r="L285" s="36">
        <v>0</v>
      </c>
      <c r="M285" s="36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46">
        <v>0</v>
      </c>
    </row>
    <row r="286" spans="1:44" ht="12.75">
      <c r="A286" s="34">
        <v>285</v>
      </c>
      <c r="B286" s="165">
        <v>46.1222</v>
      </c>
      <c r="C286" s="165">
        <v>-91.21396</v>
      </c>
      <c r="D286" s="10">
        <v>21</v>
      </c>
      <c r="E286" s="10">
        <v>0</v>
      </c>
      <c r="F286" s="149">
        <v>0</v>
      </c>
      <c r="G286" s="34">
        <v>0</v>
      </c>
      <c r="H286" s="96">
        <v>0</v>
      </c>
      <c r="I286" s="10">
        <v>0</v>
      </c>
      <c r="J286" s="36">
        <v>0</v>
      </c>
      <c r="K286" s="36">
        <v>0</v>
      </c>
      <c r="L286" s="36">
        <v>0</v>
      </c>
      <c r="M286" s="36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46">
        <v>0</v>
      </c>
    </row>
    <row r="287" spans="1:44" ht="12.75">
      <c r="A287" s="34">
        <v>286</v>
      </c>
      <c r="B287" s="165">
        <v>46.12221</v>
      </c>
      <c r="C287" s="165">
        <v>-91.2135</v>
      </c>
      <c r="D287" s="10">
        <v>18.5</v>
      </c>
      <c r="E287" s="10">
        <v>0</v>
      </c>
      <c r="F287" s="149">
        <v>0</v>
      </c>
      <c r="G287" s="34">
        <v>0</v>
      </c>
      <c r="H287" s="96">
        <v>0</v>
      </c>
      <c r="I287" s="10">
        <v>0</v>
      </c>
      <c r="J287" s="36">
        <v>0</v>
      </c>
      <c r="K287" s="36">
        <v>0</v>
      </c>
      <c r="L287" s="36">
        <v>0</v>
      </c>
      <c r="M287" s="36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46">
        <v>0</v>
      </c>
    </row>
    <row r="288" spans="1:44" ht="12.75">
      <c r="A288" s="34">
        <v>287</v>
      </c>
      <c r="B288" s="165">
        <v>46.12221</v>
      </c>
      <c r="C288" s="165">
        <v>-91.21303</v>
      </c>
      <c r="D288" s="10">
        <v>18.5</v>
      </c>
      <c r="E288" s="10">
        <v>0</v>
      </c>
      <c r="F288" s="149">
        <v>0</v>
      </c>
      <c r="G288" s="34">
        <v>0</v>
      </c>
      <c r="H288" s="96">
        <v>0</v>
      </c>
      <c r="I288" s="10">
        <v>0</v>
      </c>
      <c r="J288" s="36">
        <v>0</v>
      </c>
      <c r="K288" s="36">
        <v>0</v>
      </c>
      <c r="L288" s="36">
        <v>0</v>
      </c>
      <c r="M288" s="36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46">
        <v>0</v>
      </c>
    </row>
    <row r="289" spans="1:44" ht="12.75">
      <c r="A289" s="34">
        <v>288</v>
      </c>
      <c r="B289" s="165">
        <v>46.12222</v>
      </c>
      <c r="C289" s="165">
        <v>-91.21257</v>
      </c>
      <c r="D289" s="10">
        <v>21.5</v>
      </c>
      <c r="E289" s="10">
        <v>0</v>
      </c>
      <c r="F289" s="149">
        <v>0</v>
      </c>
      <c r="G289" s="34">
        <v>0</v>
      </c>
      <c r="H289" s="96">
        <v>0</v>
      </c>
      <c r="I289" s="10">
        <v>0</v>
      </c>
      <c r="J289" s="36">
        <v>0</v>
      </c>
      <c r="K289" s="36">
        <v>0</v>
      </c>
      <c r="L289" s="36">
        <v>0</v>
      </c>
      <c r="M289" s="36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46">
        <v>0</v>
      </c>
    </row>
    <row r="290" spans="1:44" ht="12.75">
      <c r="A290" s="34">
        <v>289</v>
      </c>
      <c r="B290" s="165">
        <v>46.12222</v>
      </c>
      <c r="C290" s="165">
        <v>-91.2121</v>
      </c>
      <c r="D290" s="10">
        <v>22.5</v>
      </c>
      <c r="E290" s="10">
        <v>0</v>
      </c>
      <c r="F290" s="149">
        <v>0</v>
      </c>
      <c r="G290" s="34">
        <v>0</v>
      </c>
      <c r="H290" s="96">
        <v>0</v>
      </c>
      <c r="I290" s="10">
        <v>0</v>
      </c>
      <c r="J290" s="36">
        <v>0</v>
      </c>
      <c r="K290" s="36">
        <v>0</v>
      </c>
      <c r="L290" s="36">
        <v>0</v>
      </c>
      <c r="M290" s="36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46">
        <v>0</v>
      </c>
    </row>
    <row r="291" spans="1:44" ht="12.75">
      <c r="A291" s="34">
        <v>290</v>
      </c>
      <c r="B291" s="165">
        <v>46.12223</v>
      </c>
      <c r="C291" s="165">
        <v>-91.21163</v>
      </c>
      <c r="D291" s="10">
        <v>21</v>
      </c>
      <c r="E291" s="10">
        <v>0</v>
      </c>
      <c r="F291" s="149">
        <v>0</v>
      </c>
      <c r="G291" s="34">
        <v>0</v>
      </c>
      <c r="H291" s="96">
        <v>0</v>
      </c>
      <c r="I291" s="10">
        <v>0</v>
      </c>
      <c r="J291" s="36">
        <v>0</v>
      </c>
      <c r="K291" s="36">
        <v>0</v>
      </c>
      <c r="L291" s="36">
        <v>0</v>
      </c>
      <c r="M291" s="36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46">
        <v>0</v>
      </c>
    </row>
    <row r="292" spans="1:44" ht="12.75">
      <c r="A292" s="34">
        <v>291</v>
      </c>
      <c r="B292" s="165">
        <v>46.12223</v>
      </c>
      <c r="C292" s="165">
        <v>-91.21117</v>
      </c>
      <c r="D292" s="10">
        <v>18</v>
      </c>
      <c r="E292" s="10">
        <v>0</v>
      </c>
      <c r="F292" s="149">
        <v>0</v>
      </c>
      <c r="G292" s="34">
        <v>0</v>
      </c>
      <c r="H292" s="96">
        <v>0</v>
      </c>
      <c r="I292" s="10">
        <v>0</v>
      </c>
      <c r="J292" s="36">
        <v>0</v>
      </c>
      <c r="K292" s="36">
        <v>0</v>
      </c>
      <c r="L292" s="36">
        <v>0</v>
      </c>
      <c r="M292" s="36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46">
        <v>0</v>
      </c>
    </row>
    <row r="293" spans="1:44" ht="12.75">
      <c r="A293" s="34">
        <v>292</v>
      </c>
      <c r="B293" s="165">
        <v>46.12224</v>
      </c>
      <c r="C293" s="165">
        <v>-91.2107</v>
      </c>
      <c r="D293" s="10">
        <v>17.5</v>
      </c>
      <c r="E293" s="10">
        <v>0</v>
      </c>
      <c r="F293" s="149">
        <v>0</v>
      </c>
      <c r="G293" s="34">
        <v>0</v>
      </c>
      <c r="H293" s="96">
        <v>0</v>
      </c>
      <c r="I293" s="10">
        <v>0</v>
      </c>
      <c r="J293" s="36">
        <v>0</v>
      </c>
      <c r="K293" s="36">
        <v>0</v>
      </c>
      <c r="L293" s="36">
        <v>0</v>
      </c>
      <c r="M293" s="36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46">
        <v>0</v>
      </c>
    </row>
    <row r="294" spans="1:44" ht="12.75">
      <c r="A294" s="34">
        <v>293</v>
      </c>
      <c r="B294" s="165">
        <v>46.12224</v>
      </c>
      <c r="C294" s="165">
        <v>-91.21024</v>
      </c>
      <c r="D294" s="10">
        <v>16</v>
      </c>
      <c r="E294" s="10" t="s">
        <v>563</v>
      </c>
      <c r="F294" s="149">
        <v>0</v>
      </c>
      <c r="G294" s="34">
        <v>0</v>
      </c>
      <c r="H294" s="96">
        <v>0</v>
      </c>
      <c r="I294" s="10">
        <v>0</v>
      </c>
      <c r="J294" s="36">
        <v>0</v>
      </c>
      <c r="K294" s="36">
        <v>0</v>
      </c>
      <c r="L294" s="36">
        <v>0</v>
      </c>
      <c r="M294" s="36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46">
        <v>0</v>
      </c>
    </row>
    <row r="295" spans="1:44" ht="12.75">
      <c r="A295" s="34">
        <v>294</v>
      </c>
      <c r="B295" s="165">
        <v>46.12225</v>
      </c>
      <c r="C295" s="165">
        <v>-91.20977</v>
      </c>
      <c r="D295" s="10">
        <v>14.5</v>
      </c>
      <c r="E295" s="10" t="s">
        <v>563</v>
      </c>
      <c r="F295" s="149">
        <v>0</v>
      </c>
      <c r="G295" s="34">
        <v>0</v>
      </c>
      <c r="H295" s="96">
        <v>0</v>
      </c>
      <c r="I295" s="10">
        <v>0</v>
      </c>
      <c r="J295" s="36">
        <v>0</v>
      </c>
      <c r="K295" s="36">
        <v>0</v>
      </c>
      <c r="L295" s="36">
        <v>0</v>
      </c>
      <c r="M295" s="36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46">
        <v>0</v>
      </c>
    </row>
    <row r="296" spans="1:44" ht="12.75">
      <c r="A296" s="34">
        <v>295</v>
      </c>
      <c r="B296" s="165">
        <v>46.12225</v>
      </c>
      <c r="C296" s="165">
        <v>-91.20931</v>
      </c>
      <c r="D296" s="10">
        <v>4</v>
      </c>
      <c r="E296" s="10" t="s">
        <v>563</v>
      </c>
      <c r="F296" s="149">
        <v>1</v>
      </c>
      <c r="G296" s="34">
        <v>1</v>
      </c>
      <c r="H296" s="96">
        <v>5</v>
      </c>
      <c r="I296" s="10">
        <v>3</v>
      </c>
      <c r="J296" s="36">
        <v>0</v>
      </c>
      <c r="K296" s="36">
        <v>0</v>
      </c>
      <c r="L296" s="36">
        <v>1</v>
      </c>
      <c r="M296" s="36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2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2</v>
      </c>
      <c r="AG296" s="10">
        <v>1</v>
      </c>
      <c r="AH296" s="10">
        <v>1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46">
        <v>1</v>
      </c>
    </row>
    <row r="297" spans="1:44" ht="12.75">
      <c r="A297" s="34">
        <v>296</v>
      </c>
      <c r="B297" s="165">
        <v>46.12246</v>
      </c>
      <c r="C297" s="165">
        <v>-91.22003</v>
      </c>
      <c r="D297" s="10">
        <v>4</v>
      </c>
      <c r="E297" s="10" t="s">
        <v>563</v>
      </c>
      <c r="F297" s="149">
        <v>1</v>
      </c>
      <c r="G297" s="34">
        <v>1</v>
      </c>
      <c r="H297" s="96">
        <v>5</v>
      </c>
      <c r="I297" s="10">
        <v>2</v>
      </c>
      <c r="J297" s="36">
        <v>0</v>
      </c>
      <c r="K297" s="36">
        <v>0</v>
      </c>
      <c r="L297" s="36">
        <v>0</v>
      </c>
      <c r="M297" s="36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4</v>
      </c>
      <c r="S297" s="10">
        <v>0</v>
      </c>
      <c r="T297" s="10">
        <v>1</v>
      </c>
      <c r="U297" s="10">
        <v>0</v>
      </c>
      <c r="V297" s="10">
        <v>4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1</v>
      </c>
      <c r="AD297" s="10">
        <v>0</v>
      </c>
      <c r="AE297" s="10">
        <v>1</v>
      </c>
      <c r="AF297" s="10">
        <v>0</v>
      </c>
      <c r="AG297" s="10">
        <v>2</v>
      </c>
      <c r="AH297" s="10">
        <v>2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46">
        <v>2</v>
      </c>
    </row>
    <row r="298" spans="1:44" ht="12.75">
      <c r="A298" s="34">
        <v>297</v>
      </c>
      <c r="B298" s="165">
        <v>46.12247</v>
      </c>
      <c r="C298" s="165">
        <v>-91.21956</v>
      </c>
      <c r="D298" s="10">
        <v>13</v>
      </c>
      <c r="E298" s="10" t="s">
        <v>563</v>
      </c>
      <c r="F298" s="149">
        <v>1</v>
      </c>
      <c r="G298" s="34">
        <v>0</v>
      </c>
      <c r="H298" s="96">
        <v>0</v>
      </c>
      <c r="I298" s="10">
        <v>0</v>
      </c>
      <c r="J298" s="36">
        <v>0</v>
      </c>
      <c r="K298" s="36">
        <v>0</v>
      </c>
      <c r="L298" s="36">
        <v>0</v>
      </c>
      <c r="M298" s="36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46">
        <v>0</v>
      </c>
    </row>
    <row r="299" spans="1:44" ht="12.75">
      <c r="A299" s="34">
        <v>298</v>
      </c>
      <c r="B299" s="165">
        <v>46.12247</v>
      </c>
      <c r="C299" s="165">
        <v>-91.2191</v>
      </c>
      <c r="D299" s="10">
        <v>16</v>
      </c>
      <c r="E299" s="10" t="s">
        <v>563</v>
      </c>
      <c r="F299" s="149">
        <v>0</v>
      </c>
      <c r="G299" s="34">
        <v>0</v>
      </c>
      <c r="H299" s="96">
        <v>0</v>
      </c>
      <c r="I299" s="10">
        <v>0</v>
      </c>
      <c r="J299" s="36">
        <v>0</v>
      </c>
      <c r="K299" s="36">
        <v>0</v>
      </c>
      <c r="L299" s="36">
        <v>0</v>
      </c>
      <c r="M299" s="36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46">
        <v>0</v>
      </c>
    </row>
    <row r="300" spans="1:44" ht="12.75">
      <c r="A300" s="34">
        <v>299</v>
      </c>
      <c r="B300" s="165">
        <v>46.12248</v>
      </c>
      <c r="C300" s="165">
        <v>-91.21863</v>
      </c>
      <c r="D300" s="10">
        <v>15.5</v>
      </c>
      <c r="E300" s="10" t="s">
        <v>563</v>
      </c>
      <c r="F300" s="149">
        <v>0</v>
      </c>
      <c r="G300" s="34">
        <v>0</v>
      </c>
      <c r="H300" s="96">
        <v>0</v>
      </c>
      <c r="I300" s="10">
        <v>0</v>
      </c>
      <c r="J300" s="36">
        <v>0</v>
      </c>
      <c r="K300" s="36">
        <v>0</v>
      </c>
      <c r="L300" s="36">
        <v>0</v>
      </c>
      <c r="M300" s="36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46">
        <v>0</v>
      </c>
    </row>
    <row r="301" spans="1:44" ht="12.75">
      <c r="A301" s="34">
        <v>300</v>
      </c>
      <c r="B301" s="165">
        <v>46.12248</v>
      </c>
      <c r="C301" s="165">
        <v>-91.21816</v>
      </c>
      <c r="D301" s="10">
        <v>16</v>
      </c>
      <c r="E301" s="10" t="s">
        <v>563</v>
      </c>
      <c r="F301" s="149">
        <v>0</v>
      </c>
      <c r="G301" s="34">
        <v>0</v>
      </c>
      <c r="H301" s="96">
        <v>0</v>
      </c>
      <c r="I301" s="10">
        <v>0</v>
      </c>
      <c r="J301" s="36">
        <v>0</v>
      </c>
      <c r="K301" s="36">
        <v>0</v>
      </c>
      <c r="L301" s="36">
        <v>0</v>
      </c>
      <c r="M301" s="36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46">
        <v>0</v>
      </c>
    </row>
    <row r="302" spans="1:44" ht="12.75">
      <c r="A302" s="34">
        <v>301</v>
      </c>
      <c r="B302" s="165">
        <v>46.12249</v>
      </c>
      <c r="C302" s="165">
        <v>-91.2177</v>
      </c>
      <c r="D302" s="10">
        <v>17</v>
      </c>
      <c r="E302" s="10">
        <v>0</v>
      </c>
      <c r="F302" s="149">
        <v>0</v>
      </c>
      <c r="G302" s="34">
        <v>0</v>
      </c>
      <c r="H302" s="96">
        <v>0</v>
      </c>
      <c r="I302" s="10">
        <v>0</v>
      </c>
      <c r="J302" s="36">
        <v>0</v>
      </c>
      <c r="K302" s="36">
        <v>0</v>
      </c>
      <c r="L302" s="36">
        <v>0</v>
      </c>
      <c r="M302" s="36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46">
        <v>0</v>
      </c>
    </row>
    <row r="303" spans="1:44" ht="12.75">
      <c r="A303" s="34">
        <v>302</v>
      </c>
      <c r="B303" s="165">
        <v>46.12249</v>
      </c>
      <c r="C303" s="165">
        <v>-91.21723</v>
      </c>
      <c r="D303" s="10">
        <v>16.5</v>
      </c>
      <c r="E303" s="10">
        <v>0</v>
      </c>
      <c r="F303" s="149">
        <v>0</v>
      </c>
      <c r="G303" s="34">
        <v>0</v>
      </c>
      <c r="H303" s="96">
        <v>0</v>
      </c>
      <c r="I303" s="10">
        <v>0</v>
      </c>
      <c r="J303" s="36">
        <v>0</v>
      </c>
      <c r="K303" s="36">
        <v>0</v>
      </c>
      <c r="L303" s="36">
        <v>0</v>
      </c>
      <c r="M303" s="36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46">
        <v>0</v>
      </c>
    </row>
    <row r="304" spans="1:44" ht="12.75">
      <c r="A304" s="34">
        <v>303</v>
      </c>
      <c r="B304" s="165">
        <v>46.1225</v>
      </c>
      <c r="C304" s="165">
        <v>-91.21677</v>
      </c>
      <c r="D304" s="10">
        <v>15.5</v>
      </c>
      <c r="E304" s="10" t="s">
        <v>563</v>
      </c>
      <c r="F304" s="149">
        <v>0</v>
      </c>
      <c r="G304" s="34">
        <v>0</v>
      </c>
      <c r="H304" s="96">
        <v>0</v>
      </c>
      <c r="I304" s="10">
        <v>0</v>
      </c>
      <c r="J304" s="36">
        <v>0</v>
      </c>
      <c r="K304" s="36">
        <v>0</v>
      </c>
      <c r="L304" s="36">
        <v>0</v>
      </c>
      <c r="M304" s="36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46">
        <v>0</v>
      </c>
    </row>
    <row r="305" spans="1:44" ht="12.75">
      <c r="A305" s="34">
        <v>304</v>
      </c>
      <c r="B305" s="165">
        <v>46.1225</v>
      </c>
      <c r="C305" s="165">
        <v>-91.2163</v>
      </c>
      <c r="D305" s="10">
        <v>11</v>
      </c>
      <c r="E305" s="10" t="s">
        <v>563</v>
      </c>
      <c r="F305" s="149">
        <v>1</v>
      </c>
      <c r="G305" s="34">
        <v>0</v>
      </c>
      <c r="H305" s="96">
        <v>0</v>
      </c>
      <c r="I305" s="10">
        <v>0</v>
      </c>
      <c r="J305" s="36">
        <v>0</v>
      </c>
      <c r="K305" s="36">
        <v>0</v>
      </c>
      <c r="L305" s="36">
        <v>0</v>
      </c>
      <c r="M305" s="36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46">
        <v>0</v>
      </c>
    </row>
    <row r="306" spans="1:44" ht="12.75">
      <c r="A306" s="34">
        <v>305</v>
      </c>
      <c r="B306" s="165">
        <v>46.12251</v>
      </c>
      <c r="C306" s="165">
        <v>-91.21583</v>
      </c>
      <c r="D306" s="10">
        <v>13</v>
      </c>
      <c r="E306" s="10" t="s">
        <v>563</v>
      </c>
      <c r="F306" s="149">
        <v>1</v>
      </c>
      <c r="G306" s="34">
        <v>0</v>
      </c>
      <c r="H306" s="96">
        <v>0</v>
      </c>
      <c r="I306" s="10">
        <v>0</v>
      </c>
      <c r="J306" s="36">
        <v>0</v>
      </c>
      <c r="K306" s="36">
        <v>0</v>
      </c>
      <c r="L306" s="36">
        <v>0</v>
      </c>
      <c r="M306" s="36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46">
        <v>0</v>
      </c>
    </row>
    <row r="307" spans="1:44" ht="12.75">
      <c r="A307" s="34">
        <v>306</v>
      </c>
      <c r="B307" s="165">
        <v>46.12251</v>
      </c>
      <c r="C307" s="165">
        <v>-91.21537</v>
      </c>
      <c r="D307" s="10">
        <v>19.5</v>
      </c>
      <c r="E307" s="10">
        <v>0</v>
      </c>
      <c r="F307" s="149">
        <v>0</v>
      </c>
      <c r="G307" s="34">
        <v>0</v>
      </c>
      <c r="H307" s="96">
        <v>0</v>
      </c>
      <c r="I307" s="10">
        <v>0</v>
      </c>
      <c r="J307" s="36">
        <v>0</v>
      </c>
      <c r="K307" s="36">
        <v>0</v>
      </c>
      <c r="L307" s="36">
        <v>0</v>
      </c>
      <c r="M307" s="36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46">
        <v>0</v>
      </c>
    </row>
    <row r="308" spans="1:44" ht="12.75">
      <c r="A308" s="34">
        <v>307</v>
      </c>
      <c r="B308" s="165">
        <v>46.12252</v>
      </c>
      <c r="C308" s="165">
        <v>-91.2149</v>
      </c>
      <c r="D308" s="10">
        <v>26</v>
      </c>
      <c r="E308" s="10">
        <v>0</v>
      </c>
      <c r="F308" s="149">
        <v>0</v>
      </c>
      <c r="G308" s="34">
        <v>0</v>
      </c>
      <c r="H308" s="96">
        <v>0</v>
      </c>
      <c r="I308" s="10">
        <v>0</v>
      </c>
      <c r="J308" s="36">
        <v>0</v>
      </c>
      <c r="K308" s="36">
        <v>0</v>
      </c>
      <c r="L308" s="36">
        <v>0</v>
      </c>
      <c r="M308" s="36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46">
        <v>0</v>
      </c>
    </row>
    <row r="309" spans="1:44" ht="12.75">
      <c r="A309" s="34">
        <v>308</v>
      </c>
      <c r="B309" s="165">
        <v>46.12252</v>
      </c>
      <c r="C309" s="165">
        <v>-91.21444</v>
      </c>
      <c r="D309" s="10">
        <v>26</v>
      </c>
      <c r="E309" s="10">
        <v>0</v>
      </c>
      <c r="F309" s="149">
        <v>0</v>
      </c>
      <c r="G309" s="34">
        <v>0</v>
      </c>
      <c r="H309" s="96">
        <v>0</v>
      </c>
      <c r="I309" s="10">
        <v>0</v>
      </c>
      <c r="J309" s="36">
        <v>0</v>
      </c>
      <c r="K309" s="36">
        <v>0</v>
      </c>
      <c r="L309" s="36">
        <v>0</v>
      </c>
      <c r="M309" s="36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46">
        <v>0</v>
      </c>
    </row>
    <row r="310" spans="1:44" ht="12.75">
      <c r="A310" s="34">
        <v>309</v>
      </c>
      <c r="B310" s="165">
        <v>46.12253</v>
      </c>
      <c r="C310" s="165">
        <v>-91.21397</v>
      </c>
      <c r="D310" s="10">
        <v>18</v>
      </c>
      <c r="E310" s="10">
        <v>0</v>
      </c>
      <c r="F310" s="149">
        <v>0</v>
      </c>
      <c r="G310" s="34">
        <v>0</v>
      </c>
      <c r="H310" s="96">
        <v>0</v>
      </c>
      <c r="I310" s="10">
        <v>0</v>
      </c>
      <c r="J310" s="36">
        <v>0</v>
      </c>
      <c r="K310" s="36">
        <v>0</v>
      </c>
      <c r="L310" s="36">
        <v>0</v>
      </c>
      <c r="M310" s="36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46">
        <v>0</v>
      </c>
    </row>
    <row r="311" spans="1:44" ht="12.75">
      <c r="A311" s="34">
        <v>310</v>
      </c>
      <c r="B311" s="165">
        <v>46.12253</v>
      </c>
      <c r="C311" s="165">
        <v>-91.21351</v>
      </c>
      <c r="D311" s="10">
        <v>16</v>
      </c>
      <c r="E311" s="10" t="s">
        <v>563</v>
      </c>
      <c r="F311" s="149">
        <v>0</v>
      </c>
      <c r="G311" s="34">
        <v>0</v>
      </c>
      <c r="H311" s="96">
        <v>0</v>
      </c>
      <c r="I311" s="10">
        <v>0</v>
      </c>
      <c r="J311" s="36">
        <v>0</v>
      </c>
      <c r="K311" s="36">
        <v>0</v>
      </c>
      <c r="L311" s="36">
        <v>0</v>
      </c>
      <c r="M311" s="36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46">
        <v>0</v>
      </c>
    </row>
    <row r="312" spans="1:44" ht="12.75">
      <c r="A312" s="34">
        <v>311</v>
      </c>
      <c r="B312" s="165">
        <v>46.12254</v>
      </c>
      <c r="C312" s="165">
        <v>-91.21304</v>
      </c>
      <c r="D312" s="10">
        <v>16.5</v>
      </c>
      <c r="E312" s="10">
        <v>0</v>
      </c>
      <c r="F312" s="149">
        <v>0</v>
      </c>
      <c r="G312" s="34">
        <v>0</v>
      </c>
      <c r="H312" s="96">
        <v>0</v>
      </c>
      <c r="I312" s="10">
        <v>0</v>
      </c>
      <c r="J312" s="36">
        <v>0</v>
      </c>
      <c r="K312" s="36">
        <v>0</v>
      </c>
      <c r="L312" s="36">
        <v>0</v>
      </c>
      <c r="M312" s="36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46">
        <v>0</v>
      </c>
    </row>
    <row r="313" spans="1:44" ht="12.75">
      <c r="A313" s="34">
        <v>312</v>
      </c>
      <c r="B313" s="165">
        <v>46.12254</v>
      </c>
      <c r="C313" s="165">
        <v>-91.21257</v>
      </c>
      <c r="D313" s="10">
        <v>19.5</v>
      </c>
      <c r="E313" s="10">
        <v>0</v>
      </c>
      <c r="F313" s="149">
        <v>0</v>
      </c>
      <c r="G313" s="34">
        <v>0</v>
      </c>
      <c r="H313" s="96">
        <v>0</v>
      </c>
      <c r="I313" s="10">
        <v>0</v>
      </c>
      <c r="J313" s="36">
        <v>0</v>
      </c>
      <c r="K313" s="36">
        <v>0</v>
      </c>
      <c r="L313" s="36">
        <v>0</v>
      </c>
      <c r="M313" s="36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46">
        <v>0</v>
      </c>
    </row>
    <row r="314" spans="1:44" ht="12.75">
      <c r="A314" s="34">
        <v>313</v>
      </c>
      <c r="B314" s="165">
        <v>46.12255</v>
      </c>
      <c r="C314" s="165">
        <v>-91.21211</v>
      </c>
      <c r="D314" s="10">
        <v>19.5</v>
      </c>
      <c r="E314" s="10">
        <v>0</v>
      </c>
      <c r="F314" s="149">
        <v>0</v>
      </c>
      <c r="G314" s="34">
        <v>0</v>
      </c>
      <c r="H314" s="96">
        <v>0</v>
      </c>
      <c r="I314" s="10">
        <v>0</v>
      </c>
      <c r="J314" s="36">
        <v>0</v>
      </c>
      <c r="K314" s="36">
        <v>0</v>
      </c>
      <c r="L314" s="36">
        <v>0</v>
      </c>
      <c r="M314" s="36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46">
        <v>0</v>
      </c>
    </row>
    <row r="315" spans="1:44" ht="12.75">
      <c r="A315" s="34">
        <v>314</v>
      </c>
      <c r="B315" s="165">
        <v>46.12255</v>
      </c>
      <c r="C315" s="165">
        <v>-91.21164</v>
      </c>
      <c r="D315" s="10">
        <v>18.5</v>
      </c>
      <c r="E315" s="10">
        <v>0</v>
      </c>
      <c r="F315" s="149">
        <v>0</v>
      </c>
      <c r="G315" s="34">
        <v>0</v>
      </c>
      <c r="H315" s="96">
        <v>0</v>
      </c>
      <c r="I315" s="10">
        <v>0</v>
      </c>
      <c r="J315" s="36">
        <v>0</v>
      </c>
      <c r="K315" s="36">
        <v>0</v>
      </c>
      <c r="L315" s="36">
        <v>0</v>
      </c>
      <c r="M315" s="36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46">
        <v>0</v>
      </c>
    </row>
    <row r="316" spans="1:44" ht="12.75">
      <c r="A316" s="34">
        <v>315</v>
      </c>
      <c r="B316" s="165">
        <v>46.12256</v>
      </c>
      <c r="C316" s="165">
        <v>-91.21118</v>
      </c>
      <c r="D316" s="10">
        <v>16.5</v>
      </c>
      <c r="E316" s="10">
        <v>0</v>
      </c>
      <c r="F316" s="149">
        <v>0</v>
      </c>
      <c r="G316" s="34">
        <v>0</v>
      </c>
      <c r="H316" s="96">
        <v>0</v>
      </c>
      <c r="I316" s="10">
        <v>0</v>
      </c>
      <c r="J316" s="36">
        <v>0</v>
      </c>
      <c r="K316" s="36">
        <v>0</v>
      </c>
      <c r="L316" s="36">
        <v>0</v>
      </c>
      <c r="M316" s="36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46">
        <v>0</v>
      </c>
    </row>
    <row r="317" spans="1:44" ht="12.75">
      <c r="A317" s="34">
        <v>316</v>
      </c>
      <c r="B317" s="165">
        <v>46.12256</v>
      </c>
      <c r="C317" s="165">
        <v>-91.21071</v>
      </c>
      <c r="D317" s="10">
        <v>14.5</v>
      </c>
      <c r="E317" s="10" t="s">
        <v>563</v>
      </c>
      <c r="F317" s="149">
        <v>0</v>
      </c>
      <c r="G317" s="34">
        <v>0</v>
      </c>
      <c r="H317" s="96">
        <v>0</v>
      </c>
      <c r="I317" s="10">
        <v>0</v>
      </c>
      <c r="J317" s="36">
        <v>0</v>
      </c>
      <c r="K317" s="36">
        <v>0</v>
      </c>
      <c r="L317" s="36">
        <v>0</v>
      </c>
      <c r="M317" s="36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46">
        <v>0</v>
      </c>
    </row>
    <row r="318" spans="1:44" ht="12.75">
      <c r="A318" s="34">
        <v>317</v>
      </c>
      <c r="B318" s="165">
        <v>46.12257</v>
      </c>
      <c r="C318" s="165">
        <v>-91.21024</v>
      </c>
      <c r="D318" s="10">
        <v>13.5</v>
      </c>
      <c r="E318" s="10" t="s">
        <v>563</v>
      </c>
      <c r="F318" s="149">
        <v>1</v>
      </c>
      <c r="G318" s="34">
        <v>0</v>
      </c>
      <c r="H318" s="96">
        <v>0</v>
      </c>
      <c r="I318" s="10">
        <v>0</v>
      </c>
      <c r="J318" s="36">
        <v>0</v>
      </c>
      <c r="K318" s="36">
        <v>0</v>
      </c>
      <c r="L318" s="36">
        <v>0</v>
      </c>
      <c r="M318" s="36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46">
        <v>0</v>
      </c>
    </row>
    <row r="319" spans="1:44" ht="12.75">
      <c r="A319" s="34">
        <v>318</v>
      </c>
      <c r="B319" s="165">
        <v>46.12257</v>
      </c>
      <c r="C319" s="165">
        <v>-91.20978</v>
      </c>
      <c r="D319" s="10">
        <v>9.5</v>
      </c>
      <c r="E319" s="10" t="s">
        <v>563</v>
      </c>
      <c r="F319" s="149">
        <v>1</v>
      </c>
      <c r="G319" s="34">
        <v>1</v>
      </c>
      <c r="H319" s="96">
        <v>1</v>
      </c>
      <c r="I319" s="10">
        <v>1</v>
      </c>
      <c r="J319" s="36">
        <v>0</v>
      </c>
      <c r="K319" s="36">
        <v>0</v>
      </c>
      <c r="L319" s="36">
        <v>1</v>
      </c>
      <c r="M319" s="36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46">
        <v>0</v>
      </c>
    </row>
    <row r="320" spans="1:44" ht="12.75">
      <c r="A320" s="34">
        <v>319</v>
      </c>
      <c r="B320" s="165">
        <v>46.12258</v>
      </c>
      <c r="C320" s="165">
        <v>-91.20931</v>
      </c>
      <c r="D320" s="10">
        <v>3.5</v>
      </c>
      <c r="E320" s="10" t="s">
        <v>563</v>
      </c>
      <c r="F320" s="149">
        <v>1</v>
      </c>
      <c r="G320" s="34">
        <v>1</v>
      </c>
      <c r="H320" s="96">
        <v>7</v>
      </c>
      <c r="I320" s="10">
        <v>3</v>
      </c>
      <c r="J320" s="36">
        <v>0</v>
      </c>
      <c r="K320" s="36">
        <v>0</v>
      </c>
      <c r="L320" s="36">
        <v>1</v>
      </c>
      <c r="M320" s="36">
        <v>0</v>
      </c>
      <c r="N320" s="10">
        <v>0</v>
      </c>
      <c r="O320" s="10">
        <v>0</v>
      </c>
      <c r="P320" s="10">
        <v>1</v>
      </c>
      <c r="Q320" s="10">
        <v>1</v>
      </c>
      <c r="R320" s="10">
        <v>0</v>
      </c>
      <c r="S320" s="10">
        <v>0</v>
      </c>
      <c r="T320" s="10">
        <v>1</v>
      </c>
      <c r="U320" s="10">
        <v>0</v>
      </c>
      <c r="V320" s="10">
        <v>0</v>
      </c>
      <c r="W320" s="10">
        <v>1</v>
      </c>
      <c r="X320" s="10">
        <v>0</v>
      </c>
      <c r="Y320" s="10">
        <v>4</v>
      </c>
      <c r="Z320" s="10">
        <v>0</v>
      </c>
      <c r="AA320" s="10">
        <v>0</v>
      </c>
      <c r="AB320" s="10">
        <v>0</v>
      </c>
      <c r="AC320" s="10">
        <v>3</v>
      </c>
      <c r="AD320" s="10">
        <v>0</v>
      </c>
      <c r="AE320" s="10">
        <v>0</v>
      </c>
      <c r="AF320" s="10">
        <v>0</v>
      </c>
      <c r="AG320" s="10">
        <v>4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1</v>
      </c>
      <c r="AP320" s="10">
        <v>0</v>
      </c>
      <c r="AQ320" s="10">
        <v>0</v>
      </c>
      <c r="AR320" s="146">
        <v>0</v>
      </c>
    </row>
    <row r="321" spans="1:44" ht="12.75">
      <c r="A321" s="34">
        <v>320</v>
      </c>
      <c r="B321" s="165">
        <v>46.12279</v>
      </c>
      <c r="C321" s="165">
        <v>-91.22003</v>
      </c>
      <c r="D321" s="10">
        <v>4</v>
      </c>
      <c r="E321" s="10" t="s">
        <v>563</v>
      </c>
      <c r="F321" s="149">
        <v>1</v>
      </c>
      <c r="G321" s="34">
        <v>1</v>
      </c>
      <c r="H321" s="96">
        <v>8</v>
      </c>
      <c r="I321" s="10">
        <v>3</v>
      </c>
      <c r="J321" s="36">
        <v>1</v>
      </c>
      <c r="K321" s="36">
        <v>2</v>
      </c>
      <c r="L321" s="36">
        <v>0</v>
      </c>
      <c r="M321" s="36">
        <v>0</v>
      </c>
      <c r="N321" s="10">
        <v>0</v>
      </c>
      <c r="O321" s="10">
        <v>0</v>
      </c>
      <c r="P321" s="10">
        <v>0</v>
      </c>
      <c r="Q321" s="10">
        <v>1</v>
      </c>
      <c r="R321" s="10">
        <v>0</v>
      </c>
      <c r="S321" s="10">
        <v>0</v>
      </c>
      <c r="T321" s="10">
        <v>1</v>
      </c>
      <c r="U321" s="10">
        <v>0</v>
      </c>
      <c r="V321" s="10">
        <v>2</v>
      </c>
      <c r="W321" s="10">
        <v>2</v>
      </c>
      <c r="X321" s="10">
        <v>0</v>
      </c>
      <c r="Y321" s="10">
        <v>4</v>
      </c>
      <c r="Z321" s="10">
        <v>0</v>
      </c>
      <c r="AA321" s="10">
        <v>0</v>
      </c>
      <c r="AB321" s="10">
        <v>0</v>
      </c>
      <c r="AC321" s="10">
        <v>1</v>
      </c>
      <c r="AD321" s="10">
        <v>4</v>
      </c>
      <c r="AE321" s="10">
        <v>0</v>
      </c>
      <c r="AF321" s="10">
        <v>0</v>
      </c>
      <c r="AG321" s="10">
        <v>3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46">
        <v>0</v>
      </c>
    </row>
    <row r="322" spans="1:44" ht="12.75">
      <c r="A322" s="34">
        <v>321</v>
      </c>
      <c r="B322" s="165">
        <v>46.12279</v>
      </c>
      <c r="C322" s="165">
        <v>-91.21957</v>
      </c>
      <c r="D322" s="10">
        <v>11.5</v>
      </c>
      <c r="E322" s="10" t="s">
        <v>563</v>
      </c>
      <c r="F322" s="149">
        <v>1</v>
      </c>
      <c r="G322" s="34">
        <v>0</v>
      </c>
      <c r="H322" s="96">
        <v>0</v>
      </c>
      <c r="I322" s="10">
        <v>0</v>
      </c>
      <c r="J322" s="36">
        <v>0</v>
      </c>
      <c r="K322" s="36">
        <v>0</v>
      </c>
      <c r="L322" s="36">
        <v>0</v>
      </c>
      <c r="M322" s="36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46">
        <v>0</v>
      </c>
    </row>
    <row r="323" spans="1:44" ht="12.75">
      <c r="A323" s="34">
        <v>322</v>
      </c>
      <c r="B323" s="165">
        <v>46.1228</v>
      </c>
      <c r="C323" s="165">
        <v>-91.2191</v>
      </c>
      <c r="D323" s="10">
        <v>13</v>
      </c>
      <c r="E323" s="10" t="s">
        <v>563</v>
      </c>
      <c r="F323" s="149">
        <v>1</v>
      </c>
      <c r="G323" s="34">
        <v>0</v>
      </c>
      <c r="H323" s="96">
        <v>0</v>
      </c>
      <c r="I323" s="10">
        <v>0</v>
      </c>
      <c r="J323" s="36">
        <v>0</v>
      </c>
      <c r="K323" s="36">
        <v>0</v>
      </c>
      <c r="L323" s="36">
        <v>0</v>
      </c>
      <c r="M323" s="36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46">
        <v>0</v>
      </c>
    </row>
    <row r="324" spans="1:44" ht="12.75">
      <c r="A324" s="34">
        <v>323</v>
      </c>
      <c r="B324" s="165">
        <v>46.1228</v>
      </c>
      <c r="C324" s="165">
        <v>-91.21864</v>
      </c>
      <c r="D324" s="10">
        <v>12</v>
      </c>
      <c r="E324" s="10" t="s">
        <v>563</v>
      </c>
      <c r="F324" s="149">
        <v>1</v>
      </c>
      <c r="G324" s="34">
        <v>1</v>
      </c>
      <c r="H324" s="96">
        <v>1</v>
      </c>
      <c r="I324" s="10">
        <v>1</v>
      </c>
      <c r="J324" s="36">
        <v>0</v>
      </c>
      <c r="K324" s="36">
        <v>0</v>
      </c>
      <c r="L324" s="36">
        <v>1</v>
      </c>
      <c r="M324" s="36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46">
        <v>0</v>
      </c>
    </row>
    <row r="325" spans="1:44" ht="12.75">
      <c r="A325" s="34">
        <v>324</v>
      </c>
      <c r="B325" s="165">
        <v>46.12281</v>
      </c>
      <c r="C325" s="165">
        <v>-91.21817</v>
      </c>
      <c r="D325" s="10">
        <v>13</v>
      </c>
      <c r="E325" s="10" t="s">
        <v>563</v>
      </c>
      <c r="F325" s="149">
        <v>1</v>
      </c>
      <c r="G325" s="34">
        <v>0</v>
      </c>
      <c r="H325" s="96">
        <v>0</v>
      </c>
      <c r="I325" s="10">
        <v>0</v>
      </c>
      <c r="J325" s="36">
        <v>0</v>
      </c>
      <c r="K325" s="36">
        <v>0</v>
      </c>
      <c r="L325" s="36">
        <v>0</v>
      </c>
      <c r="M325" s="36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46">
        <v>0</v>
      </c>
    </row>
    <row r="326" spans="1:44" ht="12.75">
      <c r="A326" s="34">
        <v>325</v>
      </c>
      <c r="B326" s="165">
        <v>46.12281</v>
      </c>
      <c r="C326" s="165">
        <v>-91.2177</v>
      </c>
      <c r="D326" s="10">
        <v>13.5</v>
      </c>
      <c r="E326" s="10" t="s">
        <v>563</v>
      </c>
      <c r="F326" s="149">
        <v>1</v>
      </c>
      <c r="G326" s="34">
        <v>0</v>
      </c>
      <c r="H326" s="96">
        <v>0</v>
      </c>
      <c r="I326" s="10">
        <v>0</v>
      </c>
      <c r="J326" s="36">
        <v>0</v>
      </c>
      <c r="K326" s="36">
        <v>0</v>
      </c>
      <c r="L326" s="36">
        <v>0</v>
      </c>
      <c r="M326" s="36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46">
        <v>0</v>
      </c>
    </row>
    <row r="327" spans="1:44" ht="12.75">
      <c r="A327" s="34">
        <v>326</v>
      </c>
      <c r="B327" s="165">
        <v>46.12282</v>
      </c>
      <c r="C327" s="165">
        <v>-91.21724</v>
      </c>
      <c r="D327" s="10">
        <v>14.5</v>
      </c>
      <c r="E327" s="10" t="s">
        <v>563</v>
      </c>
      <c r="F327" s="149">
        <v>0</v>
      </c>
      <c r="G327" s="34">
        <v>0</v>
      </c>
      <c r="H327" s="96">
        <v>0</v>
      </c>
      <c r="I327" s="10">
        <v>0</v>
      </c>
      <c r="J327" s="36">
        <v>0</v>
      </c>
      <c r="K327" s="36">
        <v>0</v>
      </c>
      <c r="L327" s="36">
        <v>0</v>
      </c>
      <c r="M327" s="36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46">
        <v>0</v>
      </c>
    </row>
    <row r="328" spans="1:44" ht="12.75">
      <c r="A328" s="34">
        <v>327</v>
      </c>
      <c r="B328" s="165">
        <v>46.12282</v>
      </c>
      <c r="C328" s="165">
        <v>-91.21677</v>
      </c>
      <c r="D328" s="10">
        <v>16.5</v>
      </c>
      <c r="E328" s="10">
        <v>0</v>
      </c>
      <c r="F328" s="149">
        <v>0</v>
      </c>
      <c r="G328" s="34">
        <v>0</v>
      </c>
      <c r="H328" s="96">
        <v>0</v>
      </c>
      <c r="I328" s="10">
        <v>0</v>
      </c>
      <c r="J328" s="36">
        <v>0</v>
      </c>
      <c r="K328" s="36">
        <v>0</v>
      </c>
      <c r="L328" s="36">
        <v>0</v>
      </c>
      <c r="M328" s="36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46">
        <v>0</v>
      </c>
    </row>
    <row r="329" spans="1:44" ht="12.75">
      <c r="A329" s="34">
        <v>328</v>
      </c>
      <c r="B329" s="165">
        <v>46.12283</v>
      </c>
      <c r="C329" s="165">
        <v>-91.21631</v>
      </c>
      <c r="D329" s="10">
        <v>10</v>
      </c>
      <c r="E329" s="10" t="s">
        <v>563</v>
      </c>
      <c r="F329" s="149">
        <v>1</v>
      </c>
      <c r="G329" s="34">
        <v>1</v>
      </c>
      <c r="H329" s="96">
        <v>2</v>
      </c>
      <c r="I329" s="10">
        <v>1</v>
      </c>
      <c r="J329" s="36">
        <v>0</v>
      </c>
      <c r="K329" s="36">
        <v>0</v>
      </c>
      <c r="L329" s="36">
        <v>1</v>
      </c>
      <c r="M329" s="36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1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46">
        <v>0</v>
      </c>
    </row>
    <row r="330" spans="1:44" ht="12.75">
      <c r="A330" s="34">
        <v>329</v>
      </c>
      <c r="B330" s="165">
        <v>46.12283</v>
      </c>
      <c r="C330" s="165">
        <v>-91.21584</v>
      </c>
      <c r="D330" s="10">
        <v>5</v>
      </c>
      <c r="E330" s="10" t="s">
        <v>563</v>
      </c>
      <c r="F330" s="149">
        <v>1</v>
      </c>
      <c r="G330" s="34">
        <v>1</v>
      </c>
      <c r="H330" s="96">
        <v>4</v>
      </c>
      <c r="I330" s="10">
        <v>3</v>
      </c>
      <c r="J330" s="36">
        <v>0</v>
      </c>
      <c r="K330" s="36">
        <v>0</v>
      </c>
      <c r="L330" s="36">
        <v>1</v>
      </c>
      <c r="M330" s="36">
        <v>3</v>
      </c>
      <c r="N330" s="10">
        <v>0</v>
      </c>
      <c r="O330" s="10">
        <v>0</v>
      </c>
      <c r="P330" s="10">
        <v>0</v>
      </c>
      <c r="Q330" s="10">
        <v>0</v>
      </c>
      <c r="R330" s="10">
        <v>1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1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46">
        <v>0</v>
      </c>
    </row>
    <row r="331" spans="1:44" ht="12.75">
      <c r="A331" s="34">
        <v>330</v>
      </c>
      <c r="B331" s="165">
        <v>46.12284</v>
      </c>
      <c r="C331" s="165">
        <v>-91.21538</v>
      </c>
      <c r="D331" s="10">
        <v>16</v>
      </c>
      <c r="E331" s="10" t="s">
        <v>563</v>
      </c>
      <c r="F331" s="149">
        <v>0</v>
      </c>
      <c r="G331" s="34">
        <v>0</v>
      </c>
      <c r="H331" s="96">
        <v>0</v>
      </c>
      <c r="I331" s="10">
        <v>0</v>
      </c>
      <c r="J331" s="36">
        <v>0</v>
      </c>
      <c r="K331" s="36">
        <v>0</v>
      </c>
      <c r="L331" s="36">
        <v>0</v>
      </c>
      <c r="M331" s="36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46">
        <v>0</v>
      </c>
    </row>
    <row r="332" spans="1:44" ht="12.75">
      <c r="A332" s="34">
        <v>331</v>
      </c>
      <c r="B332" s="165">
        <v>46.12284</v>
      </c>
      <c r="C332" s="165">
        <v>-91.21491</v>
      </c>
      <c r="D332" s="10">
        <v>23.5</v>
      </c>
      <c r="E332" s="10">
        <v>0</v>
      </c>
      <c r="F332" s="149">
        <v>0</v>
      </c>
      <c r="G332" s="34">
        <v>0</v>
      </c>
      <c r="H332" s="96">
        <v>0</v>
      </c>
      <c r="I332" s="10">
        <v>0</v>
      </c>
      <c r="J332" s="36">
        <v>0</v>
      </c>
      <c r="K332" s="36">
        <v>0</v>
      </c>
      <c r="L332" s="36">
        <v>0</v>
      </c>
      <c r="M332" s="36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46">
        <v>0</v>
      </c>
    </row>
    <row r="333" spans="1:44" ht="12.75">
      <c r="A333" s="34">
        <v>332</v>
      </c>
      <c r="B333" s="165">
        <v>46.12285</v>
      </c>
      <c r="C333" s="165">
        <v>-91.21444</v>
      </c>
      <c r="D333" s="10">
        <v>25</v>
      </c>
      <c r="E333" s="10">
        <v>0</v>
      </c>
      <c r="F333" s="149">
        <v>0</v>
      </c>
      <c r="G333" s="34">
        <v>0</v>
      </c>
      <c r="H333" s="96">
        <v>0</v>
      </c>
      <c r="I333" s="10">
        <v>0</v>
      </c>
      <c r="J333" s="36">
        <v>0</v>
      </c>
      <c r="K333" s="36">
        <v>0</v>
      </c>
      <c r="L333" s="36">
        <v>0</v>
      </c>
      <c r="M333" s="36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46">
        <v>0</v>
      </c>
    </row>
    <row r="334" spans="1:44" ht="12.75">
      <c r="A334" s="34">
        <v>333</v>
      </c>
      <c r="B334" s="165">
        <v>46.12285</v>
      </c>
      <c r="C334" s="165">
        <v>-91.21398</v>
      </c>
      <c r="D334" s="10">
        <v>15</v>
      </c>
      <c r="E334" s="10" t="s">
        <v>563</v>
      </c>
      <c r="F334" s="149">
        <v>0</v>
      </c>
      <c r="G334" s="34">
        <v>0</v>
      </c>
      <c r="H334" s="96">
        <v>0</v>
      </c>
      <c r="I334" s="10">
        <v>0</v>
      </c>
      <c r="J334" s="36">
        <v>0</v>
      </c>
      <c r="K334" s="36">
        <v>0</v>
      </c>
      <c r="L334" s="36">
        <v>0</v>
      </c>
      <c r="M334" s="36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46">
        <v>0</v>
      </c>
    </row>
    <row r="335" spans="1:44" ht="12.75">
      <c r="A335" s="34">
        <v>334</v>
      </c>
      <c r="B335" s="165">
        <v>46.12286</v>
      </c>
      <c r="C335" s="165">
        <v>-91.21351</v>
      </c>
      <c r="D335" s="10">
        <v>9</v>
      </c>
      <c r="E335" s="10" t="s">
        <v>564</v>
      </c>
      <c r="F335" s="149">
        <v>1</v>
      </c>
      <c r="G335" s="34">
        <v>1</v>
      </c>
      <c r="H335" s="96">
        <v>2</v>
      </c>
      <c r="I335" s="10">
        <v>2</v>
      </c>
      <c r="J335" s="36">
        <v>0</v>
      </c>
      <c r="K335" s="36">
        <v>0</v>
      </c>
      <c r="L335" s="36">
        <v>2</v>
      </c>
      <c r="M335" s="36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1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46">
        <v>0</v>
      </c>
    </row>
    <row r="336" spans="1:44" ht="12.75">
      <c r="A336" s="34">
        <v>335</v>
      </c>
      <c r="B336" s="165">
        <v>46.12286</v>
      </c>
      <c r="C336" s="165">
        <v>-91.21305</v>
      </c>
      <c r="D336" s="10">
        <v>15.5</v>
      </c>
      <c r="E336" s="10" t="s">
        <v>563</v>
      </c>
      <c r="F336" s="149">
        <v>0</v>
      </c>
      <c r="G336" s="34">
        <v>0</v>
      </c>
      <c r="H336" s="96">
        <v>0</v>
      </c>
      <c r="I336" s="10">
        <v>0</v>
      </c>
      <c r="J336" s="36">
        <v>0</v>
      </c>
      <c r="K336" s="36">
        <v>0</v>
      </c>
      <c r="L336" s="36">
        <v>0</v>
      </c>
      <c r="M336" s="36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46">
        <v>0</v>
      </c>
    </row>
    <row r="337" spans="1:44" ht="12.75">
      <c r="A337" s="34">
        <v>336</v>
      </c>
      <c r="B337" s="165">
        <v>46.12286</v>
      </c>
      <c r="C337" s="165">
        <v>-91.21258</v>
      </c>
      <c r="D337" s="10">
        <v>17.5</v>
      </c>
      <c r="E337" s="10">
        <v>0</v>
      </c>
      <c r="F337" s="149">
        <v>0</v>
      </c>
      <c r="G337" s="34">
        <v>0</v>
      </c>
      <c r="H337" s="96">
        <v>0</v>
      </c>
      <c r="I337" s="10">
        <v>0</v>
      </c>
      <c r="J337" s="36">
        <v>0</v>
      </c>
      <c r="K337" s="36">
        <v>0</v>
      </c>
      <c r="L337" s="36">
        <v>0</v>
      </c>
      <c r="M337" s="36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46">
        <v>0</v>
      </c>
    </row>
    <row r="338" spans="1:44" ht="12.75">
      <c r="A338" s="34">
        <v>337</v>
      </c>
      <c r="B338" s="165">
        <v>46.12287</v>
      </c>
      <c r="C338" s="165">
        <v>-91.21211</v>
      </c>
      <c r="D338" s="10">
        <v>21</v>
      </c>
      <c r="E338" s="10">
        <v>0</v>
      </c>
      <c r="F338" s="149">
        <v>0</v>
      </c>
      <c r="G338" s="34">
        <v>0</v>
      </c>
      <c r="H338" s="96">
        <v>0</v>
      </c>
      <c r="I338" s="10">
        <v>0</v>
      </c>
      <c r="J338" s="36">
        <v>0</v>
      </c>
      <c r="K338" s="36">
        <v>0</v>
      </c>
      <c r="L338" s="36">
        <v>0</v>
      </c>
      <c r="M338" s="36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0</v>
      </c>
      <c r="AP338" s="10">
        <v>0</v>
      </c>
      <c r="AQ338" s="10">
        <v>0</v>
      </c>
      <c r="AR338" s="146">
        <v>0</v>
      </c>
    </row>
    <row r="339" spans="1:44" ht="12.75">
      <c r="A339" s="34">
        <v>338</v>
      </c>
      <c r="B339" s="165">
        <v>46.12288</v>
      </c>
      <c r="C339" s="165">
        <v>-91.21165</v>
      </c>
      <c r="D339" s="10">
        <v>19</v>
      </c>
      <c r="E339" s="10">
        <v>0</v>
      </c>
      <c r="F339" s="149">
        <v>0</v>
      </c>
      <c r="G339" s="34">
        <v>0</v>
      </c>
      <c r="H339" s="96">
        <v>0</v>
      </c>
      <c r="I339" s="10">
        <v>0</v>
      </c>
      <c r="J339" s="36">
        <v>0</v>
      </c>
      <c r="K339" s="36">
        <v>0</v>
      </c>
      <c r="L339" s="36">
        <v>0</v>
      </c>
      <c r="M339" s="36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46">
        <v>0</v>
      </c>
    </row>
    <row r="340" spans="1:44" ht="12.75">
      <c r="A340" s="34">
        <v>339</v>
      </c>
      <c r="B340" s="165">
        <v>46.12288</v>
      </c>
      <c r="C340" s="165">
        <v>-91.21118</v>
      </c>
      <c r="D340" s="10">
        <v>17.5</v>
      </c>
      <c r="E340" s="10">
        <v>0</v>
      </c>
      <c r="F340" s="149">
        <v>0</v>
      </c>
      <c r="G340" s="34">
        <v>0</v>
      </c>
      <c r="H340" s="96">
        <v>0</v>
      </c>
      <c r="I340" s="10">
        <v>0</v>
      </c>
      <c r="J340" s="36">
        <v>0</v>
      </c>
      <c r="K340" s="36">
        <v>0</v>
      </c>
      <c r="L340" s="36">
        <v>0</v>
      </c>
      <c r="M340" s="36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0</v>
      </c>
      <c r="AR340" s="146">
        <v>0</v>
      </c>
    </row>
    <row r="341" spans="1:44" ht="12.75">
      <c r="A341" s="34">
        <v>340</v>
      </c>
      <c r="B341" s="165">
        <v>46.12289</v>
      </c>
      <c r="C341" s="165">
        <v>-91.21072</v>
      </c>
      <c r="D341" s="10">
        <v>12</v>
      </c>
      <c r="E341" s="10" t="s">
        <v>563</v>
      </c>
      <c r="F341" s="149">
        <v>1</v>
      </c>
      <c r="G341" s="34">
        <v>0</v>
      </c>
      <c r="H341" s="96">
        <v>0</v>
      </c>
      <c r="I341" s="10">
        <v>0</v>
      </c>
      <c r="J341" s="36">
        <v>0</v>
      </c>
      <c r="K341" s="36">
        <v>0</v>
      </c>
      <c r="L341" s="36">
        <v>0</v>
      </c>
      <c r="M341" s="36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46">
        <v>0</v>
      </c>
    </row>
    <row r="342" spans="1:44" ht="12.75">
      <c r="A342" s="34">
        <v>341</v>
      </c>
      <c r="B342" s="165">
        <v>46.12289</v>
      </c>
      <c r="C342" s="165">
        <v>-91.21025</v>
      </c>
      <c r="D342" s="10">
        <v>6.5</v>
      </c>
      <c r="E342" s="10" t="s">
        <v>563</v>
      </c>
      <c r="F342" s="149">
        <v>1</v>
      </c>
      <c r="G342" s="34">
        <v>1</v>
      </c>
      <c r="H342" s="96">
        <v>6</v>
      </c>
      <c r="I342" s="10">
        <v>2</v>
      </c>
      <c r="J342" s="36">
        <v>0</v>
      </c>
      <c r="K342" s="36">
        <v>0</v>
      </c>
      <c r="L342" s="36">
        <v>1</v>
      </c>
      <c r="M342" s="36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2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1</v>
      </c>
      <c r="AG342" s="10">
        <v>0</v>
      </c>
      <c r="AH342" s="10">
        <v>2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1</v>
      </c>
      <c r="AP342" s="10">
        <v>1</v>
      </c>
      <c r="AQ342" s="10">
        <v>0</v>
      </c>
      <c r="AR342" s="146">
        <v>0</v>
      </c>
    </row>
    <row r="343" spans="1:44" ht="12.75">
      <c r="A343" s="34">
        <v>342</v>
      </c>
      <c r="B343" s="165">
        <v>46.12312</v>
      </c>
      <c r="C343" s="165">
        <v>-91.21958</v>
      </c>
      <c r="D343" s="10">
        <v>3</v>
      </c>
      <c r="E343" s="10" t="s">
        <v>563</v>
      </c>
      <c r="F343" s="149">
        <v>1</v>
      </c>
      <c r="G343" s="34">
        <v>1</v>
      </c>
      <c r="H343" s="96">
        <v>9</v>
      </c>
      <c r="I343" s="10">
        <v>3</v>
      </c>
      <c r="J343" s="36">
        <v>0</v>
      </c>
      <c r="K343" s="36">
        <v>0</v>
      </c>
      <c r="L343" s="36">
        <v>1</v>
      </c>
      <c r="M343" s="36">
        <v>0</v>
      </c>
      <c r="N343" s="10">
        <v>0</v>
      </c>
      <c r="O343" s="10">
        <v>0</v>
      </c>
      <c r="P343" s="10">
        <v>0</v>
      </c>
      <c r="Q343" s="10">
        <v>1</v>
      </c>
      <c r="R343" s="10">
        <v>1</v>
      </c>
      <c r="S343" s="10">
        <v>0</v>
      </c>
      <c r="T343" s="10">
        <v>1</v>
      </c>
      <c r="U343" s="10">
        <v>0</v>
      </c>
      <c r="V343" s="10">
        <v>1</v>
      </c>
      <c r="W343" s="10">
        <v>2</v>
      </c>
      <c r="X343" s="10">
        <v>0</v>
      </c>
      <c r="Y343" s="10">
        <v>1</v>
      </c>
      <c r="Z343" s="10">
        <v>0</v>
      </c>
      <c r="AA343" s="10">
        <v>0</v>
      </c>
      <c r="AB343" s="10">
        <v>0</v>
      </c>
      <c r="AC343" s="10">
        <v>0</v>
      </c>
      <c r="AD343" s="10">
        <v>1</v>
      </c>
      <c r="AE343" s="10">
        <v>0</v>
      </c>
      <c r="AF343" s="10">
        <v>0</v>
      </c>
      <c r="AG343" s="10">
        <v>1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>
        <v>0</v>
      </c>
      <c r="AR343" s="146">
        <v>0</v>
      </c>
    </row>
    <row r="344" spans="1:44" ht="12.75">
      <c r="A344" s="34">
        <v>343</v>
      </c>
      <c r="B344" s="165">
        <v>46.12312</v>
      </c>
      <c r="C344" s="165">
        <v>-91.21911</v>
      </c>
      <c r="D344" s="10">
        <v>2</v>
      </c>
      <c r="E344" s="10" t="s">
        <v>563</v>
      </c>
      <c r="F344" s="149">
        <v>1</v>
      </c>
      <c r="G344" s="34">
        <v>1</v>
      </c>
      <c r="H344" s="96">
        <v>6</v>
      </c>
      <c r="I344" s="10">
        <v>3</v>
      </c>
      <c r="J344" s="36">
        <v>0</v>
      </c>
      <c r="K344" s="36">
        <v>0</v>
      </c>
      <c r="L344" s="36">
        <v>1</v>
      </c>
      <c r="M344" s="36">
        <v>0</v>
      </c>
      <c r="N344" s="10">
        <v>0</v>
      </c>
      <c r="O344" s="10">
        <v>0</v>
      </c>
      <c r="P344" s="10">
        <v>0</v>
      </c>
      <c r="Q344" s="10">
        <v>1</v>
      </c>
      <c r="R344" s="10">
        <v>2</v>
      </c>
      <c r="S344" s="10">
        <v>0</v>
      </c>
      <c r="T344" s="10">
        <v>0</v>
      </c>
      <c r="U344" s="10">
        <v>0</v>
      </c>
      <c r="V344" s="10">
        <v>0</v>
      </c>
      <c r="W344" s="10">
        <v>3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1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1</v>
      </c>
      <c r="AQ344" s="10">
        <v>0</v>
      </c>
      <c r="AR344" s="146">
        <v>0</v>
      </c>
    </row>
    <row r="345" spans="1:44" ht="12.75">
      <c r="A345" s="34">
        <v>344</v>
      </c>
      <c r="B345" s="165">
        <v>46.12312</v>
      </c>
      <c r="C345" s="165">
        <v>-91.21864</v>
      </c>
      <c r="D345" s="10">
        <v>4</v>
      </c>
      <c r="E345" s="10" t="s">
        <v>563</v>
      </c>
      <c r="F345" s="149">
        <v>1</v>
      </c>
      <c r="G345" s="34">
        <v>1</v>
      </c>
      <c r="H345" s="96">
        <v>5</v>
      </c>
      <c r="I345" s="10">
        <v>3</v>
      </c>
      <c r="J345" s="36">
        <v>0</v>
      </c>
      <c r="K345" s="36">
        <v>0</v>
      </c>
      <c r="L345" s="36">
        <v>0</v>
      </c>
      <c r="M345" s="36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4</v>
      </c>
      <c r="S345" s="10">
        <v>0</v>
      </c>
      <c r="T345" s="10">
        <v>1</v>
      </c>
      <c r="U345" s="10">
        <v>0</v>
      </c>
      <c r="V345" s="10">
        <v>0</v>
      </c>
      <c r="W345" s="10">
        <v>3</v>
      </c>
      <c r="X345" s="10">
        <v>0</v>
      </c>
      <c r="Y345" s="10">
        <v>2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1</v>
      </c>
      <c r="AH345" s="10">
        <v>2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46">
        <v>0</v>
      </c>
    </row>
    <row r="346" spans="1:44" ht="12.75">
      <c r="A346" s="34">
        <v>345</v>
      </c>
      <c r="B346" s="165">
        <v>46.12313</v>
      </c>
      <c r="C346" s="165">
        <v>-91.21818</v>
      </c>
      <c r="D346" s="10">
        <v>8</v>
      </c>
      <c r="E346" s="10" t="s">
        <v>563</v>
      </c>
      <c r="F346" s="149">
        <v>1</v>
      </c>
      <c r="G346" s="34">
        <v>1</v>
      </c>
      <c r="H346" s="96">
        <v>3</v>
      </c>
      <c r="I346" s="10">
        <v>1</v>
      </c>
      <c r="J346" s="36">
        <v>0</v>
      </c>
      <c r="K346" s="36">
        <v>0</v>
      </c>
      <c r="L346" s="36">
        <v>1</v>
      </c>
      <c r="M346" s="36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4</v>
      </c>
      <c r="S346" s="10">
        <v>0</v>
      </c>
      <c r="T346" s="10">
        <v>1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1</v>
      </c>
      <c r="AB346" s="10">
        <v>0</v>
      </c>
      <c r="AC346" s="10">
        <v>0</v>
      </c>
      <c r="AD346" s="10">
        <v>4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46">
        <v>2</v>
      </c>
    </row>
    <row r="347" spans="1:44" ht="12.75">
      <c r="A347" s="34">
        <v>346</v>
      </c>
      <c r="B347" s="165">
        <v>46.12313</v>
      </c>
      <c r="C347" s="165">
        <v>-91.21771</v>
      </c>
      <c r="D347" s="10">
        <v>17</v>
      </c>
      <c r="E347" s="10">
        <v>0</v>
      </c>
      <c r="F347" s="149">
        <v>0</v>
      </c>
      <c r="G347" s="34">
        <v>0</v>
      </c>
      <c r="H347" s="96">
        <v>0</v>
      </c>
      <c r="I347" s="10">
        <v>0</v>
      </c>
      <c r="J347" s="36">
        <v>0</v>
      </c>
      <c r="K347" s="36">
        <v>0</v>
      </c>
      <c r="L347" s="36">
        <v>0</v>
      </c>
      <c r="M347" s="36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46">
        <v>0</v>
      </c>
    </row>
    <row r="348" spans="1:44" ht="12.75">
      <c r="A348" s="34">
        <v>347</v>
      </c>
      <c r="B348" s="165">
        <v>46.12314</v>
      </c>
      <c r="C348" s="165">
        <v>-91.21725</v>
      </c>
      <c r="D348" s="10">
        <v>14</v>
      </c>
      <c r="E348" s="10" t="s">
        <v>563</v>
      </c>
      <c r="F348" s="149">
        <v>0</v>
      </c>
      <c r="G348" s="34">
        <v>0</v>
      </c>
      <c r="H348" s="96">
        <v>0</v>
      </c>
      <c r="I348" s="10">
        <v>0</v>
      </c>
      <c r="J348" s="36">
        <v>0</v>
      </c>
      <c r="K348" s="36">
        <v>0</v>
      </c>
      <c r="L348" s="36">
        <v>0</v>
      </c>
      <c r="M348" s="36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46">
        <v>0</v>
      </c>
    </row>
    <row r="349" spans="1:44" ht="12.75">
      <c r="A349" s="34">
        <v>348</v>
      </c>
      <c r="B349" s="165">
        <v>46.12315</v>
      </c>
      <c r="C349" s="165">
        <v>-91.21678</v>
      </c>
      <c r="D349" s="10">
        <v>16.5</v>
      </c>
      <c r="E349" s="10">
        <v>0</v>
      </c>
      <c r="F349" s="149">
        <v>0</v>
      </c>
      <c r="G349" s="34">
        <v>0</v>
      </c>
      <c r="H349" s="96">
        <v>0</v>
      </c>
      <c r="I349" s="10">
        <v>0</v>
      </c>
      <c r="J349" s="36">
        <v>0</v>
      </c>
      <c r="K349" s="36">
        <v>0</v>
      </c>
      <c r="L349" s="36">
        <v>0</v>
      </c>
      <c r="M349" s="36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46">
        <v>0</v>
      </c>
    </row>
    <row r="350" spans="1:44" ht="12.75">
      <c r="A350" s="34">
        <v>349</v>
      </c>
      <c r="B350" s="165">
        <v>46.12315</v>
      </c>
      <c r="C350" s="165">
        <v>-91.21631</v>
      </c>
      <c r="D350" s="10">
        <v>8</v>
      </c>
      <c r="E350" s="10" t="s">
        <v>563</v>
      </c>
      <c r="F350" s="149">
        <v>1</v>
      </c>
      <c r="G350" s="34">
        <v>1</v>
      </c>
      <c r="H350" s="96">
        <v>2</v>
      </c>
      <c r="I350" s="10">
        <v>1</v>
      </c>
      <c r="J350" s="36">
        <v>0</v>
      </c>
      <c r="K350" s="36">
        <v>0</v>
      </c>
      <c r="L350" s="36">
        <v>1</v>
      </c>
      <c r="M350" s="36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1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46">
        <v>2</v>
      </c>
    </row>
    <row r="351" spans="1:44" ht="12.75">
      <c r="A351" s="34">
        <v>350</v>
      </c>
      <c r="B351" s="165">
        <v>46.12315</v>
      </c>
      <c r="C351" s="165">
        <v>-91.21585</v>
      </c>
      <c r="D351" s="10">
        <v>5</v>
      </c>
      <c r="E351" s="10" t="s">
        <v>563</v>
      </c>
      <c r="F351" s="149">
        <v>1</v>
      </c>
      <c r="G351" s="34">
        <v>1</v>
      </c>
      <c r="H351" s="96">
        <v>3</v>
      </c>
      <c r="I351" s="10">
        <v>2</v>
      </c>
      <c r="J351" s="36">
        <v>0</v>
      </c>
      <c r="K351" s="36">
        <v>0</v>
      </c>
      <c r="L351" s="36">
        <v>0</v>
      </c>
      <c r="M351" s="36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1</v>
      </c>
      <c r="U351" s="10">
        <v>0</v>
      </c>
      <c r="V351" s="10">
        <v>0</v>
      </c>
      <c r="W351" s="10">
        <v>0</v>
      </c>
      <c r="X351" s="10">
        <v>0</v>
      </c>
      <c r="Y351" s="10">
        <v>2</v>
      </c>
      <c r="Z351" s="10">
        <v>0</v>
      </c>
      <c r="AA351" s="10">
        <v>0</v>
      </c>
      <c r="AB351" s="10">
        <v>0</v>
      </c>
      <c r="AC351" s="10">
        <v>0</v>
      </c>
      <c r="AD351" s="10">
        <v>4</v>
      </c>
      <c r="AE351" s="10">
        <v>0</v>
      </c>
      <c r="AF351" s="10">
        <v>0</v>
      </c>
      <c r="AG351" s="10">
        <v>0</v>
      </c>
      <c r="AH351" s="10">
        <v>1</v>
      </c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46">
        <v>0</v>
      </c>
    </row>
    <row r="352" spans="1:44" ht="12.75">
      <c r="A352" s="34">
        <v>351</v>
      </c>
      <c r="B352" s="165">
        <v>46.12316</v>
      </c>
      <c r="C352" s="165">
        <v>-91.21538</v>
      </c>
      <c r="D352" s="10">
        <v>11.5</v>
      </c>
      <c r="E352" s="10" t="s">
        <v>563</v>
      </c>
      <c r="F352" s="149">
        <v>1</v>
      </c>
      <c r="G352" s="34">
        <v>0</v>
      </c>
      <c r="H352" s="96">
        <v>0</v>
      </c>
      <c r="I352" s="10">
        <v>0</v>
      </c>
      <c r="J352" s="36">
        <v>0</v>
      </c>
      <c r="K352" s="36">
        <v>0</v>
      </c>
      <c r="L352" s="36">
        <v>0</v>
      </c>
      <c r="M352" s="36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0</v>
      </c>
      <c r="AO352" s="10">
        <v>0</v>
      </c>
      <c r="AP352" s="10">
        <v>0</v>
      </c>
      <c r="AQ352" s="10">
        <v>0</v>
      </c>
      <c r="AR352" s="146">
        <v>0</v>
      </c>
    </row>
    <row r="353" spans="1:44" ht="12.75">
      <c r="A353" s="34">
        <v>352</v>
      </c>
      <c r="B353" s="165">
        <v>46.12316</v>
      </c>
      <c r="C353" s="165">
        <v>-91.21492</v>
      </c>
      <c r="D353" s="10">
        <v>15.5</v>
      </c>
      <c r="E353" s="10" t="s">
        <v>563</v>
      </c>
      <c r="F353" s="149">
        <v>0</v>
      </c>
      <c r="G353" s="34">
        <v>0</v>
      </c>
      <c r="H353" s="96">
        <v>0</v>
      </c>
      <c r="I353" s="10">
        <v>0</v>
      </c>
      <c r="J353" s="36">
        <v>0</v>
      </c>
      <c r="K353" s="36">
        <v>0</v>
      </c>
      <c r="L353" s="36">
        <v>0</v>
      </c>
      <c r="M353" s="36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46">
        <v>0</v>
      </c>
    </row>
    <row r="354" spans="1:44" ht="12.75">
      <c r="A354" s="34">
        <v>353</v>
      </c>
      <c r="B354" s="165">
        <v>46.12317</v>
      </c>
      <c r="C354" s="165">
        <v>-91.21445</v>
      </c>
      <c r="D354" s="10">
        <v>13.5</v>
      </c>
      <c r="E354" s="10" t="s">
        <v>563</v>
      </c>
      <c r="F354" s="149">
        <v>1</v>
      </c>
      <c r="G354" s="34">
        <v>0</v>
      </c>
      <c r="H354" s="96">
        <v>0</v>
      </c>
      <c r="I354" s="10">
        <v>0</v>
      </c>
      <c r="J354" s="36">
        <v>0</v>
      </c>
      <c r="K354" s="36">
        <v>0</v>
      </c>
      <c r="L354" s="36">
        <v>0</v>
      </c>
      <c r="M354" s="36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46">
        <v>0</v>
      </c>
    </row>
    <row r="355" spans="1:44" ht="12.75">
      <c r="A355" s="34">
        <v>354</v>
      </c>
      <c r="B355" s="165">
        <v>46.12317</v>
      </c>
      <c r="C355" s="165">
        <v>-91.21398</v>
      </c>
      <c r="D355" s="10">
        <v>13</v>
      </c>
      <c r="E355" s="10" t="s">
        <v>563</v>
      </c>
      <c r="F355" s="149">
        <v>1</v>
      </c>
      <c r="G355" s="34">
        <v>0</v>
      </c>
      <c r="H355" s="96">
        <v>0</v>
      </c>
      <c r="I355" s="10">
        <v>0</v>
      </c>
      <c r="J355" s="36">
        <v>0</v>
      </c>
      <c r="K355" s="36">
        <v>0</v>
      </c>
      <c r="L355" s="36">
        <v>0</v>
      </c>
      <c r="M355" s="36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46">
        <v>0</v>
      </c>
    </row>
    <row r="356" spans="1:44" ht="12.75">
      <c r="A356" s="34">
        <v>355</v>
      </c>
      <c r="B356" s="165">
        <v>46.12318</v>
      </c>
      <c r="C356" s="165">
        <v>-91.21352</v>
      </c>
      <c r="D356" s="10">
        <v>6</v>
      </c>
      <c r="E356" s="10" t="s">
        <v>563</v>
      </c>
      <c r="F356" s="149">
        <v>1</v>
      </c>
      <c r="G356" s="34">
        <v>1</v>
      </c>
      <c r="H356" s="96">
        <v>2</v>
      </c>
      <c r="I356" s="10">
        <v>3</v>
      </c>
      <c r="J356" s="36">
        <v>0</v>
      </c>
      <c r="K356" s="36">
        <v>0</v>
      </c>
      <c r="L356" s="36">
        <v>3</v>
      </c>
      <c r="M356" s="36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4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1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46">
        <v>0</v>
      </c>
    </row>
    <row r="357" spans="1:44" ht="12.75">
      <c r="A357" s="34">
        <v>356</v>
      </c>
      <c r="B357" s="165">
        <v>46.12318</v>
      </c>
      <c r="C357" s="165">
        <v>-91.21305</v>
      </c>
      <c r="D357" s="10">
        <v>14</v>
      </c>
      <c r="E357" s="10" t="s">
        <v>563</v>
      </c>
      <c r="F357" s="149">
        <v>0</v>
      </c>
      <c r="G357" s="34">
        <v>0</v>
      </c>
      <c r="H357" s="96">
        <v>0</v>
      </c>
      <c r="I357" s="10">
        <v>0</v>
      </c>
      <c r="J357" s="36">
        <v>0</v>
      </c>
      <c r="K357" s="36">
        <v>0</v>
      </c>
      <c r="L357" s="36">
        <v>0</v>
      </c>
      <c r="M357" s="36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46">
        <v>0</v>
      </c>
    </row>
    <row r="358" spans="1:44" ht="12.75">
      <c r="A358" s="34">
        <v>357</v>
      </c>
      <c r="B358" s="165">
        <v>46.12319</v>
      </c>
      <c r="C358" s="165">
        <v>-91.21259</v>
      </c>
      <c r="D358" s="10">
        <v>18</v>
      </c>
      <c r="E358" s="10">
        <v>0</v>
      </c>
      <c r="F358" s="149">
        <v>0</v>
      </c>
      <c r="G358" s="34">
        <v>0</v>
      </c>
      <c r="H358" s="96">
        <v>0</v>
      </c>
      <c r="I358" s="10">
        <v>0</v>
      </c>
      <c r="J358" s="36">
        <v>0</v>
      </c>
      <c r="K358" s="36">
        <v>0</v>
      </c>
      <c r="L358" s="36">
        <v>0</v>
      </c>
      <c r="M358" s="36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46">
        <v>0</v>
      </c>
    </row>
    <row r="359" spans="1:44" ht="12.75">
      <c r="A359" s="34">
        <v>358</v>
      </c>
      <c r="B359" s="165">
        <v>46.12319</v>
      </c>
      <c r="C359" s="165">
        <v>-91.21212</v>
      </c>
      <c r="D359" s="10">
        <v>17.5</v>
      </c>
      <c r="E359" s="10">
        <v>0</v>
      </c>
      <c r="F359" s="149">
        <v>0</v>
      </c>
      <c r="G359" s="34">
        <v>0</v>
      </c>
      <c r="H359" s="96">
        <v>0</v>
      </c>
      <c r="I359" s="10">
        <v>0</v>
      </c>
      <c r="J359" s="36">
        <v>0</v>
      </c>
      <c r="K359" s="36">
        <v>0</v>
      </c>
      <c r="L359" s="36">
        <v>0</v>
      </c>
      <c r="M359" s="36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46">
        <v>0</v>
      </c>
    </row>
    <row r="360" spans="1:44" ht="12.75">
      <c r="A360" s="34">
        <v>359</v>
      </c>
      <c r="B360" s="165">
        <v>46.1232</v>
      </c>
      <c r="C360" s="165">
        <v>-91.21165</v>
      </c>
      <c r="D360" s="10">
        <v>12.5</v>
      </c>
      <c r="E360" s="10" t="s">
        <v>563</v>
      </c>
      <c r="F360" s="149">
        <v>1</v>
      </c>
      <c r="G360" s="34">
        <v>1</v>
      </c>
      <c r="H360" s="96">
        <v>1</v>
      </c>
      <c r="I360" s="10">
        <v>1</v>
      </c>
      <c r="J360" s="36">
        <v>0</v>
      </c>
      <c r="K360" s="36">
        <v>0</v>
      </c>
      <c r="L360" s="36">
        <v>1</v>
      </c>
      <c r="M360" s="36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46">
        <v>0</v>
      </c>
    </row>
    <row r="361" spans="1:44" ht="12.75">
      <c r="A361" s="34">
        <v>360</v>
      </c>
      <c r="B361" s="165">
        <v>46.1232</v>
      </c>
      <c r="C361" s="165">
        <v>-91.21119</v>
      </c>
      <c r="D361" s="10">
        <v>9</v>
      </c>
      <c r="E361" s="10" t="s">
        <v>563</v>
      </c>
      <c r="F361" s="149">
        <v>1</v>
      </c>
      <c r="G361" s="34">
        <v>1</v>
      </c>
      <c r="H361" s="96">
        <v>2</v>
      </c>
      <c r="I361" s="10">
        <v>1</v>
      </c>
      <c r="J361" s="36">
        <v>0</v>
      </c>
      <c r="K361" s="36">
        <v>0</v>
      </c>
      <c r="L361" s="36">
        <v>1</v>
      </c>
      <c r="M361" s="36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1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46">
        <v>1</v>
      </c>
    </row>
    <row r="362" spans="1:44" ht="12.75">
      <c r="A362" s="34">
        <v>361</v>
      </c>
      <c r="B362" s="165">
        <v>46.12344</v>
      </c>
      <c r="C362" s="165">
        <v>-91.21958</v>
      </c>
      <c r="D362" s="10">
        <v>2.5</v>
      </c>
      <c r="E362" s="10" t="s">
        <v>563</v>
      </c>
      <c r="F362" s="149">
        <v>1</v>
      </c>
      <c r="G362" s="34">
        <v>1</v>
      </c>
      <c r="H362" s="96">
        <v>5</v>
      </c>
      <c r="I362" s="10">
        <v>3</v>
      </c>
      <c r="J362" s="36">
        <v>0</v>
      </c>
      <c r="K362" s="36">
        <v>3</v>
      </c>
      <c r="L362" s="36">
        <v>0</v>
      </c>
      <c r="M362" s="36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1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0</v>
      </c>
      <c r="AK362" s="10">
        <v>1</v>
      </c>
      <c r="AL362" s="10">
        <v>1</v>
      </c>
      <c r="AM362" s="10">
        <v>0</v>
      </c>
      <c r="AN362" s="10">
        <v>0</v>
      </c>
      <c r="AO362" s="10">
        <v>0</v>
      </c>
      <c r="AP362" s="10">
        <v>0</v>
      </c>
      <c r="AQ362" s="10">
        <v>1</v>
      </c>
      <c r="AR362" s="146">
        <v>0</v>
      </c>
    </row>
    <row r="363" spans="1:44" ht="12.75">
      <c r="A363" s="34">
        <v>362</v>
      </c>
      <c r="B363" s="165">
        <v>46.12344</v>
      </c>
      <c r="C363" s="165">
        <v>-91.21912</v>
      </c>
      <c r="D363" s="10">
        <v>3</v>
      </c>
      <c r="E363" s="10" t="s">
        <v>563</v>
      </c>
      <c r="F363" s="149">
        <v>1</v>
      </c>
      <c r="G363" s="34">
        <v>1</v>
      </c>
      <c r="H363" s="96">
        <v>5</v>
      </c>
      <c r="I363" s="10">
        <v>3</v>
      </c>
      <c r="J363" s="36">
        <v>0</v>
      </c>
      <c r="K363" s="36">
        <v>4</v>
      </c>
      <c r="L363" s="36">
        <v>0</v>
      </c>
      <c r="M363" s="36">
        <v>1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1</v>
      </c>
      <c r="U363" s="10">
        <v>0</v>
      </c>
      <c r="V363" s="10">
        <v>0</v>
      </c>
      <c r="W363" s="10">
        <v>3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1</v>
      </c>
      <c r="AH363" s="10">
        <v>1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46">
        <v>0</v>
      </c>
    </row>
    <row r="364" spans="1:44" ht="12.75">
      <c r="A364" s="34">
        <v>363</v>
      </c>
      <c r="B364" s="165">
        <v>46.12345</v>
      </c>
      <c r="C364" s="165">
        <v>-91.21865</v>
      </c>
      <c r="D364" s="10">
        <v>3</v>
      </c>
      <c r="E364" s="10" t="s">
        <v>563</v>
      </c>
      <c r="F364" s="149">
        <v>1</v>
      </c>
      <c r="G364" s="34">
        <v>1</v>
      </c>
      <c r="H364" s="96">
        <v>6</v>
      </c>
      <c r="I364" s="10">
        <v>3</v>
      </c>
      <c r="J364" s="36">
        <v>0</v>
      </c>
      <c r="K364" s="36">
        <v>0</v>
      </c>
      <c r="L364" s="36">
        <v>0</v>
      </c>
      <c r="M364" s="36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1</v>
      </c>
      <c r="S364" s="10">
        <v>0</v>
      </c>
      <c r="T364" s="10">
        <v>1</v>
      </c>
      <c r="U364" s="10">
        <v>0</v>
      </c>
      <c r="V364" s="10">
        <v>0</v>
      </c>
      <c r="W364" s="10">
        <v>2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2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1</v>
      </c>
      <c r="AM364" s="10">
        <v>0</v>
      </c>
      <c r="AN364" s="10">
        <v>0</v>
      </c>
      <c r="AO364" s="10">
        <v>1</v>
      </c>
      <c r="AP364" s="10">
        <v>0</v>
      </c>
      <c r="AQ364" s="10">
        <v>0</v>
      </c>
      <c r="AR364" s="146">
        <v>2</v>
      </c>
    </row>
    <row r="365" spans="1:44" ht="12.75">
      <c r="A365" s="34">
        <v>364</v>
      </c>
      <c r="B365" s="165">
        <v>46.12345</v>
      </c>
      <c r="C365" s="165">
        <v>-91.21818</v>
      </c>
      <c r="D365" s="10">
        <v>9</v>
      </c>
      <c r="E365" s="10" t="s">
        <v>563</v>
      </c>
      <c r="F365" s="149">
        <v>1</v>
      </c>
      <c r="G365" s="34">
        <v>1</v>
      </c>
      <c r="H365" s="96">
        <v>2</v>
      </c>
      <c r="I365" s="10">
        <v>1</v>
      </c>
      <c r="J365" s="36">
        <v>0</v>
      </c>
      <c r="K365" s="36">
        <v>0</v>
      </c>
      <c r="L365" s="36">
        <v>1</v>
      </c>
      <c r="M365" s="36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1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46">
        <v>0</v>
      </c>
    </row>
    <row r="366" spans="1:44" ht="12.75">
      <c r="A366" s="34">
        <v>365</v>
      </c>
      <c r="B366" s="165">
        <v>46.12346</v>
      </c>
      <c r="C366" s="165">
        <v>-91.21772</v>
      </c>
      <c r="D366" s="10">
        <v>12.5</v>
      </c>
      <c r="E366" s="10" t="s">
        <v>563</v>
      </c>
      <c r="F366" s="149">
        <v>1</v>
      </c>
      <c r="G366" s="34">
        <v>0</v>
      </c>
      <c r="H366" s="96">
        <v>0</v>
      </c>
      <c r="I366" s="10">
        <v>0</v>
      </c>
      <c r="J366" s="36">
        <v>0</v>
      </c>
      <c r="K366" s="36">
        <v>0</v>
      </c>
      <c r="L366" s="36">
        <v>0</v>
      </c>
      <c r="M366" s="36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46">
        <v>0</v>
      </c>
    </row>
    <row r="367" spans="1:44" ht="12.75">
      <c r="A367" s="34">
        <v>366</v>
      </c>
      <c r="B367" s="165">
        <v>46.12346</v>
      </c>
      <c r="C367" s="165">
        <v>-91.21725</v>
      </c>
      <c r="D367" s="10">
        <v>14</v>
      </c>
      <c r="E367" s="10" t="s">
        <v>563</v>
      </c>
      <c r="F367" s="149">
        <v>0</v>
      </c>
      <c r="G367" s="34">
        <v>0</v>
      </c>
      <c r="H367" s="96">
        <v>0</v>
      </c>
      <c r="I367" s="10">
        <v>0</v>
      </c>
      <c r="J367" s="36">
        <v>0</v>
      </c>
      <c r="K367" s="36">
        <v>0</v>
      </c>
      <c r="L367" s="36">
        <v>0</v>
      </c>
      <c r="M367" s="36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46">
        <v>0</v>
      </c>
    </row>
    <row r="368" spans="1:44" ht="12.75">
      <c r="A368" s="34">
        <v>367</v>
      </c>
      <c r="B368" s="165">
        <v>46.12347</v>
      </c>
      <c r="C368" s="165">
        <v>-91.21679</v>
      </c>
      <c r="D368" s="10">
        <v>13.5</v>
      </c>
      <c r="E368" s="10" t="s">
        <v>563</v>
      </c>
      <c r="F368" s="149">
        <v>1</v>
      </c>
      <c r="G368" s="34">
        <v>0</v>
      </c>
      <c r="H368" s="96">
        <v>0</v>
      </c>
      <c r="I368" s="10">
        <v>0</v>
      </c>
      <c r="J368" s="36">
        <v>0</v>
      </c>
      <c r="K368" s="36">
        <v>0</v>
      </c>
      <c r="L368" s="36">
        <v>0</v>
      </c>
      <c r="M368" s="36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46">
        <v>0</v>
      </c>
    </row>
    <row r="369" spans="1:44" ht="12.75">
      <c r="A369" s="34">
        <v>368</v>
      </c>
      <c r="B369" s="165">
        <v>46.12347</v>
      </c>
      <c r="C369" s="165">
        <v>-91.21632</v>
      </c>
      <c r="D369" s="10">
        <v>10</v>
      </c>
      <c r="E369" s="10" t="s">
        <v>563</v>
      </c>
      <c r="F369" s="149">
        <v>1</v>
      </c>
      <c r="G369" s="34">
        <v>1</v>
      </c>
      <c r="H369" s="96">
        <v>1</v>
      </c>
      <c r="I369" s="10">
        <v>1</v>
      </c>
      <c r="J369" s="36">
        <v>0</v>
      </c>
      <c r="K369" s="36">
        <v>0</v>
      </c>
      <c r="L369" s="36">
        <v>0</v>
      </c>
      <c r="M369" s="36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1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46">
        <v>0</v>
      </c>
    </row>
    <row r="370" spans="1:44" ht="12.75">
      <c r="A370" s="34">
        <v>369</v>
      </c>
      <c r="B370" s="165">
        <v>46.12348</v>
      </c>
      <c r="C370" s="165">
        <v>-91.21585</v>
      </c>
      <c r="D370" s="10">
        <v>4</v>
      </c>
      <c r="E370" s="10" t="s">
        <v>563</v>
      </c>
      <c r="F370" s="149">
        <v>1</v>
      </c>
      <c r="G370" s="34">
        <v>1</v>
      </c>
      <c r="H370" s="96">
        <v>6</v>
      </c>
      <c r="I370" s="10">
        <v>3</v>
      </c>
      <c r="J370" s="36">
        <v>0</v>
      </c>
      <c r="K370" s="36">
        <v>0</v>
      </c>
      <c r="L370" s="36">
        <v>1</v>
      </c>
      <c r="M370" s="36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1</v>
      </c>
      <c r="S370" s="10">
        <v>0</v>
      </c>
      <c r="T370" s="10">
        <v>1</v>
      </c>
      <c r="U370" s="10">
        <v>0</v>
      </c>
      <c r="V370" s="10">
        <v>3</v>
      </c>
      <c r="W370" s="10">
        <v>0</v>
      </c>
      <c r="X370" s="10">
        <v>0</v>
      </c>
      <c r="Y370" s="10">
        <v>1</v>
      </c>
      <c r="Z370" s="10">
        <v>0</v>
      </c>
      <c r="AA370" s="10">
        <v>0</v>
      </c>
      <c r="AB370" s="10">
        <v>0</v>
      </c>
      <c r="AC370" s="10">
        <v>0</v>
      </c>
      <c r="AD370" s="10">
        <v>4</v>
      </c>
      <c r="AE370" s="10">
        <v>4</v>
      </c>
      <c r="AF370" s="10">
        <v>0</v>
      </c>
      <c r="AG370" s="10">
        <v>0</v>
      </c>
      <c r="AH370" s="10">
        <v>1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46">
        <v>0</v>
      </c>
    </row>
    <row r="371" spans="1:44" ht="12.75">
      <c r="A371" s="34">
        <v>370</v>
      </c>
      <c r="B371" s="165">
        <v>46.12348</v>
      </c>
      <c r="C371" s="165">
        <v>-91.21539</v>
      </c>
      <c r="D371" s="10">
        <v>4</v>
      </c>
      <c r="E371" s="10" t="s">
        <v>563</v>
      </c>
      <c r="F371" s="149">
        <v>1</v>
      </c>
      <c r="G371" s="34">
        <v>1</v>
      </c>
      <c r="H371" s="96">
        <v>5</v>
      </c>
      <c r="I371" s="10">
        <v>2</v>
      </c>
      <c r="J371" s="36">
        <v>0</v>
      </c>
      <c r="K371" s="36">
        <v>0</v>
      </c>
      <c r="L371" s="36">
        <v>0</v>
      </c>
      <c r="M371" s="36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2</v>
      </c>
      <c r="U371" s="10">
        <v>0</v>
      </c>
      <c r="V371" s="10">
        <v>1</v>
      </c>
      <c r="W371" s="10">
        <v>0</v>
      </c>
      <c r="X371" s="10">
        <v>0</v>
      </c>
      <c r="Y371" s="10">
        <v>1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1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1</v>
      </c>
      <c r="AP371" s="10">
        <v>0</v>
      </c>
      <c r="AQ371" s="10">
        <v>0</v>
      </c>
      <c r="AR371" s="146">
        <v>1</v>
      </c>
    </row>
    <row r="372" spans="1:44" ht="12.75">
      <c r="A372" s="34">
        <v>371</v>
      </c>
      <c r="B372" s="165">
        <v>46.12349</v>
      </c>
      <c r="C372" s="165">
        <v>-91.21492</v>
      </c>
      <c r="D372" s="10">
        <v>6</v>
      </c>
      <c r="E372" s="10" t="s">
        <v>563</v>
      </c>
      <c r="F372" s="149">
        <v>1</v>
      </c>
      <c r="G372" s="34">
        <v>1</v>
      </c>
      <c r="H372" s="96">
        <v>4</v>
      </c>
      <c r="I372" s="10">
        <v>2</v>
      </c>
      <c r="J372" s="36">
        <v>0</v>
      </c>
      <c r="K372" s="36">
        <v>0</v>
      </c>
      <c r="L372" s="36">
        <v>1</v>
      </c>
      <c r="M372" s="36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1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1</v>
      </c>
      <c r="AF372" s="10">
        <v>0</v>
      </c>
      <c r="AG372" s="10">
        <v>0</v>
      </c>
      <c r="AH372" s="10">
        <v>2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46">
        <v>0</v>
      </c>
    </row>
    <row r="373" spans="1:44" ht="12.75">
      <c r="A373" s="34">
        <v>372</v>
      </c>
      <c r="B373" s="165">
        <v>46.12349</v>
      </c>
      <c r="C373" s="165">
        <v>-91.21446</v>
      </c>
      <c r="D373" s="10">
        <v>11</v>
      </c>
      <c r="E373" s="10" t="s">
        <v>563</v>
      </c>
      <c r="F373" s="149">
        <v>1</v>
      </c>
      <c r="G373" s="34">
        <v>1</v>
      </c>
      <c r="H373" s="96">
        <v>2</v>
      </c>
      <c r="I373" s="10">
        <v>1</v>
      </c>
      <c r="J373" s="36">
        <v>0</v>
      </c>
      <c r="K373" s="36">
        <v>0</v>
      </c>
      <c r="L373" s="36">
        <v>0</v>
      </c>
      <c r="M373" s="36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1</v>
      </c>
      <c r="U373" s="10">
        <v>1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46">
        <v>0</v>
      </c>
    </row>
    <row r="374" spans="1:44" ht="12.75">
      <c r="A374" s="34">
        <v>373</v>
      </c>
      <c r="B374" s="165">
        <v>46.1235</v>
      </c>
      <c r="C374" s="165">
        <v>-91.21399</v>
      </c>
      <c r="D374" s="10">
        <v>11.5</v>
      </c>
      <c r="E374" s="10" t="s">
        <v>563</v>
      </c>
      <c r="F374" s="149">
        <v>1</v>
      </c>
      <c r="G374" s="34">
        <v>0</v>
      </c>
      <c r="H374" s="96">
        <v>0</v>
      </c>
      <c r="I374" s="10">
        <v>0</v>
      </c>
      <c r="J374" s="36">
        <v>0</v>
      </c>
      <c r="K374" s="36">
        <v>0</v>
      </c>
      <c r="L374" s="36">
        <v>0</v>
      </c>
      <c r="M374" s="36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46">
        <v>0</v>
      </c>
    </row>
    <row r="375" spans="1:44" ht="12.75">
      <c r="A375" s="34">
        <v>374</v>
      </c>
      <c r="B375" s="165">
        <v>46.1235</v>
      </c>
      <c r="C375" s="165">
        <v>-91.21353</v>
      </c>
      <c r="D375" s="10">
        <v>10</v>
      </c>
      <c r="E375" s="10" t="s">
        <v>563</v>
      </c>
      <c r="F375" s="149">
        <v>1</v>
      </c>
      <c r="G375" s="34">
        <v>1</v>
      </c>
      <c r="H375" s="96">
        <v>2</v>
      </c>
      <c r="I375" s="10">
        <v>1</v>
      </c>
      <c r="J375" s="36">
        <v>0</v>
      </c>
      <c r="K375" s="36">
        <v>0</v>
      </c>
      <c r="L375" s="36">
        <v>1</v>
      </c>
      <c r="M375" s="36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1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46">
        <v>2</v>
      </c>
    </row>
    <row r="376" spans="1:44" ht="12.75">
      <c r="A376" s="34">
        <v>375</v>
      </c>
      <c r="B376" s="165">
        <v>46.12351</v>
      </c>
      <c r="C376" s="165">
        <v>-91.21306</v>
      </c>
      <c r="D376" s="10">
        <v>13.5</v>
      </c>
      <c r="E376" s="10" t="s">
        <v>563</v>
      </c>
      <c r="F376" s="149">
        <v>1</v>
      </c>
      <c r="G376" s="34">
        <v>0</v>
      </c>
      <c r="H376" s="96">
        <v>0</v>
      </c>
      <c r="I376" s="10">
        <v>0</v>
      </c>
      <c r="J376" s="36">
        <v>0</v>
      </c>
      <c r="K376" s="36">
        <v>0</v>
      </c>
      <c r="L376" s="36">
        <v>0</v>
      </c>
      <c r="M376" s="36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>
        <v>0</v>
      </c>
      <c r="AR376" s="146">
        <v>0</v>
      </c>
    </row>
    <row r="377" spans="1:44" ht="12.75">
      <c r="A377" s="34">
        <v>376</v>
      </c>
      <c r="B377" s="165">
        <v>46.12351</v>
      </c>
      <c r="C377" s="165">
        <v>-91.21259</v>
      </c>
      <c r="D377" s="10">
        <v>7.5</v>
      </c>
      <c r="E377" s="10" t="s">
        <v>563</v>
      </c>
      <c r="F377" s="149">
        <v>1</v>
      </c>
      <c r="G377" s="34">
        <v>1</v>
      </c>
      <c r="H377" s="96">
        <v>5</v>
      </c>
      <c r="I377" s="10">
        <v>2</v>
      </c>
      <c r="J377" s="36">
        <v>0</v>
      </c>
      <c r="K377" s="36">
        <v>0</v>
      </c>
      <c r="L377" s="36">
        <v>1</v>
      </c>
      <c r="M377" s="36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2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1</v>
      </c>
      <c r="AF377" s="10">
        <v>0</v>
      </c>
      <c r="AG377" s="10">
        <v>0</v>
      </c>
      <c r="AH377" s="10">
        <v>1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2</v>
      </c>
      <c r="AQ377" s="10">
        <v>0</v>
      </c>
      <c r="AR377" s="146">
        <v>0</v>
      </c>
    </row>
    <row r="378" spans="1:44" ht="12.75">
      <c r="A378" s="34">
        <v>377</v>
      </c>
      <c r="B378" s="165">
        <v>46.12352</v>
      </c>
      <c r="C378" s="165">
        <v>-91.21213</v>
      </c>
      <c r="D378" s="10">
        <v>4</v>
      </c>
      <c r="E378" s="10" t="s">
        <v>563</v>
      </c>
      <c r="F378" s="149">
        <v>1</v>
      </c>
      <c r="G378" s="34">
        <v>1</v>
      </c>
      <c r="H378" s="96">
        <v>5</v>
      </c>
      <c r="I378" s="10">
        <v>2</v>
      </c>
      <c r="J378" s="36">
        <v>0</v>
      </c>
      <c r="K378" s="36">
        <v>0</v>
      </c>
      <c r="L378" s="36">
        <v>0</v>
      </c>
      <c r="M378" s="36">
        <v>1</v>
      </c>
      <c r="N378" s="10">
        <v>0</v>
      </c>
      <c r="O378" s="10">
        <v>0</v>
      </c>
      <c r="P378" s="10">
        <v>0</v>
      </c>
      <c r="Q378" s="10">
        <v>0</v>
      </c>
      <c r="R378" s="10">
        <v>1</v>
      </c>
      <c r="S378" s="10">
        <v>0</v>
      </c>
      <c r="T378" s="10">
        <v>2</v>
      </c>
      <c r="U378" s="10">
        <v>0</v>
      </c>
      <c r="V378" s="10">
        <v>0</v>
      </c>
      <c r="W378" s="10">
        <v>0</v>
      </c>
      <c r="X378" s="10">
        <v>0</v>
      </c>
      <c r="Y378" s="10">
        <v>1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1</v>
      </c>
      <c r="AQ378" s="10">
        <v>0</v>
      </c>
      <c r="AR378" s="146">
        <v>1</v>
      </c>
    </row>
    <row r="379" spans="1:44" ht="12.75">
      <c r="A379" s="34">
        <v>378</v>
      </c>
      <c r="B379" s="165">
        <v>46.12377</v>
      </c>
      <c r="C379" s="165">
        <v>-91.21912</v>
      </c>
      <c r="D379" s="10">
        <v>3.5</v>
      </c>
      <c r="E379" s="10" t="s">
        <v>563</v>
      </c>
      <c r="F379" s="149">
        <v>1</v>
      </c>
      <c r="G379" s="34">
        <v>1</v>
      </c>
      <c r="H379" s="96">
        <v>5</v>
      </c>
      <c r="I379" s="10">
        <v>2</v>
      </c>
      <c r="J379" s="36">
        <v>0</v>
      </c>
      <c r="K379" s="36">
        <v>0</v>
      </c>
      <c r="L379" s="36">
        <v>2</v>
      </c>
      <c r="M379" s="36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2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1</v>
      </c>
      <c r="AF379" s="10">
        <v>0</v>
      </c>
      <c r="AG379" s="10">
        <v>0</v>
      </c>
      <c r="AH379" s="10">
        <v>4</v>
      </c>
      <c r="AI379" s="10">
        <v>0</v>
      </c>
      <c r="AJ379" s="10">
        <v>1</v>
      </c>
      <c r="AK379" s="10">
        <v>0</v>
      </c>
      <c r="AL379" s="10">
        <v>1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46">
        <v>0</v>
      </c>
    </row>
    <row r="380" spans="1:44" ht="12.75">
      <c r="A380" s="34">
        <v>379</v>
      </c>
      <c r="B380" s="165">
        <v>46.12377</v>
      </c>
      <c r="C380" s="165">
        <v>-91.21866</v>
      </c>
      <c r="D380" s="10">
        <v>5.5</v>
      </c>
      <c r="E380" s="10" t="s">
        <v>563</v>
      </c>
      <c r="F380" s="149">
        <v>1</v>
      </c>
      <c r="G380" s="34">
        <v>1</v>
      </c>
      <c r="H380" s="96">
        <v>3</v>
      </c>
      <c r="I380" s="10">
        <v>2</v>
      </c>
      <c r="J380" s="36">
        <v>0</v>
      </c>
      <c r="K380" s="36">
        <v>0</v>
      </c>
      <c r="L380" s="36">
        <v>0</v>
      </c>
      <c r="M380" s="36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2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2</v>
      </c>
      <c r="AD380" s="10">
        <v>4</v>
      </c>
      <c r="AE380" s="10">
        <v>0</v>
      </c>
      <c r="AF380" s="10">
        <v>0</v>
      </c>
      <c r="AG380" s="10">
        <v>0</v>
      </c>
      <c r="AH380" s="10">
        <v>2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46">
        <v>0</v>
      </c>
    </row>
    <row r="381" spans="1:44" ht="12.75">
      <c r="A381" s="34">
        <v>380</v>
      </c>
      <c r="B381" s="165">
        <v>46.12378</v>
      </c>
      <c r="C381" s="165">
        <v>-91.21819</v>
      </c>
      <c r="D381" s="10">
        <v>8.5</v>
      </c>
      <c r="E381" s="10" t="s">
        <v>563</v>
      </c>
      <c r="F381" s="149">
        <v>1</v>
      </c>
      <c r="G381" s="34">
        <v>1</v>
      </c>
      <c r="H381" s="96">
        <v>1</v>
      </c>
      <c r="I381" s="10">
        <v>1</v>
      </c>
      <c r="J381" s="36">
        <v>0</v>
      </c>
      <c r="K381" s="36">
        <v>0</v>
      </c>
      <c r="L381" s="36">
        <v>1</v>
      </c>
      <c r="M381" s="36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46">
        <v>0</v>
      </c>
    </row>
    <row r="382" spans="1:44" ht="12.75">
      <c r="A382" s="34">
        <v>381</v>
      </c>
      <c r="B382" s="165">
        <v>46.12378</v>
      </c>
      <c r="C382" s="165">
        <v>-91.21773</v>
      </c>
      <c r="D382" s="10">
        <v>10</v>
      </c>
      <c r="E382" s="10" t="s">
        <v>563</v>
      </c>
      <c r="F382" s="149">
        <v>1</v>
      </c>
      <c r="G382" s="34">
        <v>1</v>
      </c>
      <c r="H382" s="96">
        <v>2</v>
      </c>
      <c r="I382" s="10">
        <v>1</v>
      </c>
      <c r="J382" s="36">
        <v>0</v>
      </c>
      <c r="K382" s="36">
        <v>0</v>
      </c>
      <c r="L382" s="36">
        <v>0</v>
      </c>
      <c r="M382" s="36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1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0</v>
      </c>
      <c r="AL382" s="10">
        <v>1</v>
      </c>
      <c r="AM382" s="10">
        <v>0</v>
      </c>
      <c r="AN382" s="10">
        <v>0</v>
      </c>
      <c r="AO382" s="10">
        <v>0</v>
      </c>
      <c r="AP382" s="10">
        <v>0</v>
      </c>
      <c r="AQ382" s="10">
        <v>0</v>
      </c>
      <c r="AR382" s="146">
        <v>1</v>
      </c>
    </row>
    <row r="383" spans="1:44" ht="12.75">
      <c r="A383" s="34">
        <v>382</v>
      </c>
      <c r="B383" s="165">
        <v>46.12379</v>
      </c>
      <c r="C383" s="165">
        <v>-91.21726</v>
      </c>
      <c r="D383" s="10">
        <v>12.5</v>
      </c>
      <c r="E383" s="10" t="s">
        <v>563</v>
      </c>
      <c r="F383" s="149">
        <v>1</v>
      </c>
      <c r="G383" s="34">
        <v>0</v>
      </c>
      <c r="H383" s="96">
        <v>0</v>
      </c>
      <c r="I383" s="10">
        <v>0</v>
      </c>
      <c r="J383" s="36">
        <v>0</v>
      </c>
      <c r="K383" s="36">
        <v>0</v>
      </c>
      <c r="L383" s="36">
        <v>0</v>
      </c>
      <c r="M383" s="36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0</v>
      </c>
      <c r="AN383" s="10">
        <v>0</v>
      </c>
      <c r="AO383" s="10">
        <v>0</v>
      </c>
      <c r="AP383" s="10">
        <v>0</v>
      </c>
      <c r="AQ383" s="10">
        <v>0</v>
      </c>
      <c r="AR383" s="146">
        <v>0</v>
      </c>
    </row>
    <row r="384" spans="1:44" ht="12.75">
      <c r="A384" s="34">
        <v>383</v>
      </c>
      <c r="B384" s="165">
        <v>46.12379</v>
      </c>
      <c r="C384" s="165">
        <v>-91.21679</v>
      </c>
      <c r="D384" s="10">
        <v>8</v>
      </c>
      <c r="E384" s="10" t="s">
        <v>563</v>
      </c>
      <c r="F384" s="149">
        <v>1</v>
      </c>
      <c r="G384" s="34">
        <v>1</v>
      </c>
      <c r="H384" s="96">
        <v>2</v>
      </c>
      <c r="I384" s="10">
        <v>1</v>
      </c>
      <c r="J384" s="36">
        <v>0</v>
      </c>
      <c r="K384" s="36">
        <v>0</v>
      </c>
      <c r="L384" s="36">
        <v>1</v>
      </c>
      <c r="M384" s="36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1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46">
        <v>0</v>
      </c>
    </row>
    <row r="385" spans="1:44" ht="12.75">
      <c r="A385" s="34">
        <v>384</v>
      </c>
      <c r="B385" s="165">
        <v>46.1238</v>
      </c>
      <c r="C385" s="165">
        <v>-91.21633</v>
      </c>
      <c r="D385" s="10">
        <v>3.5</v>
      </c>
      <c r="E385" s="10" t="s">
        <v>563</v>
      </c>
      <c r="F385" s="149">
        <v>1</v>
      </c>
      <c r="G385" s="34">
        <v>1</v>
      </c>
      <c r="H385" s="96">
        <v>5</v>
      </c>
      <c r="I385" s="10">
        <v>3</v>
      </c>
      <c r="J385" s="36">
        <v>0</v>
      </c>
      <c r="K385" s="36">
        <v>0</v>
      </c>
      <c r="L385" s="36">
        <v>0</v>
      </c>
      <c r="M385" s="36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1</v>
      </c>
      <c r="U385" s="10">
        <v>0</v>
      </c>
      <c r="V385" s="10">
        <v>2</v>
      </c>
      <c r="W385" s="10">
        <v>3</v>
      </c>
      <c r="X385" s="10">
        <v>0</v>
      </c>
      <c r="Y385" s="10">
        <v>0</v>
      </c>
      <c r="Z385" s="10">
        <v>0</v>
      </c>
      <c r="AA385" s="10">
        <v>1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1</v>
      </c>
      <c r="AP385" s="10">
        <v>0</v>
      </c>
      <c r="AQ385" s="10">
        <v>0</v>
      </c>
      <c r="AR385" s="146">
        <v>0</v>
      </c>
    </row>
    <row r="386" spans="1:44" ht="12.75">
      <c r="A386" s="34">
        <v>385</v>
      </c>
      <c r="B386" s="165">
        <v>46.1238</v>
      </c>
      <c r="C386" s="165">
        <v>-91.21586</v>
      </c>
      <c r="D386" s="10">
        <v>2.5</v>
      </c>
      <c r="E386" s="10" t="s">
        <v>563</v>
      </c>
      <c r="F386" s="149">
        <v>1</v>
      </c>
      <c r="G386" s="34">
        <v>1</v>
      </c>
      <c r="H386" s="96">
        <v>4</v>
      </c>
      <c r="I386" s="10">
        <v>3</v>
      </c>
      <c r="J386" s="36">
        <v>0</v>
      </c>
      <c r="K386" s="36">
        <v>0</v>
      </c>
      <c r="L386" s="36">
        <v>0</v>
      </c>
      <c r="M386" s="36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1</v>
      </c>
      <c r="S386" s="10">
        <v>0</v>
      </c>
      <c r="T386" s="10">
        <v>1</v>
      </c>
      <c r="U386" s="10">
        <v>0</v>
      </c>
      <c r="V386" s="10">
        <v>0</v>
      </c>
      <c r="W386" s="10">
        <v>3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1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46">
        <v>0</v>
      </c>
    </row>
    <row r="387" spans="1:44" ht="12.75">
      <c r="A387" s="34">
        <v>386</v>
      </c>
      <c r="B387" s="165">
        <v>46.12381</v>
      </c>
      <c r="C387" s="165">
        <v>-91.2154</v>
      </c>
      <c r="D387" s="10">
        <v>3.5</v>
      </c>
      <c r="E387" s="10" t="s">
        <v>563</v>
      </c>
      <c r="F387" s="149">
        <v>1</v>
      </c>
      <c r="G387" s="34">
        <v>1</v>
      </c>
      <c r="H387" s="96">
        <v>7</v>
      </c>
      <c r="I387" s="10">
        <v>3</v>
      </c>
      <c r="J387" s="36">
        <v>0</v>
      </c>
      <c r="K387" s="36">
        <v>0</v>
      </c>
      <c r="L387" s="36">
        <v>0</v>
      </c>
      <c r="M387" s="36">
        <v>0</v>
      </c>
      <c r="N387" s="10">
        <v>0</v>
      </c>
      <c r="O387" s="10">
        <v>0</v>
      </c>
      <c r="P387" s="10">
        <v>0</v>
      </c>
      <c r="Q387" s="10">
        <v>1</v>
      </c>
      <c r="R387" s="10">
        <v>0</v>
      </c>
      <c r="S387" s="10">
        <v>0</v>
      </c>
      <c r="T387" s="10">
        <v>1</v>
      </c>
      <c r="U387" s="10">
        <v>0</v>
      </c>
      <c r="V387" s="10">
        <v>3</v>
      </c>
      <c r="W387" s="10">
        <v>2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1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4</v>
      </c>
      <c r="AL387" s="10">
        <v>1</v>
      </c>
      <c r="AM387" s="10">
        <v>0</v>
      </c>
      <c r="AN387" s="10">
        <v>0</v>
      </c>
      <c r="AO387" s="10">
        <v>1</v>
      </c>
      <c r="AP387" s="10">
        <v>0</v>
      </c>
      <c r="AQ387" s="10">
        <v>0</v>
      </c>
      <c r="AR387" s="146">
        <v>1</v>
      </c>
    </row>
    <row r="388" spans="1:44" ht="12.75">
      <c r="A388" s="34">
        <v>387</v>
      </c>
      <c r="B388" s="165">
        <v>46.12381</v>
      </c>
      <c r="C388" s="165">
        <v>-91.21493</v>
      </c>
      <c r="D388" s="10">
        <v>4</v>
      </c>
      <c r="E388" s="10" t="s">
        <v>563</v>
      </c>
      <c r="F388" s="149">
        <v>1</v>
      </c>
      <c r="G388" s="34">
        <v>1</v>
      </c>
      <c r="H388" s="96">
        <v>6</v>
      </c>
      <c r="I388" s="10">
        <v>3</v>
      </c>
      <c r="J388" s="36">
        <v>0</v>
      </c>
      <c r="K388" s="36">
        <v>0</v>
      </c>
      <c r="L388" s="36">
        <v>0</v>
      </c>
      <c r="M388" s="36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1</v>
      </c>
      <c r="S388" s="10">
        <v>0</v>
      </c>
      <c r="T388" s="10">
        <v>1</v>
      </c>
      <c r="U388" s="10">
        <v>0</v>
      </c>
      <c r="V388" s="10">
        <v>2</v>
      </c>
      <c r="W388" s="10">
        <v>2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1</v>
      </c>
      <c r="AD388" s="10">
        <v>0</v>
      </c>
      <c r="AE388" s="10">
        <v>0</v>
      </c>
      <c r="AF388" s="10">
        <v>0</v>
      </c>
      <c r="AG388" s="10">
        <v>0</v>
      </c>
      <c r="AH388" s="10">
        <v>1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46">
        <v>0</v>
      </c>
    </row>
    <row r="389" spans="1:44" ht="12.75">
      <c r="A389" s="34">
        <v>388</v>
      </c>
      <c r="B389" s="165">
        <v>46.12382</v>
      </c>
      <c r="C389" s="165">
        <v>-91.21447</v>
      </c>
      <c r="D389" s="10">
        <v>8.5</v>
      </c>
      <c r="E389" s="10" t="s">
        <v>563</v>
      </c>
      <c r="F389" s="149">
        <v>1</v>
      </c>
      <c r="G389" s="34">
        <v>1</v>
      </c>
      <c r="H389" s="96">
        <v>4</v>
      </c>
      <c r="I389" s="10">
        <v>2</v>
      </c>
      <c r="J389" s="36">
        <v>0</v>
      </c>
      <c r="K389" s="36">
        <v>0</v>
      </c>
      <c r="L389" s="36">
        <v>2</v>
      </c>
      <c r="M389" s="36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1</v>
      </c>
      <c r="S389" s="10">
        <v>0</v>
      </c>
      <c r="T389" s="10">
        <v>1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1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46">
        <v>0</v>
      </c>
    </row>
    <row r="390" spans="1:44" ht="12.75">
      <c r="A390" s="34">
        <v>389</v>
      </c>
      <c r="B390" s="165">
        <v>46.12382</v>
      </c>
      <c r="C390" s="165">
        <v>-91.214</v>
      </c>
      <c r="D390" s="10">
        <v>10</v>
      </c>
      <c r="E390" s="10" t="s">
        <v>563</v>
      </c>
      <c r="F390" s="149">
        <v>1</v>
      </c>
      <c r="G390" s="34">
        <v>1</v>
      </c>
      <c r="H390" s="96">
        <v>2</v>
      </c>
      <c r="I390" s="10">
        <v>1</v>
      </c>
      <c r="J390" s="36">
        <v>0</v>
      </c>
      <c r="K390" s="36">
        <v>0</v>
      </c>
      <c r="L390" s="36">
        <v>0</v>
      </c>
      <c r="M390" s="36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1</v>
      </c>
      <c r="U390" s="10">
        <v>1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46">
        <v>1</v>
      </c>
    </row>
    <row r="391" spans="1:44" ht="12.75">
      <c r="A391" s="34">
        <v>390</v>
      </c>
      <c r="B391" s="165">
        <v>46.12383</v>
      </c>
      <c r="C391" s="165">
        <v>-91.21353</v>
      </c>
      <c r="D391" s="10">
        <v>9.5</v>
      </c>
      <c r="E391" s="10" t="s">
        <v>563</v>
      </c>
      <c r="F391" s="149">
        <v>1</v>
      </c>
      <c r="G391" s="34">
        <v>0</v>
      </c>
      <c r="H391" s="96">
        <v>0</v>
      </c>
      <c r="I391" s="10">
        <v>0</v>
      </c>
      <c r="J391" s="36">
        <v>0</v>
      </c>
      <c r="K391" s="36">
        <v>0</v>
      </c>
      <c r="L391" s="36">
        <v>0</v>
      </c>
      <c r="M391" s="36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  <c r="AM391" s="10">
        <v>0</v>
      </c>
      <c r="AN391" s="10">
        <v>0</v>
      </c>
      <c r="AO391" s="10">
        <v>0</v>
      </c>
      <c r="AP391" s="10">
        <v>0</v>
      </c>
      <c r="AQ391" s="10">
        <v>0</v>
      </c>
      <c r="AR391" s="146">
        <v>0</v>
      </c>
    </row>
    <row r="392" spans="1:44" ht="12.75">
      <c r="A392" s="34">
        <v>391</v>
      </c>
      <c r="B392" s="165">
        <v>46.12383</v>
      </c>
      <c r="C392" s="165">
        <v>-91.21307</v>
      </c>
      <c r="D392" s="10">
        <v>4.5</v>
      </c>
      <c r="E392" s="10" t="s">
        <v>563</v>
      </c>
      <c r="F392" s="149">
        <v>1</v>
      </c>
      <c r="G392" s="34">
        <v>1</v>
      </c>
      <c r="H392" s="96">
        <v>4</v>
      </c>
      <c r="I392" s="10">
        <v>2</v>
      </c>
      <c r="J392" s="36">
        <v>0</v>
      </c>
      <c r="K392" s="36">
        <v>0</v>
      </c>
      <c r="L392" s="36">
        <v>0</v>
      </c>
      <c r="M392" s="36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4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1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1</v>
      </c>
      <c r="AF392" s="10">
        <v>0</v>
      </c>
      <c r="AG392" s="10">
        <v>0</v>
      </c>
      <c r="AH392" s="10">
        <v>2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4</v>
      </c>
      <c r="AP392" s="10">
        <v>1</v>
      </c>
      <c r="AQ392" s="10">
        <v>0</v>
      </c>
      <c r="AR392" s="146">
        <v>0</v>
      </c>
    </row>
    <row r="393" spans="1:44" ht="12.75">
      <c r="A393" s="34">
        <v>392</v>
      </c>
      <c r="B393" s="165">
        <v>46.12384</v>
      </c>
      <c r="C393" s="165">
        <v>-91.2126</v>
      </c>
      <c r="D393" s="10">
        <v>2</v>
      </c>
      <c r="E393" s="10" t="s">
        <v>565</v>
      </c>
      <c r="F393" s="149">
        <v>1</v>
      </c>
      <c r="G393" s="34">
        <v>1</v>
      </c>
      <c r="H393" s="96">
        <v>5</v>
      </c>
      <c r="I393" s="10">
        <v>2</v>
      </c>
      <c r="J393" s="36">
        <v>0</v>
      </c>
      <c r="K393" s="36">
        <v>0</v>
      </c>
      <c r="L393" s="36">
        <v>0</v>
      </c>
      <c r="M393" s="36">
        <v>1</v>
      </c>
      <c r="N393" s="10">
        <v>2</v>
      </c>
      <c r="O393" s="10">
        <v>2</v>
      </c>
      <c r="P393" s="10">
        <v>0</v>
      </c>
      <c r="Q393" s="10">
        <v>1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1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4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46">
        <v>0</v>
      </c>
    </row>
    <row r="394" spans="1:44" ht="12.75">
      <c r="A394" s="34">
        <v>393</v>
      </c>
      <c r="B394" s="165">
        <v>46.12409</v>
      </c>
      <c r="C394" s="165">
        <v>-91.21913</v>
      </c>
      <c r="D394" s="10">
        <v>3</v>
      </c>
      <c r="E394" s="10" t="s">
        <v>563</v>
      </c>
      <c r="F394" s="149">
        <v>1</v>
      </c>
      <c r="G394" s="34">
        <v>1</v>
      </c>
      <c r="H394" s="96">
        <v>3</v>
      </c>
      <c r="I394" s="10">
        <v>3</v>
      </c>
      <c r="J394" s="36">
        <v>0</v>
      </c>
      <c r="K394" s="36">
        <v>0</v>
      </c>
      <c r="L394" s="36">
        <v>0</v>
      </c>
      <c r="M394" s="36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1</v>
      </c>
      <c r="S394" s="10">
        <v>0</v>
      </c>
      <c r="T394" s="10">
        <v>0</v>
      </c>
      <c r="U394" s="10">
        <v>0</v>
      </c>
      <c r="V394" s="10">
        <v>0</v>
      </c>
      <c r="W394" s="10">
        <v>3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1</v>
      </c>
      <c r="AI394" s="10">
        <v>0</v>
      </c>
      <c r="AJ394" s="10">
        <v>0</v>
      </c>
      <c r="AK394" s="10">
        <v>0</v>
      </c>
      <c r="AL394" s="10">
        <v>0</v>
      </c>
      <c r="AM394" s="10">
        <v>0</v>
      </c>
      <c r="AN394" s="10">
        <v>0</v>
      </c>
      <c r="AO394" s="10">
        <v>0</v>
      </c>
      <c r="AP394" s="10">
        <v>0</v>
      </c>
      <c r="AQ394" s="10">
        <v>0</v>
      </c>
      <c r="AR394" s="146">
        <v>0</v>
      </c>
    </row>
    <row r="395" spans="1:44" ht="12.75">
      <c r="A395" s="34">
        <v>394</v>
      </c>
      <c r="B395" s="165">
        <v>46.1241</v>
      </c>
      <c r="C395" s="165">
        <v>-91.21867</v>
      </c>
      <c r="D395" s="10">
        <v>3</v>
      </c>
      <c r="E395" s="10" t="s">
        <v>563</v>
      </c>
      <c r="F395" s="149">
        <v>1</v>
      </c>
      <c r="G395" s="34">
        <v>1</v>
      </c>
      <c r="H395" s="96">
        <v>4</v>
      </c>
      <c r="I395" s="10">
        <v>3</v>
      </c>
      <c r="J395" s="36">
        <v>0</v>
      </c>
      <c r="K395" s="36">
        <v>0</v>
      </c>
      <c r="L395" s="36">
        <v>0</v>
      </c>
      <c r="M395" s="36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2</v>
      </c>
      <c r="W395" s="10">
        <v>1</v>
      </c>
      <c r="X395" s="10">
        <v>0</v>
      </c>
      <c r="Y395" s="10">
        <v>4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2</v>
      </c>
      <c r="AH395" s="10">
        <v>1</v>
      </c>
      <c r="AI395" s="10">
        <v>0</v>
      </c>
      <c r="AJ395" s="10">
        <v>0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46">
        <v>0</v>
      </c>
    </row>
    <row r="396" spans="1:44" ht="12.75">
      <c r="A396" s="34">
        <v>395</v>
      </c>
      <c r="B396" s="165">
        <v>46.1241</v>
      </c>
      <c r="C396" s="165">
        <v>-91.2182</v>
      </c>
      <c r="D396" s="10">
        <v>3</v>
      </c>
      <c r="E396" s="10" t="s">
        <v>563</v>
      </c>
      <c r="F396" s="149">
        <v>1</v>
      </c>
      <c r="G396" s="34">
        <v>1</v>
      </c>
      <c r="H396" s="96">
        <v>4</v>
      </c>
      <c r="I396" s="10">
        <v>2</v>
      </c>
      <c r="J396" s="36">
        <v>4</v>
      </c>
      <c r="K396" s="36">
        <v>0</v>
      </c>
      <c r="L396" s="36">
        <v>0</v>
      </c>
      <c r="M396" s="36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4</v>
      </c>
      <c r="U396" s="10">
        <v>0</v>
      </c>
      <c r="V396" s="10">
        <v>0</v>
      </c>
      <c r="W396" s="10">
        <v>2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4</v>
      </c>
      <c r="AE396" s="10">
        <v>4</v>
      </c>
      <c r="AF396" s="10">
        <v>1</v>
      </c>
      <c r="AG396" s="10">
        <v>0</v>
      </c>
      <c r="AH396" s="10">
        <v>1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1</v>
      </c>
      <c r="AP396" s="10">
        <v>0</v>
      </c>
      <c r="AQ396" s="10">
        <v>0</v>
      </c>
      <c r="AR396" s="146">
        <v>0</v>
      </c>
    </row>
    <row r="397" spans="1:44" ht="12.75">
      <c r="A397" s="34">
        <v>396</v>
      </c>
      <c r="B397" s="165">
        <v>46.12411</v>
      </c>
      <c r="C397" s="165">
        <v>-91.21773</v>
      </c>
      <c r="D397" s="10">
        <v>6</v>
      </c>
      <c r="E397" s="10" t="s">
        <v>563</v>
      </c>
      <c r="F397" s="149">
        <v>1</v>
      </c>
      <c r="G397" s="34">
        <v>1</v>
      </c>
      <c r="H397" s="96">
        <v>2</v>
      </c>
      <c r="I397" s="10">
        <v>1</v>
      </c>
      <c r="J397" s="36">
        <v>0</v>
      </c>
      <c r="K397" s="36">
        <v>0</v>
      </c>
      <c r="L397" s="36">
        <v>1</v>
      </c>
      <c r="M397" s="36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1</v>
      </c>
      <c r="AI397" s="10">
        <v>0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46">
        <v>1</v>
      </c>
    </row>
    <row r="398" spans="1:44" ht="12.75">
      <c r="A398" s="34">
        <v>397</v>
      </c>
      <c r="B398" s="165">
        <v>46.12411</v>
      </c>
      <c r="C398" s="165">
        <v>-91.21727</v>
      </c>
      <c r="D398" s="10">
        <v>4.5</v>
      </c>
      <c r="E398" s="10" t="s">
        <v>563</v>
      </c>
      <c r="F398" s="149">
        <v>1</v>
      </c>
      <c r="G398" s="34">
        <v>1</v>
      </c>
      <c r="H398" s="96">
        <v>7</v>
      </c>
      <c r="I398" s="10">
        <v>3</v>
      </c>
      <c r="J398" s="36">
        <v>0</v>
      </c>
      <c r="K398" s="36">
        <v>0</v>
      </c>
      <c r="L398" s="36">
        <v>0</v>
      </c>
      <c r="M398" s="36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4</v>
      </c>
      <c r="S398" s="10">
        <v>0</v>
      </c>
      <c r="T398" s="10">
        <v>1</v>
      </c>
      <c r="U398" s="10">
        <v>0</v>
      </c>
      <c r="V398" s="10">
        <v>0</v>
      </c>
      <c r="W398" s="10">
        <v>2</v>
      </c>
      <c r="X398" s="10">
        <v>0</v>
      </c>
      <c r="Y398" s="10">
        <v>1</v>
      </c>
      <c r="Z398" s="10">
        <v>0</v>
      </c>
      <c r="AA398" s="10">
        <v>0</v>
      </c>
      <c r="AB398" s="10">
        <v>0</v>
      </c>
      <c r="AC398" s="10">
        <v>2</v>
      </c>
      <c r="AD398" s="10">
        <v>0</v>
      </c>
      <c r="AE398" s="10">
        <v>0</v>
      </c>
      <c r="AF398" s="10">
        <v>0</v>
      </c>
      <c r="AG398" s="10">
        <v>1</v>
      </c>
      <c r="AH398" s="10">
        <v>1</v>
      </c>
      <c r="AI398" s="10">
        <v>0</v>
      </c>
      <c r="AJ398" s="10">
        <v>0</v>
      </c>
      <c r="AK398" s="10">
        <v>0</v>
      </c>
      <c r="AL398" s="10">
        <v>1</v>
      </c>
      <c r="AM398" s="10">
        <v>0</v>
      </c>
      <c r="AN398" s="10">
        <v>0</v>
      </c>
      <c r="AO398" s="10">
        <v>0</v>
      </c>
      <c r="AP398" s="10">
        <v>0</v>
      </c>
      <c r="AQ398" s="10">
        <v>0</v>
      </c>
      <c r="AR398" s="146">
        <v>0</v>
      </c>
    </row>
    <row r="399" spans="1:44" ht="12.75">
      <c r="A399" s="34">
        <v>398</v>
      </c>
      <c r="B399" s="165">
        <v>46.12412</v>
      </c>
      <c r="C399" s="165">
        <v>-91.2168</v>
      </c>
      <c r="D399" s="10">
        <v>3.5</v>
      </c>
      <c r="E399" s="10" t="s">
        <v>563</v>
      </c>
      <c r="F399" s="149">
        <v>1</v>
      </c>
      <c r="G399" s="34">
        <v>1</v>
      </c>
      <c r="H399" s="96">
        <v>4</v>
      </c>
      <c r="I399" s="10">
        <v>3</v>
      </c>
      <c r="J399" s="36">
        <v>0</v>
      </c>
      <c r="K399" s="36">
        <v>1</v>
      </c>
      <c r="L399" s="36">
        <v>0</v>
      </c>
      <c r="M399" s="36">
        <v>1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3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4</v>
      </c>
      <c r="AF399" s="10">
        <v>0</v>
      </c>
      <c r="AG399" s="10">
        <v>0</v>
      </c>
      <c r="AH399" s="10">
        <v>4</v>
      </c>
      <c r="AI399" s="10">
        <v>0</v>
      </c>
      <c r="AJ399" s="10">
        <v>0</v>
      </c>
      <c r="AK399" s="10">
        <v>0</v>
      </c>
      <c r="AL399" s="10">
        <v>1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46">
        <v>0</v>
      </c>
    </row>
    <row r="400" spans="1:44" ht="12.75">
      <c r="A400" s="34">
        <v>399</v>
      </c>
      <c r="B400" s="165">
        <v>46.12414</v>
      </c>
      <c r="C400" s="165">
        <v>-91.21494</v>
      </c>
      <c r="D400" s="10">
        <v>2</v>
      </c>
      <c r="E400" s="10" t="s">
        <v>563</v>
      </c>
      <c r="F400" s="149">
        <v>1</v>
      </c>
      <c r="G400" s="34">
        <v>1</v>
      </c>
      <c r="H400" s="96">
        <v>5</v>
      </c>
      <c r="I400" s="10">
        <v>3</v>
      </c>
      <c r="J400" s="36">
        <v>0</v>
      </c>
      <c r="K400" s="36">
        <v>0</v>
      </c>
      <c r="L400" s="36">
        <v>1</v>
      </c>
      <c r="M400" s="36">
        <v>1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3</v>
      </c>
      <c r="W400" s="10">
        <v>1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4</v>
      </c>
      <c r="AL400" s="10">
        <v>1</v>
      </c>
      <c r="AM400" s="10">
        <v>0</v>
      </c>
      <c r="AN400" s="10">
        <v>0</v>
      </c>
      <c r="AO400" s="10">
        <v>0</v>
      </c>
      <c r="AP400" s="10">
        <v>0</v>
      </c>
      <c r="AQ400" s="10">
        <v>0</v>
      </c>
      <c r="AR400" s="146">
        <v>0</v>
      </c>
    </row>
    <row r="401" spans="1:44" ht="12.75">
      <c r="A401" s="34">
        <v>400</v>
      </c>
      <c r="B401" s="165">
        <v>46.12414</v>
      </c>
      <c r="C401" s="165">
        <v>-91.21447</v>
      </c>
      <c r="D401" s="10">
        <v>6.5</v>
      </c>
      <c r="E401" s="10" t="s">
        <v>563</v>
      </c>
      <c r="F401" s="149">
        <v>1</v>
      </c>
      <c r="G401" s="34">
        <v>1</v>
      </c>
      <c r="H401" s="96">
        <v>8</v>
      </c>
      <c r="I401" s="10">
        <v>2</v>
      </c>
      <c r="J401" s="36">
        <v>0</v>
      </c>
      <c r="K401" s="36">
        <v>0</v>
      </c>
      <c r="L401" s="36">
        <v>0</v>
      </c>
      <c r="M401" s="36">
        <v>0</v>
      </c>
      <c r="N401" s="10">
        <v>0</v>
      </c>
      <c r="O401" s="10">
        <v>0</v>
      </c>
      <c r="P401" s="10">
        <v>1</v>
      </c>
      <c r="Q401" s="10">
        <v>0</v>
      </c>
      <c r="R401" s="10">
        <v>0</v>
      </c>
      <c r="S401" s="10">
        <v>0</v>
      </c>
      <c r="T401" s="10">
        <v>1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2</v>
      </c>
      <c r="AE401" s="10">
        <v>1</v>
      </c>
      <c r="AF401" s="10">
        <v>0</v>
      </c>
      <c r="AG401" s="10">
        <v>1</v>
      </c>
      <c r="AH401" s="10">
        <v>2</v>
      </c>
      <c r="AI401" s="10">
        <v>0</v>
      </c>
      <c r="AJ401" s="10">
        <v>0</v>
      </c>
      <c r="AK401" s="10">
        <v>0</v>
      </c>
      <c r="AL401" s="10">
        <v>1</v>
      </c>
      <c r="AM401" s="10">
        <v>1</v>
      </c>
      <c r="AN401" s="10">
        <v>0</v>
      </c>
      <c r="AO401" s="10">
        <v>0</v>
      </c>
      <c r="AP401" s="10">
        <v>0</v>
      </c>
      <c r="AQ401" s="10">
        <v>0</v>
      </c>
      <c r="AR401" s="146">
        <v>0</v>
      </c>
    </row>
    <row r="402" spans="1:44" ht="12.75">
      <c r="A402" s="34">
        <v>401</v>
      </c>
      <c r="B402" s="165">
        <v>46.12415</v>
      </c>
      <c r="C402" s="165">
        <v>-91.21401</v>
      </c>
      <c r="D402" s="10">
        <v>5</v>
      </c>
      <c r="E402" s="10" t="s">
        <v>563</v>
      </c>
      <c r="F402" s="149">
        <v>1</v>
      </c>
      <c r="G402" s="34">
        <v>1</v>
      </c>
      <c r="H402" s="96">
        <v>6</v>
      </c>
      <c r="I402" s="10">
        <v>2</v>
      </c>
      <c r="J402" s="36">
        <v>2</v>
      </c>
      <c r="K402" s="36">
        <v>0</v>
      </c>
      <c r="L402" s="36">
        <v>1</v>
      </c>
      <c r="M402" s="36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4</v>
      </c>
      <c r="S402" s="10">
        <v>0</v>
      </c>
      <c r="T402" s="10">
        <v>1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4</v>
      </c>
      <c r="AB402" s="10">
        <v>0</v>
      </c>
      <c r="AC402" s="10">
        <v>0</v>
      </c>
      <c r="AD402" s="10">
        <v>4</v>
      </c>
      <c r="AE402" s="10">
        <v>0</v>
      </c>
      <c r="AF402" s="10">
        <v>0</v>
      </c>
      <c r="AG402" s="10">
        <v>0</v>
      </c>
      <c r="AH402" s="10">
        <v>1</v>
      </c>
      <c r="AI402" s="10">
        <v>0</v>
      </c>
      <c r="AJ402" s="10">
        <v>0</v>
      </c>
      <c r="AK402" s="10">
        <v>0</v>
      </c>
      <c r="AL402" s="10">
        <v>0</v>
      </c>
      <c r="AM402" s="10">
        <v>0</v>
      </c>
      <c r="AN402" s="10">
        <v>0</v>
      </c>
      <c r="AO402" s="10">
        <v>1</v>
      </c>
      <c r="AP402" s="10">
        <v>2</v>
      </c>
      <c r="AQ402" s="10">
        <v>0</v>
      </c>
      <c r="AR402" s="146">
        <v>0</v>
      </c>
    </row>
    <row r="403" spans="1:44" ht="12.75">
      <c r="A403" s="34">
        <v>402</v>
      </c>
      <c r="B403" s="165">
        <v>46.12415</v>
      </c>
      <c r="C403" s="165">
        <v>-91.21354</v>
      </c>
      <c r="D403" s="10">
        <v>4</v>
      </c>
      <c r="E403" s="10" t="s">
        <v>563</v>
      </c>
      <c r="F403" s="149">
        <v>1</v>
      </c>
      <c r="G403" s="34">
        <v>1</v>
      </c>
      <c r="H403" s="96">
        <v>7</v>
      </c>
      <c r="I403" s="10">
        <v>2</v>
      </c>
      <c r="J403" s="36">
        <v>0</v>
      </c>
      <c r="K403" s="36">
        <v>0</v>
      </c>
      <c r="L403" s="36">
        <v>1</v>
      </c>
      <c r="M403" s="36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2</v>
      </c>
      <c r="W403" s="10">
        <v>1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1</v>
      </c>
      <c r="AH403" s="10">
        <v>1</v>
      </c>
      <c r="AI403" s="10">
        <v>0</v>
      </c>
      <c r="AJ403" s="10">
        <v>0</v>
      </c>
      <c r="AK403" s="10">
        <v>0</v>
      </c>
      <c r="AL403" s="10">
        <v>1</v>
      </c>
      <c r="AM403" s="10">
        <v>0</v>
      </c>
      <c r="AN403" s="10">
        <v>0</v>
      </c>
      <c r="AO403" s="10">
        <v>0</v>
      </c>
      <c r="AP403" s="10">
        <v>1</v>
      </c>
      <c r="AQ403" s="10">
        <v>0</v>
      </c>
      <c r="AR403" s="146">
        <v>0</v>
      </c>
    </row>
    <row r="404" spans="1:44" ht="12.75">
      <c r="A404" s="34">
        <v>403</v>
      </c>
      <c r="B404" s="165">
        <v>46.12416</v>
      </c>
      <c r="C404" s="165">
        <v>-91.21307</v>
      </c>
      <c r="D404" s="10">
        <v>3.5</v>
      </c>
      <c r="E404" s="10" t="s">
        <v>563</v>
      </c>
      <c r="F404" s="149">
        <v>1</v>
      </c>
      <c r="G404" s="34">
        <v>1</v>
      </c>
      <c r="H404" s="96">
        <v>6</v>
      </c>
      <c r="I404" s="10">
        <v>3</v>
      </c>
      <c r="J404" s="36">
        <v>0</v>
      </c>
      <c r="K404" s="36">
        <v>0</v>
      </c>
      <c r="L404" s="36">
        <v>0</v>
      </c>
      <c r="M404" s="36">
        <v>0</v>
      </c>
      <c r="N404" s="10">
        <v>0</v>
      </c>
      <c r="O404" s="10">
        <v>0</v>
      </c>
      <c r="P404" s="10">
        <v>0</v>
      </c>
      <c r="Q404" s="10">
        <v>2</v>
      </c>
      <c r="R404" s="10">
        <v>0</v>
      </c>
      <c r="S404" s="10">
        <v>0</v>
      </c>
      <c r="T404" s="10">
        <v>2</v>
      </c>
      <c r="U404" s="10">
        <v>0</v>
      </c>
      <c r="V404" s="10">
        <v>4</v>
      </c>
      <c r="W404" s="10">
        <v>1</v>
      </c>
      <c r="X404" s="10">
        <v>0</v>
      </c>
      <c r="Y404" s="10">
        <v>1</v>
      </c>
      <c r="Z404" s="10">
        <v>0</v>
      </c>
      <c r="AA404" s="10">
        <v>0</v>
      </c>
      <c r="AB404" s="10">
        <v>0</v>
      </c>
      <c r="AC404" s="10">
        <v>4</v>
      </c>
      <c r="AD404" s="10">
        <v>0</v>
      </c>
      <c r="AE404" s="10">
        <v>0</v>
      </c>
      <c r="AF404" s="10">
        <v>0</v>
      </c>
      <c r="AG404" s="10">
        <v>0</v>
      </c>
      <c r="AH404" s="10">
        <v>2</v>
      </c>
      <c r="AI404" s="10">
        <v>0</v>
      </c>
      <c r="AJ404" s="10">
        <v>0</v>
      </c>
      <c r="AK404" s="10">
        <v>0</v>
      </c>
      <c r="AL404" s="10">
        <v>0</v>
      </c>
      <c r="AM404" s="10">
        <v>0</v>
      </c>
      <c r="AN404" s="10">
        <v>0</v>
      </c>
      <c r="AO404" s="10">
        <v>0</v>
      </c>
      <c r="AP404" s="10">
        <v>1</v>
      </c>
      <c r="AQ404" s="10">
        <v>0</v>
      </c>
      <c r="AR404" s="146">
        <v>0</v>
      </c>
    </row>
  </sheetData>
  <sheetProtection formatCells="0" sort="0"/>
  <protectedRanges>
    <protectedRange sqref="E338:E404" name="Range1"/>
    <protectedRange sqref="E304:E337" name="Range1_2"/>
    <protectedRange sqref="I2:I8 E2:E303" name="Range1_3"/>
    <protectedRange sqref="B2:C8" name="Range1_1_1_1"/>
  </protectedRanges>
  <dataValidations count="6">
    <dataValidation type="whole" allowBlank="1" showInputMessage="1" showErrorMessage="1" errorTitle="Presence/Absence Data" error="Enter 1 if present" sqref="M405:AR65536">
      <formula1>1</formula1>
      <formula2>1</formula2>
    </dataValidation>
    <dataValidation type="list" allowBlank="1" showInputMessage="1" showErrorMessage="1" sqref="I405:L65536 K1:L1 I1">
      <formula1>"V,v,1,2,3"</formula1>
    </dataValidation>
    <dataValidation type="decimal" allowBlank="1" showInputMessage="1" showErrorMessage="1" error="Is your depth really more than 99 feet?" sqref="D2:D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E2:E404">
      <formula1>"M,m,s,S,R,r"</formula1>
    </dataValidation>
    <dataValidation type="list" allowBlank="1" showInputMessage="1" showErrorMessage="1" error="Please enter a rake fullness rating of 1, 2, 3 or V (visual).  If species not found, leave cell blank." sqref="J2:AR404">
      <formula1>"V,v,1,2,3"</formula1>
    </dataValidation>
    <dataValidation type="list" allowBlank="1" showInputMessage="1" showErrorMessage="1" error="Please enter an overall rake fullness of 1, 2, 3 or leave cell blank if no plants found" sqref="I2:I404">
      <formula1>"1,2,3"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8" t="s">
        <v>20</v>
      </c>
      <c r="C1" s="2" t="s">
        <v>380</v>
      </c>
    </row>
    <row r="3" ht="12.75">
      <c r="A3" s="23" t="s">
        <v>15</v>
      </c>
    </row>
    <row r="4" ht="12.75">
      <c r="B4" s="2" t="s">
        <v>326</v>
      </c>
    </row>
    <row r="5" ht="12.75">
      <c r="B5" s="2" t="s">
        <v>54</v>
      </c>
    </row>
    <row r="6" spans="3:4" ht="12.75">
      <c r="C6" s="2" t="s">
        <v>36</v>
      </c>
      <c r="D6" s="2" t="s">
        <v>85</v>
      </c>
    </row>
    <row r="7" ht="12.75">
      <c r="D7" s="2" t="s">
        <v>114</v>
      </c>
    </row>
    <row r="8" spans="3:4" ht="12.75">
      <c r="C8" s="22" t="s">
        <v>51</v>
      </c>
      <c r="D8" s="2" t="s">
        <v>104</v>
      </c>
    </row>
    <row r="9" spans="3:4" ht="12.75">
      <c r="C9" s="22" t="s">
        <v>52</v>
      </c>
      <c r="D9" s="2" t="s">
        <v>53</v>
      </c>
    </row>
    <row r="10" spans="3:4" ht="12.75">
      <c r="C10" s="22" t="s">
        <v>87</v>
      </c>
      <c r="D10" s="2" t="s">
        <v>322</v>
      </c>
    </row>
    <row r="11" spans="3:4" ht="12.75">
      <c r="C11" s="22" t="s">
        <v>75</v>
      </c>
      <c r="D11" s="2" t="s">
        <v>323</v>
      </c>
    </row>
    <row r="12" spans="3:4" ht="12.75">
      <c r="C12" s="22" t="s">
        <v>103</v>
      </c>
      <c r="D12" s="2" t="s">
        <v>107</v>
      </c>
    </row>
    <row r="13" spans="3:5" ht="12.75">
      <c r="C13" s="22"/>
      <c r="E13" s="2" t="s">
        <v>70</v>
      </c>
    </row>
    <row r="14" spans="3:5" ht="12.75">
      <c r="C14" s="22"/>
      <c r="E14" s="2" t="s">
        <v>71</v>
      </c>
    </row>
    <row r="15" spans="3:5" ht="12.75">
      <c r="C15" s="22"/>
      <c r="E15" s="2" t="s">
        <v>72</v>
      </c>
    </row>
    <row r="16" spans="3:5" ht="12.75">
      <c r="C16" s="22"/>
      <c r="E16" s="2" t="s">
        <v>74</v>
      </c>
    </row>
    <row r="17" spans="3:5" ht="12.75">
      <c r="C17" s="22"/>
      <c r="E17" s="126" t="s">
        <v>381</v>
      </c>
    </row>
    <row r="18" spans="3:4" ht="12.75">
      <c r="C18" s="22" t="s">
        <v>68</v>
      </c>
      <c r="D18" s="2" t="s">
        <v>387</v>
      </c>
    </row>
    <row r="19" spans="3:4" ht="12.75">
      <c r="C19" s="22"/>
      <c r="D19" s="2" t="s">
        <v>105</v>
      </c>
    </row>
    <row r="20" spans="3:4" ht="12.75">
      <c r="C20" s="22"/>
      <c r="D20" s="2" t="s">
        <v>73</v>
      </c>
    </row>
    <row r="21" spans="3:4" ht="12.75">
      <c r="C21" s="22" t="s">
        <v>69</v>
      </c>
      <c r="D21" s="2" t="s">
        <v>106</v>
      </c>
    </row>
    <row r="22" spans="3:4" ht="12.75">
      <c r="C22" s="22"/>
      <c r="D22" s="2" t="s">
        <v>382</v>
      </c>
    </row>
    <row r="23" spans="3:5" ht="12.75">
      <c r="C23" s="22"/>
      <c r="E23" s="2" t="s">
        <v>70</v>
      </c>
    </row>
    <row r="24" spans="3:5" ht="12.75">
      <c r="C24" s="22"/>
      <c r="E24" s="2" t="s">
        <v>71</v>
      </c>
    </row>
    <row r="25" spans="3:5" ht="12.75">
      <c r="C25" s="22"/>
      <c r="E25" s="2" t="s">
        <v>72</v>
      </c>
    </row>
    <row r="26" spans="3:5" ht="12.75">
      <c r="C26" s="22"/>
      <c r="E26" s="2" t="s">
        <v>74</v>
      </c>
    </row>
    <row r="27" spans="3:4" ht="12.75">
      <c r="C27" s="22"/>
      <c r="D27" s="2" t="s">
        <v>383</v>
      </c>
    </row>
    <row r="28" spans="3:4" ht="12.75">
      <c r="C28" s="22"/>
      <c r="D28" s="2" t="s">
        <v>384</v>
      </c>
    </row>
    <row r="29" spans="3:4" ht="12.75">
      <c r="C29" s="22"/>
      <c r="D29" s="2" t="s">
        <v>86</v>
      </c>
    </row>
    <row r="30" spans="3:5" ht="12.75">
      <c r="C30" s="22"/>
      <c r="E30" s="2" t="s">
        <v>108</v>
      </c>
    </row>
    <row r="31" ht="12.75">
      <c r="C31" s="22"/>
    </row>
    <row r="32" ht="12.75">
      <c r="D32" s="1" t="s">
        <v>385</v>
      </c>
    </row>
    <row r="33" ht="12.75">
      <c r="D33" s="1"/>
    </row>
    <row r="34" ht="12.75">
      <c r="B34" s="2" t="s">
        <v>30</v>
      </c>
    </row>
    <row r="35" ht="12.75">
      <c r="C35" s="2" t="s">
        <v>388</v>
      </c>
    </row>
    <row r="36" ht="12.75">
      <c r="C36" s="2" t="s">
        <v>386</v>
      </c>
    </row>
    <row r="37" ht="12.75">
      <c r="C37" s="2" t="s">
        <v>67</v>
      </c>
    </row>
    <row r="38" ht="12.75">
      <c r="B38" s="2" t="s">
        <v>389</v>
      </c>
    </row>
    <row r="39" ht="12.75">
      <c r="C39" s="2" t="s">
        <v>324</v>
      </c>
    </row>
    <row r="40" ht="12.75">
      <c r="C40" s="2" t="s">
        <v>390</v>
      </c>
    </row>
    <row r="41" ht="12.75">
      <c r="C41" s="2" t="s">
        <v>391</v>
      </c>
    </row>
    <row r="42" ht="12.75">
      <c r="C42" s="2" t="s">
        <v>325</v>
      </c>
    </row>
    <row r="43" ht="12.75">
      <c r="C43" s="2" t="s">
        <v>109</v>
      </c>
    </row>
    <row r="44" ht="12.75">
      <c r="B44" s="2" t="s">
        <v>45</v>
      </c>
    </row>
    <row r="45" ht="12.75">
      <c r="B45" s="2" t="s">
        <v>392</v>
      </c>
    </row>
    <row r="46" ht="12.75">
      <c r="C46" s="2" t="s">
        <v>393</v>
      </c>
    </row>
    <row r="47" ht="12.75">
      <c r="B47" s="2" t="s">
        <v>327</v>
      </c>
    </row>
    <row r="50" ht="12.75">
      <c r="A50" s="23" t="s">
        <v>13</v>
      </c>
    </row>
    <row r="51" ht="12.75">
      <c r="B51" s="2" t="s">
        <v>47</v>
      </c>
    </row>
    <row r="52" ht="12.75">
      <c r="B52" s="2" t="s">
        <v>37</v>
      </c>
    </row>
    <row r="53" ht="12.75">
      <c r="B53" s="2" t="s">
        <v>48</v>
      </c>
    </row>
    <row r="54" ht="12.75">
      <c r="A54" s="23" t="s">
        <v>12</v>
      </c>
    </row>
    <row r="55" ht="12.75">
      <c r="B55" s="21" t="s">
        <v>405</v>
      </c>
    </row>
    <row r="56" ht="12.75">
      <c r="B56" s="1" t="s">
        <v>35</v>
      </c>
    </row>
    <row r="57" ht="12.75">
      <c r="B57" s="1" t="s">
        <v>32</v>
      </c>
    </row>
    <row r="58" spans="2:3" ht="12.75">
      <c r="B58" s="11"/>
      <c r="C58" s="2" t="s">
        <v>26</v>
      </c>
    </row>
    <row r="59" spans="2:3" ht="12.75">
      <c r="B59" s="11"/>
      <c r="C59" s="2" t="s">
        <v>38</v>
      </c>
    </row>
    <row r="60" ht="12.75">
      <c r="B60" s="18" t="s">
        <v>33</v>
      </c>
    </row>
    <row r="61" spans="2:3" ht="12.75">
      <c r="B61" s="5"/>
      <c r="C61" s="2" t="s">
        <v>27</v>
      </c>
    </row>
    <row r="62" ht="12.75">
      <c r="B62" s="18" t="s">
        <v>34</v>
      </c>
    </row>
    <row r="63" spans="2:3" ht="12.75">
      <c r="B63" s="13"/>
      <c r="C63" s="2" t="s">
        <v>28</v>
      </c>
    </row>
    <row r="64" spans="2:3" ht="12.75">
      <c r="B64" s="1" t="s">
        <v>396</v>
      </c>
      <c r="C64" s="12"/>
    </row>
    <row r="65" ht="12.75">
      <c r="C65" s="2" t="s">
        <v>41</v>
      </c>
    </row>
    <row r="66" ht="12.75">
      <c r="C66" s="2" t="s">
        <v>50</v>
      </c>
    </row>
    <row r="67" spans="2:3" ht="12.75">
      <c r="B67" s="1" t="s">
        <v>395</v>
      </c>
      <c r="C67" s="12"/>
    </row>
    <row r="68" spans="2:3" ht="12.75">
      <c r="B68" s="1" t="s">
        <v>76</v>
      </c>
      <c r="C68" s="12"/>
    </row>
    <row r="69" spans="2:3" ht="12.75">
      <c r="B69" s="1" t="s">
        <v>49</v>
      </c>
      <c r="C69" s="12"/>
    </row>
    <row r="70" spans="2:3" ht="12.75">
      <c r="B70" s="1" t="s">
        <v>59</v>
      </c>
      <c r="C70" s="12"/>
    </row>
    <row r="71" spans="2:3" ht="12.75">
      <c r="B71" s="1" t="s">
        <v>81</v>
      </c>
      <c r="C71" s="12"/>
    </row>
    <row r="72" spans="2:3" ht="12.75">
      <c r="B72" s="1" t="s">
        <v>55</v>
      </c>
      <c r="C72" s="12"/>
    </row>
    <row r="73" spans="2:3" ht="12.75">
      <c r="B73" s="1" t="s">
        <v>82</v>
      </c>
      <c r="C73" s="12"/>
    </row>
    <row r="74" ht="12.75">
      <c r="B74" s="18" t="s">
        <v>77</v>
      </c>
    </row>
    <row r="75" ht="12.75">
      <c r="B75" s="1" t="s">
        <v>397</v>
      </c>
    </row>
    <row r="76" ht="12.75">
      <c r="B76" s="18"/>
    </row>
    <row r="77" ht="12.75">
      <c r="A77" s="23" t="s">
        <v>29</v>
      </c>
    </row>
    <row r="78" spans="1:2" ht="12.75">
      <c r="A78" s="23"/>
      <c r="B78" s="2" t="s">
        <v>110</v>
      </c>
    </row>
    <row r="79" ht="12.75">
      <c r="B79" s="2" t="s">
        <v>111</v>
      </c>
    </row>
    <row r="80" ht="12.75">
      <c r="C80" s="2" t="s">
        <v>39</v>
      </c>
    </row>
    <row r="81" ht="12.75">
      <c r="B81" s="2" t="s">
        <v>112</v>
      </c>
    </row>
    <row r="82" ht="12.75">
      <c r="C82" s="2" t="s">
        <v>40</v>
      </c>
    </row>
    <row r="83" ht="12.75">
      <c r="B83" s="3" t="s">
        <v>113</v>
      </c>
    </row>
    <row r="84" spans="1:2" ht="12.75">
      <c r="A84" s="4"/>
      <c r="B84" s="2" t="s">
        <v>398</v>
      </c>
    </row>
    <row r="85" spans="2:4" ht="12.75">
      <c r="B85" s="2" t="s">
        <v>394</v>
      </c>
      <c r="D85" s="4"/>
    </row>
    <row r="86" ht="12.75">
      <c r="B86" s="2" t="s">
        <v>78</v>
      </c>
    </row>
    <row r="87" ht="12.75">
      <c r="C87" s="2" t="s">
        <v>79</v>
      </c>
    </row>
    <row r="88" spans="4:5" ht="12.75">
      <c r="D88" s="6"/>
      <c r="E88" s="6"/>
    </row>
    <row r="89" spans="6:10" ht="12.75">
      <c r="F89" s="6"/>
      <c r="G89" s="6"/>
      <c r="H89" s="6"/>
      <c r="I89" s="6"/>
      <c r="J89" s="6"/>
    </row>
    <row r="90" spans="6:10" ht="12.75">
      <c r="F90" s="6"/>
      <c r="G90" s="6"/>
      <c r="H90" s="6"/>
      <c r="I90" s="6"/>
      <c r="J90" s="6"/>
    </row>
    <row r="91" spans="6:10" ht="12.75">
      <c r="F91" s="6"/>
      <c r="G91" s="6"/>
      <c r="H91" s="6"/>
      <c r="I91" s="6"/>
      <c r="J91" s="6"/>
    </row>
  </sheetData>
  <sheetProtection/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404"/>
  <sheetViews>
    <sheetView zoomScalePageLayoutView="0" workbookViewId="0" topLeftCell="A1">
      <pane xSplit="10" ySplit="1" topLeftCell="K39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N2" sqref="N2:N404"/>
    </sheetView>
  </sheetViews>
  <sheetFormatPr defaultColWidth="5.7109375" defaultRowHeight="12.75"/>
  <cols>
    <col min="1" max="1" width="11.57421875" style="10" bestFit="1" customWidth="1"/>
    <col min="2" max="2" width="4.421875" style="147" customWidth="1"/>
    <col min="3" max="4" width="7.8515625" style="147" customWidth="1"/>
    <col min="5" max="6" width="7.00390625" style="147" customWidth="1"/>
    <col min="7" max="8" width="4.421875" style="147" customWidth="1"/>
    <col min="9" max="9" width="15.7109375" style="151" customWidth="1"/>
    <col min="10" max="10" width="5.00390625" style="36" bestFit="1" customWidth="1"/>
    <col min="11" max="11" width="11.00390625" style="10" customWidth="1"/>
    <col min="12" max="12" width="13.28125" style="10" customWidth="1"/>
    <col min="13" max="15" width="5.7109375" style="10" customWidth="1"/>
    <col min="16" max="16" width="24.8515625" style="10" bestFit="1" customWidth="1"/>
    <col min="17" max="17" width="5.7109375" style="10" customWidth="1"/>
    <col min="18" max="19" width="6.7109375" style="10" customWidth="1"/>
    <col min="20" max="23" width="5.7109375" style="32" customWidth="1"/>
    <col min="24" max="155" width="5.7109375" style="10" customWidth="1"/>
    <col min="156" max="156" width="5.7109375" style="32" customWidth="1"/>
    <col min="157" max="16384" width="5.7109375" style="10" customWidth="1"/>
  </cols>
  <sheetData>
    <row r="1" spans="1:169" s="9" customFormat="1" ht="189.75" customHeight="1">
      <c r="A1" s="69" t="s">
        <v>18</v>
      </c>
      <c r="B1" s="93" t="s">
        <v>25</v>
      </c>
      <c r="C1" s="93" t="s">
        <v>57</v>
      </c>
      <c r="D1" s="93" t="s">
        <v>58</v>
      </c>
      <c r="E1" s="94" t="s">
        <v>56</v>
      </c>
      <c r="F1" s="94" t="s">
        <v>413</v>
      </c>
      <c r="G1" s="95" t="s">
        <v>22</v>
      </c>
      <c r="H1" s="148" t="s">
        <v>23</v>
      </c>
      <c r="I1" s="70"/>
      <c r="J1" s="150" t="s">
        <v>0</v>
      </c>
      <c r="K1" s="14" t="s">
        <v>88</v>
      </c>
      <c r="L1" s="9" t="s">
        <v>31</v>
      </c>
      <c r="M1" s="33" t="s">
        <v>84</v>
      </c>
      <c r="N1" s="9" t="s">
        <v>414</v>
      </c>
      <c r="O1" s="9" t="s">
        <v>21</v>
      </c>
      <c r="P1" s="16" t="s">
        <v>4</v>
      </c>
      <c r="Q1" s="16" t="s">
        <v>559</v>
      </c>
      <c r="R1" s="29" t="s">
        <v>415</v>
      </c>
      <c r="S1" s="29" t="s">
        <v>80</v>
      </c>
      <c r="T1" s="112" t="s">
        <v>416</v>
      </c>
      <c r="U1" s="112" t="s">
        <v>411</v>
      </c>
      <c r="V1" s="112" t="s">
        <v>556</v>
      </c>
      <c r="W1" s="112" t="s">
        <v>412</v>
      </c>
      <c r="X1" s="15" t="s">
        <v>417</v>
      </c>
      <c r="Y1" s="15" t="s">
        <v>418</v>
      </c>
      <c r="Z1" s="15" t="s">
        <v>419</v>
      </c>
      <c r="AA1" s="15" t="s">
        <v>420</v>
      </c>
      <c r="AB1" s="15" t="s">
        <v>421</v>
      </c>
      <c r="AC1" s="15" t="s">
        <v>422</v>
      </c>
      <c r="AD1" s="15" t="s">
        <v>423</v>
      </c>
      <c r="AE1" s="15" t="s">
        <v>424</v>
      </c>
      <c r="AF1" s="15" t="s">
        <v>425</v>
      </c>
      <c r="AG1" s="15" t="s">
        <v>558</v>
      </c>
      <c r="AH1" s="15" t="s">
        <v>426</v>
      </c>
      <c r="AI1" s="15" t="s">
        <v>427</v>
      </c>
      <c r="AJ1" s="15" t="s">
        <v>428</v>
      </c>
      <c r="AK1" s="15" t="s">
        <v>429</v>
      </c>
      <c r="AL1" s="15" t="s">
        <v>430</v>
      </c>
      <c r="AM1" s="15" t="s">
        <v>431</v>
      </c>
      <c r="AN1" s="15" t="s">
        <v>432</v>
      </c>
      <c r="AO1" s="15" t="s">
        <v>433</v>
      </c>
      <c r="AP1" s="15" t="s">
        <v>434</v>
      </c>
      <c r="AQ1" s="15" t="s">
        <v>435</v>
      </c>
      <c r="AR1" s="15" t="s">
        <v>436</v>
      </c>
      <c r="AS1" s="15" t="s">
        <v>437</v>
      </c>
      <c r="AT1" s="15" t="s">
        <v>438</v>
      </c>
      <c r="AU1" s="15" t="s">
        <v>439</v>
      </c>
      <c r="AV1" s="15" t="s">
        <v>440</v>
      </c>
      <c r="AW1" s="15" t="s">
        <v>441</v>
      </c>
      <c r="AX1" s="15" t="s">
        <v>442</v>
      </c>
      <c r="AY1" s="15" t="s">
        <v>443</v>
      </c>
      <c r="AZ1" s="15" t="s">
        <v>444</v>
      </c>
      <c r="BA1" s="15" t="s">
        <v>445</v>
      </c>
      <c r="BB1" s="15" t="s">
        <v>446</v>
      </c>
      <c r="BC1" s="15" t="s">
        <v>447</v>
      </c>
      <c r="BD1" s="15" t="s">
        <v>448</v>
      </c>
      <c r="BE1" s="15" t="s">
        <v>449</v>
      </c>
      <c r="BF1" s="15" t="s">
        <v>450</v>
      </c>
      <c r="BG1" s="15" t="s">
        <v>451</v>
      </c>
      <c r="BH1" s="15" t="s">
        <v>452</v>
      </c>
      <c r="BI1" s="15" t="s">
        <v>453</v>
      </c>
      <c r="BJ1" s="15" t="s">
        <v>454</v>
      </c>
      <c r="BK1" s="15" t="s">
        <v>455</v>
      </c>
      <c r="BL1" s="15" t="s">
        <v>456</v>
      </c>
      <c r="BM1" s="15" t="s">
        <v>457</v>
      </c>
      <c r="BN1" s="15" t="s">
        <v>458</v>
      </c>
      <c r="BO1" s="15" t="s">
        <v>459</v>
      </c>
      <c r="BP1" s="15" t="s">
        <v>460</v>
      </c>
      <c r="BQ1" s="15" t="s">
        <v>461</v>
      </c>
      <c r="BR1" s="15" t="s">
        <v>462</v>
      </c>
      <c r="BS1" s="15" t="s">
        <v>463</v>
      </c>
      <c r="BT1" s="15" t="s">
        <v>464</v>
      </c>
      <c r="BU1" s="15" t="s">
        <v>465</v>
      </c>
      <c r="BV1" s="15" t="s">
        <v>466</v>
      </c>
      <c r="BW1" s="15" t="s">
        <v>467</v>
      </c>
      <c r="BX1" s="15" t="s">
        <v>468</v>
      </c>
      <c r="BY1" s="15" t="s">
        <v>469</v>
      </c>
      <c r="BZ1" s="15" t="s">
        <v>470</v>
      </c>
      <c r="CA1" s="15" t="s">
        <v>471</v>
      </c>
      <c r="CB1" s="15" t="s">
        <v>472</v>
      </c>
      <c r="CC1" s="15" t="s">
        <v>473</v>
      </c>
      <c r="CD1" s="15" t="s">
        <v>474</v>
      </c>
      <c r="CE1" s="15" t="s">
        <v>475</v>
      </c>
      <c r="CF1" s="15" t="s">
        <v>476</v>
      </c>
      <c r="CG1" s="15" t="s">
        <v>477</v>
      </c>
      <c r="CH1" s="15" t="s">
        <v>478</v>
      </c>
      <c r="CI1" s="15" t="s">
        <v>479</v>
      </c>
      <c r="CJ1" s="15" t="s">
        <v>480</v>
      </c>
      <c r="CK1" s="15" t="s">
        <v>481</v>
      </c>
      <c r="CL1" s="15" t="s">
        <v>482</v>
      </c>
      <c r="CM1" s="15" t="s">
        <v>483</v>
      </c>
      <c r="CN1" s="15" t="s">
        <v>484</v>
      </c>
      <c r="CO1" s="15" t="s">
        <v>485</v>
      </c>
      <c r="CP1" s="15" t="s">
        <v>486</v>
      </c>
      <c r="CQ1" s="15" t="s">
        <v>487</v>
      </c>
      <c r="CR1" s="15" t="s">
        <v>488</v>
      </c>
      <c r="CS1" s="15" t="s">
        <v>489</v>
      </c>
      <c r="CT1" s="15" t="s">
        <v>490</v>
      </c>
      <c r="CU1" s="15" t="s">
        <v>491</v>
      </c>
      <c r="CV1" s="15" t="s">
        <v>492</v>
      </c>
      <c r="CW1" s="15" t="s">
        <v>493</v>
      </c>
      <c r="CX1" s="15" t="s">
        <v>494</v>
      </c>
      <c r="CY1" s="15" t="s">
        <v>495</v>
      </c>
      <c r="CZ1" s="15" t="s">
        <v>496</v>
      </c>
      <c r="DA1" s="15" t="s">
        <v>497</v>
      </c>
      <c r="DB1" s="15" t="s">
        <v>498</v>
      </c>
      <c r="DC1" s="15" t="s">
        <v>499</v>
      </c>
      <c r="DD1" s="15" t="s">
        <v>500</v>
      </c>
      <c r="DE1" s="15" t="s">
        <v>501</v>
      </c>
      <c r="DF1" s="15" t="s">
        <v>502</v>
      </c>
      <c r="DG1" s="15" t="s">
        <v>503</v>
      </c>
      <c r="DH1" s="15" t="s">
        <v>504</v>
      </c>
      <c r="DI1" s="15" t="s">
        <v>505</v>
      </c>
      <c r="DJ1" s="15" t="s">
        <v>506</v>
      </c>
      <c r="DK1" s="15" t="s">
        <v>507</v>
      </c>
      <c r="DL1" s="15" t="s">
        <v>508</v>
      </c>
      <c r="DM1" s="15" t="s">
        <v>509</v>
      </c>
      <c r="DN1" s="15" t="s">
        <v>510</v>
      </c>
      <c r="DO1" s="15" t="s">
        <v>511</v>
      </c>
      <c r="DP1" s="15" t="s">
        <v>512</v>
      </c>
      <c r="DQ1" s="15" t="s">
        <v>513</v>
      </c>
      <c r="DR1" s="15" t="s">
        <v>514</v>
      </c>
      <c r="DS1" s="15" t="s">
        <v>515</v>
      </c>
      <c r="DT1" s="15" t="s">
        <v>516</v>
      </c>
      <c r="DU1" s="15" t="s">
        <v>517</v>
      </c>
      <c r="DV1" s="15" t="s">
        <v>518</v>
      </c>
      <c r="DW1" s="15" t="s">
        <v>519</v>
      </c>
      <c r="DX1" s="15" t="s">
        <v>520</v>
      </c>
      <c r="DY1" s="15" t="s">
        <v>521</v>
      </c>
      <c r="DZ1" s="15" t="s">
        <v>522</v>
      </c>
      <c r="EA1" s="15" t="s">
        <v>523</v>
      </c>
      <c r="EB1" s="15" t="s">
        <v>524</v>
      </c>
      <c r="EC1" s="15" t="s">
        <v>525</v>
      </c>
      <c r="ED1" s="15" t="s">
        <v>526</v>
      </c>
      <c r="EE1" s="15" t="s">
        <v>527</v>
      </c>
      <c r="EF1" s="15" t="s">
        <v>528</v>
      </c>
      <c r="EG1" s="15" t="s">
        <v>529</v>
      </c>
      <c r="EH1" s="15" t="s">
        <v>530</v>
      </c>
      <c r="EI1" s="15" t="s">
        <v>531</v>
      </c>
      <c r="EJ1" s="15" t="s">
        <v>532</v>
      </c>
      <c r="EK1" s="15" t="s">
        <v>533</v>
      </c>
      <c r="EL1" s="15" t="s">
        <v>534</v>
      </c>
      <c r="EM1" s="15" t="s">
        <v>535</v>
      </c>
      <c r="EN1" s="15" t="s">
        <v>536</v>
      </c>
      <c r="EO1" s="15" t="s">
        <v>537</v>
      </c>
      <c r="EP1" s="15" t="s">
        <v>538</v>
      </c>
      <c r="EQ1" s="15" t="s">
        <v>539</v>
      </c>
      <c r="ER1" s="15" t="s">
        <v>540</v>
      </c>
      <c r="ES1" s="15" t="s">
        <v>541</v>
      </c>
      <c r="ET1" s="15" t="s">
        <v>542</v>
      </c>
      <c r="EU1" s="15" t="s">
        <v>543</v>
      </c>
      <c r="EV1" s="15" t="s">
        <v>544</v>
      </c>
      <c r="EW1" s="15" t="s">
        <v>545</v>
      </c>
      <c r="EX1" s="15" t="s">
        <v>546</v>
      </c>
      <c r="EY1" s="15" t="s">
        <v>547</v>
      </c>
      <c r="EZ1" s="143" t="s">
        <v>402</v>
      </c>
      <c r="FA1" s="144" t="s">
        <v>403</v>
      </c>
      <c r="FB1" s="144" t="s">
        <v>401</v>
      </c>
      <c r="FC1" s="145" t="s">
        <v>548</v>
      </c>
      <c r="FD1" s="145" t="s">
        <v>549</v>
      </c>
      <c r="FE1" s="9" t="s">
        <v>96</v>
      </c>
      <c r="FF1" s="9" t="s">
        <v>95</v>
      </c>
      <c r="FG1" s="9" t="s">
        <v>5</v>
      </c>
      <c r="FH1" s="9" t="s">
        <v>6</v>
      </c>
      <c r="FI1" s="9" t="s">
        <v>7</v>
      </c>
      <c r="FJ1" s="9" t="s">
        <v>8</v>
      </c>
      <c r="FK1" s="9" t="s">
        <v>9</v>
      </c>
      <c r="FL1" s="9" t="s">
        <v>10</v>
      </c>
      <c r="FM1" s="9" t="s">
        <v>11</v>
      </c>
    </row>
    <row r="2" spans="1:160" ht="12.75">
      <c r="A2" s="71" t="s">
        <v>90</v>
      </c>
      <c r="B2" s="96">
        <f>COUNT(R2:EY2,FE2:FM2)</f>
        <v>5</v>
      </c>
      <c r="C2" s="96">
        <f>IF(COUNT(R2:EY2,FE2:FM2)&gt;0,COUNT(R2:EY2,FE2:FM2),"")</f>
        <v>5</v>
      </c>
      <c r="D2" s="96">
        <f>IF(COUNT(T2:BJ2,BL2:BT2,BV2:CB2,CD2:EY2,FE2:FM2)&gt;0,COUNT(T2:BJ2,BL2:BT2,BV2:CB2,CD2:EY2,FE2:FM2),"")</f>
        <v>5</v>
      </c>
      <c r="E2" s="96">
        <f>IF(H2=1,COUNT(R2:EY2,FE2:FM2),"")</f>
        <v>5</v>
      </c>
      <c r="F2" s="96">
        <f>IF(H2=1,COUNT(T2:BJ2,BL2:BT2,BV2:CB2,CD2:EY2,FE2:FM2),"")</f>
        <v>5</v>
      </c>
      <c r="G2" s="96">
        <f>IF($B2&gt;=1,$M2,"")</f>
        <v>2</v>
      </c>
      <c r="H2" s="149">
        <f>IF(AND(M2&gt;0,M2&lt;=STATS!$C$22),1,"")</f>
        <v>1</v>
      </c>
      <c r="I2" s="164" t="s">
        <v>560</v>
      </c>
      <c r="J2" s="34">
        <v>1</v>
      </c>
      <c r="K2" s="165">
        <v>46.11603</v>
      </c>
      <c r="L2" s="165">
        <v>-91.21569</v>
      </c>
      <c r="M2" s="10">
        <v>2</v>
      </c>
      <c r="N2" s="10" t="s">
        <v>564</v>
      </c>
      <c r="O2" s="190" t="s">
        <v>648</v>
      </c>
      <c r="Q2" s="10">
        <v>2</v>
      </c>
      <c r="R2" s="17"/>
      <c r="S2" s="17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 t="s">
        <v>566</v>
      </c>
      <c r="AF2" s="36"/>
      <c r="AG2" s="36">
        <v>2</v>
      </c>
      <c r="AH2" s="36"/>
      <c r="CA2" s="10">
        <v>2</v>
      </c>
      <c r="CB2" s="10">
        <v>1</v>
      </c>
      <c r="CY2" s="10">
        <v>1</v>
      </c>
      <c r="DQ2" s="10">
        <v>2</v>
      </c>
      <c r="ER2" s="10" t="s">
        <v>566</v>
      </c>
      <c r="EZ2" s="146"/>
      <c r="FA2" s="146"/>
      <c r="FB2" s="146"/>
      <c r="FC2" s="146"/>
      <c r="FD2" s="146"/>
    </row>
    <row r="3" spans="1:160" ht="12.75">
      <c r="A3" s="71" t="s">
        <v>44</v>
      </c>
      <c r="B3" s="96">
        <f>COUNT(R3:EY3,FE3:FM3)</f>
        <v>5</v>
      </c>
      <c r="C3" s="96">
        <f>IF(COUNT(R3:EY3,FE3:FM3)&gt;0,COUNT(R3:EY3,FE3:FM3),"")</f>
        <v>5</v>
      </c>
      <c r="D3" s="96">
        <f>IF(COUNT(T3:BJ3,BL3:BT3,BV3:CB3,CD3:EY3,FE3:FM3)&gt;0,COUNT(T3:BJ3,BL3:BT3,BV3:CB3,CD3:EY3,FE3:FM3),"")</f>
        <v>5</v>
      </c>
      <c r="E3" s="96">
        <f>IF(H3=1,COUNT(R3:EY3,FE3:FM3),"")</f>
        <v>5</v>
      </c>
      <c r="F3" s="96">
        <f>IF(H3=1,COUNT(T3:BJ3,BL3:BT3,BV3:CB3,CD3:EY3,FE3:FM3),"")</f>
        <v>5</v>
      </c>
      <c r="G3" s="96">
        <f>IF($B3&gt;=1,$M3,"")</f>
        <v>4.5</v>
      </c>
      <c r="H3" s="149">
        <f>IF(AND(M3&gt;0,M3&lt;=STATS!$C$22),1,"")</f>
        <v>1</v>
      </c>
      <c r="I3" s="164">
        <v>2436000</v>
      </c>
      <c r="J3" s="34">
        <v>2</v>
      </c>
      <c r="K3" s="165">
        <v>46.11635</v>
      </c>
      <c r="L3" s="165">
        <v>-91.21616</v>
      </c>
      <c r="M3" s="10">
        <v>4.5</v>
      </c>
      <c r="N3" s="10" t="s">
        <v>563</v>
      </c>
      <c r="O3" s="190" t="s">
        <v>648</v>
      </c>
      <c r="Q3" s="10">
        <v>3</v>
      </c>
      <c r="R3" s="17"/>
      <c r="S3" s="17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>
        <v>2</v>
      </c>
      <c r="AF3" s="36"/>
      <c r="AG3" s="36"/>
      <c r="AH3" s="36"/>
      <c r="BO3" s="10">
        <v>1</v>
      </c>
      <c r="CA3" s="10">
        <v>2</v>
      </c>
      <c r="CB3" s="10">
        <v>2</v>
      </c>
      <c r="DE3" s="10">
        <v>2</v>
      </c>
      <c r="EZ3" s="146"/>
      <c r="FA3" s="146"/>
      <c r="FB3" s="146"/>
      <c r="FC3" s="146"/>
      <c r="FD3" s="146"/>
    </row>
    <row r="4" spans="1:160" ht="12.75">
      <c r="A4" s="71" t="s">
        <v>46</v>
      </c>
      <c r="B4" s="96">
        <f>COUNT(R4:EY4,FE4:FM4)</f>
        <v>0</v>
      </c>
      <c r="C4" s="96">
        <f>IF(COUNT(R4:EY4,FE4:FM4)&gt;0,COUNT(R4:EY4,FE4:FM4),"")</f>
      </c>
      <c r="D4" s="96">
        <f>IF(COUNT(T4:BJ4,BL4:BT4,BV4:CB4,CD4:EY4,FE4:FM4)&gt;0,COUNT(T4:BJ4,BL4:BT4,BV4:CB4,CD4:EY4,FE4:FM4),"")</f>
      </c>
      <c r="E4" s="96">
        <f>IF(H4=1,COUNT(R4:EY4,FE4:FM4),"")</f>
        <v>0</v>
      </c>
      <c r="F4" s="96">
        <f>IF(H4=1,COUNT(T4:BJ4,BL4:BT4,BV4:CB4,CD4:EY4,FE4:FM4),"")</f>
        <v>0</v>
      </c>
      <c r="G4" s="96">
        <f>IF($B4&gt;=1,$M4,"")</f>
      </c>
      <c r="H4" s="149">
        <f>IF(AND(M4&gt;0,M4&lt;=STATS!$C$22),1,"")</f>
        <v>1</v>
      </c>
      <c r="I4" s="164" t="s">
        <v>561</v>
      </c>
      <c r="J4" s="34">
        <v>3</v>
      </c>
      <c r="K4" s="165">
        <v>46.11635</v>
      </c>
      <c r="L4" s="165">
        <v>-91.2157</v>
      </c>
      <c r="M4" s="10">
        <v>5</v>
      </c>
      <c r="N4" s="10" t="s">
        <v>563</v>
      </c>
      <c r="O4" s="190" t="s">
        <v>648</v>
      </c>
      <c r="R4" s="17"/>
      <c r="S4" s="17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EZ4" s="146"/>
      <c r="FA4" s="146"/>
      <c r="FB4" s="146"/>
      <c r="FC4" s="146"/>
      <c r="FD4" s="146"/>
    </row>
    <row r="5" spans="1:160" ht="12.75">
      <c r="A5" s="87" t="s">
        <v>91</v>
      </c>
      <c r="B5" s="96">
        <f>COUNT(R5:EY5,FE5:FM5)</f>
        <v>3</v>
      </c>
      <c r="C5" s="96">
        <f>IF(COUNT(R5:EY5,FE5:FM5)&gt;0,COUNT(R5:EY5,FE5:FM5),"")</f>
        <v>3</v>
      </c>
      <c r="D5" s="96">
        <f>IF(COUNT(T5:BJ5,BL5:BT5,BV5:CB5,CD5:EY5,FE5:FM5)&gt;0,COUNT(T5:BJ5,BL5:BT5,BV5:CB5,CD5:EY5,FE5:FM5),"")</f>
        <v>3</v>
      </c>
      <c r="E5" s="96">
        <f>IF(H5=1,COUNT(R5:EY5,FE5:FM5),"")</f>
        <v>3</v>
      </c>
      <c r="F5" s="96">
        <f>IF(H5=1,COUNT(T5:BJ5,BL5:BT5,BV5:CB5,CD5:EY5,FE5:FM5),"")</f>
        <v>3</v>
      </c>
      <c r="G5" s="96">
        <f>IF($B5&gt;=1,$M5,"")</f>
        <v>3.5</v>
      </c>
      <c r="H5" s="149">
        <f>IF(AND(M5&gt;0,M5&lt;=STATS!$C$22),1,"")</f>
        <v>1</v>
      </c>
      <c r="I5" s="159" t="s">
        <v>624</v>
      </c>
      <c r="J5" s="34">
        <v>4</v>
      </c>
      <c r="K5" s="165">
        <v>46.11636</v>
      </c>
      <c r="L5" s="165">
        <v>-91.21523</v>
      </c>
      <c r="M5" s="10">
        <v>3.5</v>
      </c>
      <c r="N5" s="10" t="s">
        <v>563</v>
      </c>
      <c r="O5" s="190" t="s">
        <v>648</v>
      </c>
      <c r="Q5" s="10">
        <v>2</v>
      </c>
      <c r="R5" s="17"/>
      <c r="S5" s="17"/>
      <c r="T5" s="36"/>
      <c r="U5" s="36"/>
      <c r="V5" s="36"/>
      <c r="W5" s="36"/>
      <c r="X5" s="36">
        <v>1</v>
      </c>
      <c r="Y5" s="36"/>
      <c r="Z5" s="36"/>
      <c r="AA5" s="36"/>
      <c r="AB5" s="36"/>
      <c r="AC5" s="36"/>
      <c r="AD5" s="36"/>
      <c r="AE5" s="36"/>
      <c r="AF5" s="36"/>
      <c r="AG5" s="36"/>
      <c r="AH5" s="36"/>
      <c r="BR5" s="10">
        <v>2</v>
      </c>
      <c r="CA5" s="10">
        <v>1</v>
      </c>
      <c r="EZ5" s="146"/>
      <c r="FA5" s="146"/>
      <c r="FB5" s="146"/>
      <c r="FC5" s="146"/>
      <c r="FD5" s="146"/>
    </row>
    <row r="6" spans="1:160" ht="12.75">
      <c r="A6" s="71" t="s">
        <v>92</v>
      </c>
      <c r="B6" s="96">
        <f>COUNT(R6:EY6,FE6:FM6)</f>
        <v>5</v>
      </c>
      <c r="C6" s="96">
        <f>IF(COUNT(R6:EY6,FE6:FM6)&gt;0,COUNT(R6:EY6,FE6:FM6),"")</f>
        <v>5</v>
      </c>
      <c r="D6" s="96">
        <f>IF(COUNT(T6:BJ6,BL6:BT6,BV6:CB6,CD6:EY6,FE6:FM6)&gt;0,COUNT(T6:BJ6,BL6:BT6,BV6:CB6,CD6:EY6,FE6:FM6),"")</f>
        <v>5</v>
      </c>
      <c r="E6" s="96">
        <f>IF(H6=1,COUNT(R6:EY6,FE6:FM6),"")</f>
        <v>5</v>
      </c>
      <c r="F6" s="96">
        <f>IF(H6=1,COUNT(T6:BJ6,BL6:BT6,BV6:CB6,CD6:EY6,FE6:FM6),"")</f>
        <v>5</v>
      </c>
      <c r="G6" s="96">
        <f>IF($B6&gt;=1,$M6,"")</f>
        <v>3</v>
      </c>
      <c r="H6" s="149">
        <f>IF(AND(M6&gt;0,M6&lt;=STATS!$C$22),1,"")</f>
        <v>1</v>
      </c>
      <c r="I6" s="158" t="s">
        <v>410</v>
      </c>
      <c r="J6" s="34">
        <v>5</v>
      </c>
      <c r="K6" s="165">
        <v>46.11636</v>
      </c>
      <c r="L6" s="165">
        <v>-91.21477</v>
      </c>
      <c r="M6" s="10">
        <v>3</v>
      </c>
      <c r="N6" s="10" t="s">
        <v>563</v>
      </c>
      <c r="O6" s="190" t="s">
        <v>648</v>
      </c>
      <c r="Q6" s="10">
        <v>1</v>
      </c>
      <c r="R6" s="17"/>
      <c r="S6" s="17"/>
      <c r="T6" s="36"/>
      <c r="U6" s="36"/>
      <c r="V6" s="36"/>
      <c r="W6" s="36"/>
      <c r="X6" s="36">
        <v>1</v>
      </c>
      <c r="Y6" s="36"/>
      <c r="Z6" s="36"/>
      <c r="AA6" s="36"/>
      <c r="AB6" s="36"/>
      <c r="AC6" s="36"/>
      <c r="AD6" s="36"/>
      <c r="AE6" s="36"/>
      <c r="AF6" s="36"/>
      <c r="AG6" s="36">
        <v>1</v>
      </c>
      <c r="AH6" s="36"/>
      <c r="BO6" s="10">
        <v>1</v>
      </c>
      <c r="BR6" s="10">
        <v>1</v>
      </c>
      <c r="CO6" s="10" t="s">
        <v>566</v>
      </c>
      <c r="CY6" s="10">
        <v>1</v>
      </c>
      <c r="DE6" s="10" t="s">
        <v>566</v>
      </c>
      <c r="DT6" s="10" t="s">
        <v>566</v>
      </c>
      <c r="EZ6" s="146"/>
      <c r="FA6" s="146"/>
      <c r="FB6" s="146"/>
      <c r="FC6" s="146"/>
      <c r="FD6" s="146"/>
    </row>
    <row r="7" spans="1:160" ht="12.75">
      <c r="A7" s="71"/>
      <c r="B7" s="96">
        <f>COUNT(R7:EY7,FE7:FM7)</f>
        <v>7</v>
      </c>
      <c r="C7" s="96">
        <f>IF(COUNT(R7:EY7,FE7:FM7)&gt;0,COUNT(R7:EY7,FE7:FM7),"")</f>
        <v>7</v>
      </c>
      <c r="D7" s="96">
        <f>IF(COUNT(T7:BJ7,BL7:BT7,BV7:CB7,CD7:EY7,FE7:FM7)&gt;0,COUNT(T7:BJ7,BL7:BT7,BV7:CB7,CD7:EY7,FE7:FM7),"")</f>
        <v>7</v>
      </c>
      <c r="E7" s="96">
        <f>IF(H7=1,COUNT(R7:EY7,FE7:FM7),"")</f>
        <v>7</v>
      </c>
      <c r="F7" s="96">
        <f>IF(H7=1,COUNT(T7:BJ7,BL7:BT7,BV7:CB7,CD7:EY7,FE7:FM7),"")</f>
        <v>7</v>
      </c>
      <c r="G7" s="96">
        <f>IF($B7&gt;=1,$M7,"")</f>
        <v>4.5</v>
      </c>
      <c r="H7" s="149">
        <f>IF(AND(M7&gt;0,M7&lt;=STATS!$C$22),1,"")</f>
        <v>1</v>
      </c>
      <c r="I7" s="158" t="s">
        <v>555</v>
      </c>
      <c r="J7" s="34">
        <v>6</v>
      </c>
      <c r="K7" s="165">
        <v>46.11667</v>
      </c>
      <c r="L7" s="165">
        <v>-91.21664</v>
      </c>
      <c r="M7" s="10">
        <v>4.5</v>
      </c>
      <c r="N7" s="10" t="s">
        <v>563</v>
      </c>
      <c r="O7" s="190" t="s">
        <v>648</v>
      </c>
      <c r="Q7" s="10">
        <v>2</v>
      </c>
      <c r="R7" s="17"/>
      <c r="S7" s="17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>
        <v>1</v>
      </c>
      <c r="AF7" s="36"/>
      <c r="AG7" s="36"/>
      <c r="AH7" s="36"/>
      <c r="BR7" s="10">
        <v>1</v>
      </c>
      <c r="CA7" s="10">
        <v>2</v>
      </c>
      <c r="CO7" s="10">
        <v>1</v>
      </c>
      <c r="CY7" s="10">
        <v>1</v>
      </c>
      <c r="DA7" s="10">
        <v>1</v>
      </c>
      <c r="DE7" s="10">
        <v>1</v>
      </c>
      <c r="EZ7" s="146"/>
      <c r="FA7" s="146"/>
      <c r="FB7" s="146"/>
      <c r="FC7" s="146"/>
      <c r="FD7" s="146"/>
    </row>
    <row r="8" spans="1:160" ht="12.75">
      <c r="A8" s="71"/>
      <c r="B8" s="96">
        <f>COUNT(R8:EY8,FE8:FM8)</f>
        <v>2</v>
      </c>
      <c r="C8" s="96">
        <f>IF(COUNT(R8:EY8,FE8:FM8)&gt;0,COUNT(R8:EY8,FE8:FM8),"")</f>
        <v>2</v>
      </c>
      <c r="D8" s="96">
        <f>IF(COUNT(T8:BJ8,BL8:BT8,BV8:CB8,CD8:EY8,FE8:FM8)&gt;0,COUNT(T8:BJ8,BL8:BT8,BV8:CB8,CD8:EY8,FE8:FM8),"")</f>
        <v>2</v>
      </c>
      <c r="E8" s="96">
        <f>IF(H8=1,COUNT(R8:EY8,FE8:FM8),"")</f>
        <v>2</v>
      </c>
      <c r="F8" s="96">
        <f>IF(H8=1,COUNT(T8:BJ8,BL8:BT8,BV8:CB8,CD8:EY8,FE8:FM8),"")</f>
        <v>2</v>
      </c>
      <c r="G8" s="96">
        <f>IF($B8&gt;=1,$M8,"")</f>
        <v>5.5</v>
      </c>
      <c r="H8" s="149">
        <f>IF(AND(M8&gt;0,M8&lt;=STATS!$C$22),1,"")</f>
        <v>1</v>
      </c>
      <c r="J8" s="34">
        <v>7</v>
      </c>
      <c r="K8" s="165">
        <v>46.11667</v>
      </c>
      <c r="L8" s="165">
        <v>-91.21617</v>
      </c>
      <c r="M8" s="10">
        <v>5.5</v>
      </c>
      <c r="N8" s="10" t="s">
        <v>563</v>
      </c>
      <c r="O8" s="190" t="s">
        <v>648</v>
      </c>
      <c r="Q8" s="10">
        <v>2</v>
      </c>
      <c r="R8" s="17"/>
      <c r="S8" s="17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>
        <v>1</v>
      </c>
      <c r="AF8" s="36"/>
      <c r="AG8" s="36"/>
      <c r="AH8" s="36"/>
      <c r="DE8" s="10">
        <v>2</v>
      </c>
      <c r="EZ8" s="146"/>
      <c r="FA8" s="146"/>
      <c r="FB8" s="146"/>
      <c r="FC8" s="146"/>
      <c r="FD8" s="146"/>
    </row>
    <row r="9" spans="1:160" ht="12.75">
      <c r="A9" s="88"/>
      <c r="B9" s="96">
        <f>COUNT(R9:EY9,FE9:FM9)</f>
        <v>3</v>
      </c>
      <c r="C9" s="96">
        <f>IF(COUNT(R9:EY9,FE9:FM9)&gt;0,COUNT(R9:EY9,FE9:FM9),"")</f>
        <v>3</v>
      </c>
      <c r="D9" s="96">
        <f>IF(COUNT(T9:BJ9,BL9:BT9,BV9:CB9,CD9:EY9,FE9:FM9)&gt;0,COUNT(T9:BJ9,BL9:BT9,BV9:CB9,CD9:EY9,FE9:FM9),"")</f>
        <v>3</v>
      </c>
      <c r="E9" s="96">
        <f>IF(H9=1,COUNT(R9:EY9,FE9:FM9),"")</f>
        <v>3</v>
      </c>
      <c r="F9" s="96">
        <f>IF(H9=1,COUNT(T9:BJ9,BL9:BT9,BV9:CB9,CD9:EY9,FE9:FM9),"")</f>
        <v>3</v>
      </c>
      <c r="G9" s="96">
        <f>IF($B9&gt;=1,$M9,"")</f>
        <v>4.5</v>
      </c>
      <c r="H9" s="149">
        <f>IF(AND(M9&gt;0,M9&lt;=STATS!$C$22),1,"")</f>
        <v>1</v>
      </c>
      <c r="J9" s="34">
        <v>8</v>
      </c>
      <c r="K9" s="165">
        <v>46.11668</v>
      </c>
      <c r="L9" s="165">
        <v>-91.21571</v>
      </c>
      <c r="M9" s="10">
        <v>4.5</v>
      </c>
      <c r="N9" s="10" t="s">
        <v>563</v>
      </c>
      <c r="O9" s="190" t="s">
        <v>648</v>
      </c>
      <c r="Q9" s="10">
        <v>2</v>
      </c>
      <c r="R9" s="17"/>
      <c r="S9" s="17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>
        <v>1</v>
      </c>
      <c r="AF9" s="36"/>
      <c r="AG9" s="36"/>
      <c r="AH9" s="36"/>
      <c r="AQ9" s="10">
        <v>1</v>
      </c>
      <c r="CA9" s="10">
        <v>2</v>
      </c>
      <c r="EZ9" s="146"/>
      <c r="FA9" s="146"/>
      <c r="FB9" s="146"/>
      <c r="FC9" s="146"/>
      <c r="FD9" s="146"/>
    </row>
    <row r="10" spans="1:160" ht="12.75">
      <c r="A10" s="71"/>
      <c r="B10" s="96">
        <f>COUNT(R10:EY10,FE10:FM10)</f>
        <v>7</v>
      </c>
      <c r="C10" s="96">
        <f>IF(COUNT(R10:EY10,FE10:FM10)&gt;0,COUNT(R10:EY10,FE10:FM10),"")</f>
        <v>7</v>
      </c>
      <c r="D10" s="96">
        <f>IF(COUNT(T10:BJ10,BL10:BT10,BV10:CB10,CD10:EY10,FE10:FM10)&gt;0,COUNT(T10:BJ10,BL10:BT10,BV10:CB10,CD10:EY10,FE10:FM10),"")</f>
        <v>7</v>
      </c>
      <c r="E10" s="96">
        <f>IF(H10=1,COUNT(R10:EY10,FE10:FM10),"")</f>
        <v>7</v>
      </c>
      <c r="F10" s="96">
        <f>IF(H10=1,COUNT(T10:BJ10,BL10:BT10,BV10:CB10,CD10:EY10,FE10:FM10),"")</f>
        <v>7</v>
      </c>
      <c r="G10" s="96">
        <f>IF($B10&gt;=1,$M10,"")</f>
        <v>3.5</v>
      </c>
      <c r="H10" s="149">
        <f>IF(AND(M10&gt;0,M10&lt;=STATS!$C$22),1,"")</f>
        <v>1</v>
      </c>
      <c r="J10" s="34">
        <v>9</v>
      </c>
      <c r="K10" s="165">
        <v>46.11668</v>
      </c>
      <c r="L10" s="165">
        <v>-91.21524</v>
      </c>
      <c r="M10" s="10">
        <v>3.5</v>
      </c>
      <c r="N10" s="10" t="s">
        <v>563</v>
      </c>
      <c r="O10" s="190" t="s">
        <v>648</v>
      </c>
      <c r="Q10" s="10">
        <v>2</v>
      </c>
      <c r="R10" s="17"/>
      <c r="S10" s="1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>
        <v>1</v>
      </c>
      <c r="AF10" s="36"/>
      <c r="AG10" s="36">
        <v>1</v>
      </c>
      <c r="AH10" s="36"/>
      <c r="CA10" s="10">
        <v>1</v>
      </c>
      <c r="CB10" s="10">
        <v>2</v>
      </c>
      <c r="CZ10" s="10">
        <v>1</v>
      </c>
      <c r="DE10" s="10">
        <v>1</v>
      </c>
      <c r="ER10" s="10">
        <v>1</v>
      </c>
      <c r="EZ10" s="146"/>
      <c r="FA10" s="146"/>
      <c r="FB10" s="146"/>
      <c r="FC10" s="146"/>
      <c r="FD10" s="146"/>
    </row>
    <row r="11" spans="1:160" ht="12.75">
      <c r="A11" s="71"/>
      <c r="B11" s="96">
        <f>COUNT(R11:EY11,FE11:FM11)</f>
        <v>4</v>
      </c>
      <c r="C11" s="96">
        <f>IF(COUNT(R11:EY11,FE11:FM11)&gt;0,COUNT(R11:EY11,FE11:FM11),"")</f>
        <v>4</v>
      </c>
      <c r="D11" s="96">
        <f>IF(COUNT(T11:BJ11,BL11:BT11,BV11:CB11,CD11:EY11,FE11:FM11)&gt;0,COUNT(T11:BJ11,BL11:BT11,BV11:CB11,CD11:EY11,FE11:FM11),"")</f>
        <v>4</v>
      </c>
      <c r="E11" s="96">
        <f>IF(H11=1,COUNT(R11:EY11,FE11:FM11),"")</f>
        <v>4</v>
      </c>
      <c r="F11" s="96">
        <f>IF(H11=1,COUNT(T11:BJ11,BL11:BT11,BV11:CB11,CD11:EY11,FE11:FM11),"")</f>
        <v>4</v>
      </c>
      <c r="G11" s="96">
        <f>IF($B11&gt;=1,$M11,"")</f>
        <v>5</v>
      </c>
      <c r="H11" s="149">
        <f>IF(AND(M11&gt;0,M11&lt;=STATS!$C$22),1,"")</f>
        <v>1</v>
      </c>
      <c r="J11" s="34">
        <v>10</v>
      </c>
      <c r="K11" s="165">
        <v>46.11669</v>
      </c>
      <c r="L11" s="165">
        <v>-91.21477</v>
      </c>
      <c r="M11" s="10">
        <v>5</v>
      </c>
      <c r="N11" s="10" t="s">
        <v>563</v>
      </c>
      <c r="O11" s="190" t="s">
        <v>648</v>
      </c>
      <c r="Q11" s="10">
        <v>2</v>
      </c>
      <c r="R11" s="17"/>
      <c r="S11" s="1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BR11" s="10">
        <v>1</v>
      </c>
      <c r="CB11" s="10" t="s">
        <v>566</v>
      </c>
      <c r="CI11" s="10" t="s">
        <v>566</v>
      </c>
      <c r="CR11" s="10">
        <v>1</v>
      </c>
      <c r="DA11" s="10">
        <v>1</v>
      </c>
      <c r="DE11" s="10">
        <v>2</v>
      </c>
      <c r="EZ11" s="146"/>
      <c r="FA11" s="146"/>
      <c r="FB11" s="146"/>
      <c r="FC11" s="146"/>
      <c r="FD11" s="146"/>
    </row>
    <row r="12" spans="1:160" ht="12.75">
      <c r="A12" s="71"/>
      <c r="B12" s="96">
        <f>COUNT(R12:EY12,FE12:FM12)</f>
        <v>4</v>
      </c>
      <c r="C12" s="96">
        <f>IF(COUNT(R12:EY12,FE12:FM12)&gt;0,COUNT(R12:EY12,FE12:FM12),"")</f>
        <v>4</v>
      </c>
      <c r="D12" s="96">
        <f>IF(COUNT(T12:BJ12,BL12:BT12,BV12:CB12,CD12:EY12,FE12:FM12)&gt;0,COUNT(T12:BJ12,BL12:BT12,BV12:CB12,CD12:EY12,FE12:FM12),"")</f>
        <v>4</v>
      </c>
      <c r="E12" s="96">
        <f>IF(H12=1,COUNT(R12:EY12,FE12:FM12),"")</f>
        <v>4</v>
      </c>
      <c r="F12" s="96">
        <f>IF(H12=1,COUNT(T12:BJ12,BL12:BT12,BV12:CB12,CD12:EY12,FE12:FM12),"")</f>
        <v>4</v>
      </c>
      <c r="G12" s="96">
        <f>IF($B12&gt;=1,$M12,"")</f>
        <v>4.5</v>
      </c>
      <c r="H12" s="149">
        <f>IF(AND(M12&gt;0,M12&lt;=STATS!$C$22),1,"")</f>
        <v>1</v>
      </c>
      <c r="J12" s="34">
        <v>11</v>
      </c>
      <c r="K12" s="165">
        <v>46.11669</v>
      </c>
      <c r="L12" s="165">
        <v>-91.21431</v>
      </c>
      <c r="M12" s="10">
        <v>4.5</v>
      </c>
      <c r="N12" s="10" t="s">
        <v>563</v>
      </c>
      <c r="O12" s="190" t="s">
        <v>648</v>
      </c>
      <c r="Q12" s="10">
        <v>3</v>
      </c>
      <c r="R12" s="17"/>
      <c r="S12" s="1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>
        <v>3</v>
      </c>
      <c r="AF12" s="36"/>
      <c r="AG12" s="36"/>
      <c r="AH12" s="36"/>
      <c r="AQ12" s="10">
        <v>1</v>
      </c>
      <c r="BO12" s="10" t="s">
        <v>566</v>
      </c>
      <c r="CB12" s="10" t="s">
        <v>566</v>
      </c>
      <c r="CY12" s="10">
        <v>1</v>
      </c>
      <c r="DE12" s="10">
        <v>1</v>
      </c>
      <c r="EZ12" s="146"/>
      <c r="FA12" s="146"/>
      <c r="FB12" s="146"/>
      <c r="FC12" s="146"/>
      <c r="FD12" s="146"/>
    </row>
    <row r="13" spans="1:160" ht="12.75">
      <c r="A13" s="88"/>
      <c r="B13" s="96">
        <f>COUNT(R13:EY13,FE13:FM13)</f>
        <v>4</v>
      </c>
      <c r="C13" s="96">
        <f>IF(COUNT(R13:EY13,FE13:FM13)&gt;0,COUNT(R13:EY13,FE13:FM13),"")</f>
        <v>4</v>
      </c>
      <c r="D13" s="96">
        <f>IF(COUNT(T13:BJ13,BL13:BT13,BV13:CB13,CD13:EY13,FE13:FM13)&gt;0,COUNT(T13:BJ13,BL13:BT13,BV13:CB13,CD13:EY13,FE13:FM13),"")</f>
        <v>4</v>
      </c>
      <c r="E13" s="96">
        <f>IF(H13=1,COUNT(R13:EY13,FE13:FM13),"")</f>
        <v>4</v>
      </c>
      <c r="F13" s="96">
        <f>IF(H13=1,COUNT(T13:BJ13,BL13:BT13,BV13:CB13,CD13:EY13,FE13:FM13),"")</f>
        <v>4</v>
      </c>
      <c r="G13" s="96">
        <f>IF($B13&gt;=1,$M13,"")</f>
        <v>5</v>
      </c>
      <c r="H13" s="149">
        <f>IF(AND(M13&gt;0,M13&lt;=STATS!$C$22),1,"")</f>
        <v>1</v>
      </c>
      <c r="J13" s="34">
        <v>12</v>
      </c>
      <c r="K13" s="165">
        <v>46.11698</v>
      </c>
      <c r="L13" s="165">
        <v>-91.21711</v>
      </c>
      <c r="M13" s="10">
        <v>5</v>
      </c>
      <c r="N13" s="10" t="s">
        <v>563</v>
      </c>
      <c r="O13" s="190" t="s">
        <v>648</v>
      </c>
      <c r="Q13" s="10">
        <v>3</v>
      </c>
      <c r="R13" s="17"/>
      <c r="S13" s="1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>
        <v>1</v>
      </c>
      <c r="AF13" s="36"/>
      <c r="AG13" s="36"/>
      <c r="AH13" s="36"/>
      <c r="CA13" s="10">
        <v>3</v>
      </c>
      <c r="CB13" s="10">
        <v>1</v>
      </c>
      <c r="CY13" s="10" t="s">
        <v>566</v>
      </c>
      <c r="DE13" s="10">
        <v>1</v>
      </c>
      <c r="EZ13" s="146"/>
      <c r="FA13" s="146"/>
      <c r="FB13" s="146"/>
      <c r="FC13" s="146"/>
      <c r="FD13" s="146"/>
    </row>
    <row r="14" spans="1:160" ht="12.75">
      <c r="A14" s="71"/>
      <c r="B14" s="96">
        <f>COUNT(R14:EY14,FE14:FM14)</f>
        <v>4</v>
      </c>
      <c r="C14" s="96">
        <f>IF(COUNT(R14:EY14,FE14:FM14)&gt;0,COUNT(R14:EY14,FE14:FM14),"")</f>
        <v>4</v>
      </c>
      <c r="D14" s="96">
        <f>IF(COUNT(T14:BJ14,BL14:BT14,BV14:CB14,CD14:EY14,FE14:FM14)&gt;0,COUNT(T14:BJ14,BL14:BT14,BV14:CB14,CD14:EY14,FE14:FM14),"")</f>
        <v>4</v>
      </c>
      <c r="E14" s="96">
        <f>IF(H14=1,COUNT(R14:EY14,FE14:FM14),"")</f>
        <v>4</v>
      </c>
      <c r="F14" s="96">
        <f>IF(H14=1,COUNT(T14:BJ14,BL14:BT14,BV14:CB14,CD14:EY14,FE14:FM14),"")</f>
        <v>4</v>
      </c>
      <c r="G14" s="96">
        <f>IF($B14&gt;=1,$M14,"")</f>
        <v>6</v>
      </c>
      <c r="H14" s="149">
        <f>IF(AND(M14&gt;0,M14&lt;=STATS!$C$22),1,"")</f>
        <v>1</v>
      </c>
      <c r="J14" s="34">
        <v>13</v>
      </c>
      <c r="K14" s="165">
        <v>46.11699</v>
      </c>
      <c r="L14" s="165">
        <v>-91.21664</v>
      </c>
      <c r="M14" s="10">
        <v>6</v>
      </c>
      <c r="N14" s="10" t="s">
        <v>563</v>
      </c>
      <c r="O14" s="190" t="s">
        <v>648</v>
      </c>
      <c r="Q14" s="10">
        <v>3</v>
      </c>
      <c r="R14" s="17"/>
      <c r="S14" s="17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>
        <v>1</v>
      </c>
      <c r="AF14" s="36"/>
      <c r="AG14" s="36"/>
      <c r="AH14" s="36"/>
      <c r="BO14" s="10">
        <v>1</v>
      </c>
      <c r="CA14" s="10">
        <v>3</v>
      </c>
      <c r="DE14" s="10">
        <v>2</v>
      </c>
      <c r="EZ14" s="146"/>
      <c r="FA14" s="146"/>
      <c r="FB14" s="146"/>
      <c r="FC14" s="146"/>
      <c r="FD14" s="146"/>
    </row>
    <row r="15" spans="1:160" ht="12.75">
      <c r="A15" s="71"/>
      <c r="B15" s="96">
        <f>COUNT(R15:EY15,FE15:FM15)</f>
        <v>0</v>
      </c>
      <c r="C15" s="96">
        <f>IF(COUNT(R15:EY15,FE15:FM15)&gt;0,COUNT(R15:EY15,FE15:FM15),"")</f>
      </c>
      <c r="D15" s="96">
        <f>IF(COUNT(T15:BJ15,BL15:BT15,BV15:CB15,CD15:EY15,FE15:FM15)&gt;0,COUNT(T15:BJ15,BL15:BT15,BV15:CB15,CD15:EY15,FE15:FM15),"")</f>
      </c>
      <c r="E15" s="96">
        <f>IF(H15=1,COUNT(R15:EY15,FE15:FM15),"")</f>
        <v>0</v>
      </c>
      <c r="F15" s="96">
        <f>IF(H15=1,COUNT(T15:BJ15,BL15:BT15,BV15:CB15,CD15:EY15,FE15:FM15),"")</f>
        <v>0</v>
      </c>
      <c r="G15" s="96">
        <f>IF($B15&gt;=1,$M15,"")</f>
      </c>
      <c r="H15" s="149">
        <f>IF(AND(M15&gt;0,M15&lt;=STATS!$C$22),1,"")</f>
        <v>1</v>
      </c>
      <c r="J15" s="34">
        <v>14</v>
      </c>
      <c r="K15" s="165">
        <v>46.11699</v>
      </c>
      <c r="L15" s="165">
        <v>-91.21618</v>
      </c>
      <c r="M15" s="10">
        <v>11.5</v>
      </c>
      <c r="N15" s="10" t="s">
        <v>563</v>
      </c>
      <c r="O15" s="190" t="s">
        <v>648</v>
      </c>
      <c r="R15" s="17"/>
      <c r="S15" s="17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EZ15" s="146"/>
      <c r="FA15" s="146"/>
      <c r="FB15" s="146"/>
      <c r="FC15" s="146"/>
      <c r="FD15" s="146"/>
    </row>
    <row r="16" spans="1:160" ht="12.75">
      <c r="A16" s="71"/>
      <c r="B16" s="96">
        <f>COUNT(R16:EY16,FE16:FM16)</f>
        <v>2</v>
      </c>
      <c r="C16" s="96">
        <f>IF(COUNT(R16:EY16,FE16:FM16)&gt;0,COUNT(R16:EY16,FE16:FM16),"")</f>
        <v>2</v>
      </c>
      <c r="D16" s="96">
        <f>IF(COUNT(T16:BJ16,BL16:BT16,BV16:CB16,CD16:EY16,FE16:FM16)&gt;0,COUNT(T16:BJ16,BL16:BT16,BV16:CB16,CD16:EY16,FE16:FM16),"")</f>
        <v>2</v>
      </c>
      <c r="E16" s="96">
        <f>IF(H16=1,COUNT(R16:EY16,FE16:FM16),"")</f>
        <v>2</v>
      </c>
      <c r="F16" s="96">
        <f>IF(H16=1,COUNT(T16:BJ16,BL16:BT16,BV16:CB16,CD16:EY16,FE16:FM16),"")</f>
        <v>2</v>
      </c>
      <c r="G16" s="96">
        <f>IF($B16&gt;=1,$M16,"")</f>
        <v>4.5</v>
      </c>
      <c r="H16" s="149">
        <f>IF(AND(M16&gt;0,M16&lt;=STATS!$C$22),1,"")</f>
        <v>1</v>
      </c>
      <c r="J16" s="34">
        <v>15</v>
      </c>
      <c r="K16" s="165">
        <v>46.117</v>
      </c>
      <c r="L16" s="165">
        <v>-91.21571</v>
      </c>
      <c r="M16" s="10">
        <v>4.5</v>
      </c>
      <c r="N16" s="10" t="s">
        <v>563</v>
      </c>
      <c r="O16" s="190" t="s">
        <v>648</v>
      </c>
      <c r="Q16" s="10">
        <v>2</v>
      </c>
      <c r="R16" s="17"/>
      <c r="S16" s="17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>
        <v>1</v>
      </c>
      <c r="AF16" s="36"/>
      <c r="AG16" s="36"/>
      <c r="AH16" s="36"/>
      <c r="AQ16" s="10">
        <v>2</v>
      </c>
      <c r="BO16" s="10" t="s">
        <v>566</v>
      </c>
      <c r="CI16" s="10" t="s">
        <v>566</v>
      </c>
      <c r="EZ16" s="146"/>
      <c r="FA16" s="146"/>
      <c r="FB16" s="146"/>
      <c r="FC16" s="146"/>
      <c r="FD16" s="146"/>
    </row>
    <row r="17" spans="1:160" ht="12.75">
      <c r="A17" s="71"/>
      <c r="B17" s="96">
        <f>COUNT(R17:EY17,FE17:FM17)</f>
        <v>8</v>
      </c>
      <c r="C17" s="96">
        <f>IF(COUNT(R17:EY17,FE17:FM17)&gt;0,COUNT(R17:EY17,FE17:FM17),"")</f>
        <v>8</v>
      </c>
      <c r="D17" s="96">
        <f>IF(COUNT(T17:BJ17,BL17:BT17,BV17:CB17,CD17:EY17,FE17:FM17)&gt;0,COUNT(T17:BJ17,BL17:BT17,BV17:CB17,CD17:EY17,FE17:FM17),"")</f>
        <v>8</v>
      </c>
      <c r="E17" s="96">
        <f>IF(H17=1,COUNT(R17:EY17,FE17:FM17),"")</f>
        <v>8</v>
      </c>
      <c r="F17" s="96">
        <f>IF(H17=1,COUNT(T17:BJ17,BL17:BT17,BV17:CB17,CD17:EY17,FE17:FM17),"")</f>
        <v>8</v>
      </c>
      <c r="G17" s="96">
        <f>IF($B17&gt;=1,$M17,"")</f>
        <v>4</v>
      </c>
      <c r="H17" s="149">
        <f>IF(AND(M17&gt;0,M17&lt;=STATS!$C$22),1,"")</f>
        <v>1</v>
      </c>
      <c r="J17" s="34">
        <v>16</v>
      </c>
      <c r="K17" s="165">
        <v>46.11701</v>
      </c>
      <c r="L17" s="165">
        <v>-91.21525</v>
      </c>
      <c r="M17" s="10">
        <v>4</v>
      </c>
      <c r="N17" s="10" t="s">
        <v>563</v>
      </c>
      <c r="O17" s="190" t="s">
        <v>648</v>
      </c>
      <c r="Q17" s="10">
        <v>3</v>
      </c>
      <c r="R17" s="17"/>
      <c r="S17" s="17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>
        <v>1</v>
      </c>
      <c r="AF17" s="36"/>
      <c r="AG17" s="36">
        <v>1</v>
      </c>
      <c r="AH17" s="36"/>
      <c r="BO17" s="10">
        <v>3</v>
      </c>
      <c r="CA17" s="10">
        <v>2</v>
      </c>
      <c r="CB17" s="10">
        <v>1</v>
      </c>
      <c r="CY17" s="10">
        <v>1</v>
      </c>
      <c r="DE17" s="10">
        <v>1</v>
      </c>
      <c r="ER17" s="10">
        <v>2</v>
      </c>
      <c r="EZ17" s="146"/>
      <c r="FA17" s="146"/>
      <c r="FB17" s="146"/>
      <c r="FC17" s="146"/>
      <c r="FD17" s="146"/>
    </row>
    <row r="18" spans="1:160" ht="12.75">
      <c r="A18" s="88"/>
      <c r="B18" s="96">
        <f>COUNT(R18:EY18,FE18:FM18)</f>
        <v>5</v>
      </c>
      <c r="C18" s="96">
        <f>IF(COUNT(R18:EY18,FE18:FM18)&gt;0,COUNT(R18:EY18,FE18:FM18),"")</f>
        <v>5</v>
      </c>
      <c r="D18" s="96">
        <f>IF(COUNT(T18:BJ18,BL18:BT18,BV18:CB18,CD18:EY18,FE18:FM18)&gt;0,COUNT(T18:BJ18,BL18:BT18,BV18:CB18,CD18:EY18,FE18:FM18),"")</f>
        <v>5</v>
      </c>
      <c r="E18" s="96">
        <f>IF(H18=1,COUNT(R18:EY18,FE18:FM18),"")</f>
        <v>5</v>
      </c>
      <c r="F18" s="96">
        <f>IF(H18=1,COUNT(T18:BJ18,BL18:BT18,BV18:CB18,CD18:EY18,FE18:FM18),"")</f>
        <v>5</v>
      </c>
      <c r="G18" s="96">
        <f>IF($B18&gt;=1,$M18,"")</f>
        <v>4.5</v>
      </c>
      <c r="H18" s="149">
        <f>IF(AND(M18&gt;0,M18&lt;=STATS!$C$22),1,"")</f>
        <v>1</v>
      </c>
      <c r="J18" s="34">
        <v>17</v>
      </c>
      <c r="K18" s="165">
        <v>46.11701</v>
      </c>
      <c r="L18" s="165">
        <v>-91.21478</v>
      </c>
      <c r="M18" s="10">
        <v>4.5</v>
      </c>
      <c r="N18" s="10" t="s">
        <v>563</v>
      </c>
      <c r="O18" s="190" t="s">
        <v>648</v>
      </c>
      <c r="Q18" s="10">
        <v>3</v>
      </c>
      <c r="R18" s="17"/>
      <c r="S18" s="17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>
        <v>1</v>
      </c>
      <c r="AF18" s="36"/>
      <c r="AG18" s="36">
        <v>2</v>
      </c>
      <c r="AH18" s="36"/>
      <c r="BO18" s="10">
        <v>1</v>
      </c>
      <c r="CA18" s="10" t="s">
        <v>566</v>
      </c>
      <c r="CW18" s="10">
        <v>1</v>
      </c>
      <c r="DE18" s="10">
        <v>3</v>
      </c>
      <c r="EZ18" s="146"/>
      <c r="FA18" s="146"/>
      <c r="FB18" s="146"/>
      <c r="FC18" s="146"/>
      <c r="FD18" s="146"/>
    </row>
    <row r="19" spans="1:160" ht="12.75">
      <c r="A19" s="71"/>
      <c r="B19" s="96">
        <f>COUNT(R19:EY19,FE19:FM19)</f>
        <v>4</v>
      </c>
      <c r="C19" s="96">
        <f>IF(COUNT(R19:EY19,FE19:FM19)&gt;0,COUNT(R19:EY19,FE19:FM19),"")</f>
        <v>4</v>
      </c>
      <c r="D19" s="96">
        <f>IF(COUNT(T19:BJ19,BL19:BT19,BV19:CB19,CD19:EY19,FE19:FM19)&gt;0,COUNT(T19:BJ19,BL19:BT19,BV19:CB19,CD19:EY19,FE19:FM19),"")</f>
        <v>4</v>
      </c>
      <c r="E19" s="96">
        <f>IF(H19=1,COUNT(R19:EY19,FE19:FM19),"")</f>
        <v>4</v>
      </c>
      <c r="F19" s="96">
        <f>IF(H19=1,COUNT(T19:BJ19,BL19:BT19,BV19:CB19,CD19:EY19,FE19:FM19),"")</f>
        <v>4</v>
      </c>
      <c r="G19" s="96">
        <f>IF($B19&gt;=1,$M19,"")</f>
        <v>4.5</v>
      </c>
      <c r="H19" s="149">
        <f>IF(AND(M19&gt;0,M19&lt;=STATS!$C$22),1,"")</f>
        <v>1</v>
      </c>
      <c r="J19" s="34">
        <v>18</v>
      </c>
      <c r="K19" s="165">
        <v>46.11701</v>
      </c>
      <c r="L19" s="165">
        <v>-91.21431</v>
      </c>
      <c r="M19" s="10">
        <v>4.5</v>
      </c>
      <c r="N19" s="10" t="s">
        <v>563</v>
      </c>
      <c r="O19" s="190" t="s">
        <v>648</v>
      </c>
      <c r="Q19" s="10">
        <v>2</v>
      </c>
      <c r="R19" s="17"/>
      <c r="S19" s="17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BO19" s="10">
        <v>1</v>
      </c>
      <c r="BR19" s="10">
        <v>1</v>
      </c>
      <c r="CB19" s="10">
        <v>2</v>
      </c>
      <c r="CS19" s="10" t="s">
        <v>566</v>
      </c>
      <c r="DA19" s="10">
        <v>1</v>
      </c>
      <c r="EZ19" s="146"/>
      <c r="FA19" s="146"/>
      <c r="FB19" s="146"/>
      <c r="FC19" s="146"/>
      <c r="FD19" s="146"/>
    </row>
    <row r="20" spans="1:160" ht="12.75">
      <c r="A20" s="71"/>
      <c r="B20" s="96">
        <f>COUNT(R20:EY20,FE20:FM20)</f>
        <v>5</v>
      </c>
      <c r="C20" s="96">
        <f>IF(COUNT(R20:EY20,FE20:FM20)&gt;0,COUNT(R20:EY20,FE20:FM20),"")</f>
        <v>5</v>
      </c>
      <c r="D20" s="96">
        <f>IF(COUNT(T20:BJ20,BL20:BT20,BV20:CB20,CD20:EY20,FE20:FM20)&gt;0,COUNT(T20:BJ20,BL20:BT20,BV20:CB20,CD20:EY20,FE20:FM20),"")</f>
        <v>5</v>
      </c>
      <c r="E20" s="96">
        <f>IF(H20=1,COUNT(R20:EY20,FE20:FM20),"")</f>
        <v>5</v>
      </c>
      <c r="F20" s="96">
        <f>IF(H20=1,COUNT(T20:BJ20,BL20:BT20,BV20:CB20,CD20:EY20,FE20:FM20),"")</f>
        <v>5</v>
      </c>
      <c r="G20" s="96">
        <f>IF($B20&gt;=1,$M20,"")</f>
        <v>4</v>
      </c>
      <c r="H20" s="149">
        <f>IF(AND(M20&gt;0,M20&lt;=STATS!$C$22),1,"")</f>
        <v>1</v>
      </c>
      <c r="J20" s="34">
        <v>19</v>
      </c>
      <c r="K20" s="165">
        <v>46.11702</v>
      </c>
      <c r="L20" s="165">
        <v>-91.21385</v>
      </c>
      <c r="M20" s="10">
        <v>4</v>
      </c>
      <c r="N20" s="10" t="s">
        <v>563</v>
      </c>
      <c r="O20" s="190" t="s">
        <v>648</v>
      </c>
      <c r="Q20" s="10">
        <v>2</v>
      </c>
      <c r="R20" s="17"/>
      <c r="S20" s="17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BR20" s="10">
        <v>1</v>
      </c>
      <c r="CB20" s="10">
        <v>2</v>
      </c>
      <c r="CO20" s="10">
        <v>1</v>
      </c>
      <c r="DA20" s="10">
        <v>2</v>
      </c>
      <c r="DE20" s="10">
        <v>2</v>
      </c>
      <c r="EZ20" s="146"/>
      <c r="FA20" s="146"/>
      <c r="FB20" s="146"/>
      <c r="FC20" s="146"/>
      <c r="FD20" s="146"/>
    </row>
    <row r="21" spans="1:160" ht="12.75">
      <c r="A21" s="71"/>
      <c r="B21" s="96">
        <f>COUNT(R21:EY21,FE21:FM21)</f>
        <v>9</v>
      </c>
      <c r="C21" s="96">
        <f>IF(COUNT(R21:EY21,FE21:FM21)&gt;0,COUNT(R21:EY21,FE21:FM21),"")</f>
        <v>9</v>
      </c>
      <c r="D21" s="96">
        <f>IF(COUNT(T21:BJ21,BL21:BT21,BV21:CB21,CD21:EY21,FE21:FM21)&gt;0,COUNT(T21:BJ21,BL21:BT21,BV21:CB21,CD21:EY21,FE21:FM21),"")</f>
        <v>9</v>
      </c>
      <c r="E21" s="96">
        <f>IF(H21=1,COUNT(R21:EY21,FE21:FM21),"")</f>
        <v>9</v>
      </c>
      <c r="F21" s="96">
        <f>IF(H21=1,COUNT(T21:BJ21,BL21:BT21,BV21:CB21,CD21:EY21,FE21:FM21),"")</f>
        <v>9</v>
      </c>
      <c r="G21" s="96">
        <f>IF($B21&gt;=1,$M21,"")</f>
        <v>3</v>
      </c>
      <c r="H21" s="149">
        <f>IF(AND(M21&gt;0,M21&lt;=STATS!$C$22),1,"")</f>
        <v>1</v>
      </c>
      <c r="J21" s="34">
        <v>20</v>
      </c>
      <c r="K21" s="165">
        <v>46.11702</v>
      </c>
      <c r="L21" s="165">
        <v>-91.21338</v>
      </c>
      <c r="M21" s="10">
        <v>3</v>
      </c>
      <c r="N21" s="10" t="s">
        <v>563</v>
      </c>
      <c r="O21" s="190" t="s">
        <v>648</v>
      </c>
      <c r="Q21" s="10">
        <v>3</v>
      </c>
      <c r="R21" s="17"/>
      <c r="S21" s="17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BO21" s="10">
        <v>1</v>
      </c>
      <c r="BQ21" s="10">
        <v>1</v>
      </c>
      <c r="BR21" s="10">
        <v>1</v>
      </c>
      <c r="CB21" s="10">
        <v>2</v>
      </c>
      <c r="CN21" s="10">
        <v>1</v>
      </c>
      <c r="CS21" s="10">
        <v>1</v>
      </c>
      <c r="CY21" s="10">
        <v>2</v>
      </c>
      <c r="DE21" s="10">
        <v>2</v>
      </c>
      <c r="DY21" s="10" t="s">
        <v>566</v>
      </c>
      <c r="ER21" s="10">
        <v>1</v>
      </c>
      <c r="EZ21" s="146"/>
      <c r="FA21" s="146"/>
      <c r="FB21" s="146"/>
      <c r="FC21" s="146"/>
      <c r="FD21" s="146"/>
    </row>
    <row r="22" spans="1:160" ht="12.75">
      <c r="A22" s="71"/>
      <c r="B22" s="96">
        <f>COUNT(R22:EY22,FE22:FM22)</f>
        <v>1</v>
      </c>
      <c r="C22" s="96">
        <f>IF(COUNT(R22:EY22,FE22:FM22)&gt;0,COUNT(R22:EY22,FE22:FM22),"")</f>
        <v>1</v>
      </c>
      <c r="D22" s="96">
        <f>IF(COUNT(T22:BJ22,BL22:BT22,BV22:CB22,CD22:EY22,FE22:FM22)&gt;0,COUNT(T22:BJ22,BL22:BT22,BV22:CB22,CD22:EY22,FE22:FM22),"")</f>
        <v>1</v>
      </c>
      <c r="E22" s="96">
        <f>IF(H22=1,COUNT(R22:EY22,FE22:FM22),"")</f>
        <v>1</v>
      </c>
      <c r="F22" s="96">
        <f>IF(H22=1,COUNT(T22:BJ22,BL22:BT22,BV22:CB22,CD22:EY22,FE22:FM22),"")</f>
        <v>1</v>
      </c>
      <c r="G22" s="96">
        <f>IF($B22&gt;=1,$M22,"")</f>
        <v>10.5</v>
      </c>
      <c r="H22" s="149">
        <f>IF(AND(M22&gt;0,M22&lt;=STATS!$C$22),1,"")</f>
        <v>1</v>
      </c>
      <c r="J22" s="34">
        <v>21</v>
      </c>
      <c r="K22" s="165">
        <v>46.11731</v>
      </c>
      <c r="L22" s="165">
        <v>-91.21712</v>
      </c>
      <c r="M22" s="10">
        <v>10.5</v>
      </c>
      <c r="N22" s="10" t="s">
        <v>563</v>
      </c>
      <c r="O22" s="190" t="s">
        <v>648</v>
      </c>
      <c r="Q22" s="10">
        <v>1</v>
      </c>
      <c r="R22" s="17"/>
      <c r="S22" s="17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EM22" s="10">
        <v>1</v>
      </c>
      <c r="EZ22" s="146"/>
      <c r="FA22" s="146"/>
      <c r="FB22" s="146"/>
      <c r="FC22" s="146"/>
      <c r="FD22" s="146"/>
    </row>
    <row r="23" spans="1:160" ht="12.75">
      <c r="A23" s="88"/>
      <c r="B23" s="96">
        <f>COUNT(R23:EY23,FE23:FM23)</f>
        <v>0</v>
      </c>
      <c r="C23" s="96">
        <f>IF(COUNT(R23:EY23,FE23:FM23)&gt;0,COUNT(R23:EY23,FE23:FM23),"")</f>
      </c>
      <c r="D23" s="96">
        <f>IF(COUNT(T23:BJ23,BL23:BT23,BV23:CB23,CD23:EY23,FE23:FM23)&gt;0,COUNT(T23:BJ23,BL23:BT23,BV23:CB23,CD23:EY23,FE23:FM23),"")</f>
      </c>
      <c r="E23" s="96">
        <f>IF(H23=1,COUNT(R23:EY23,FE23:FM23),"")</f>
        <v>0</v>
      </c>
      <c r="F23" s="96">
        <f>IF(H23=1,COUNT(T23:BJ23,BL23:BT23,BV23:CB23,CD23:EY23,FE23:FM23),"")</f>
        <v>0</v>
      </c>
      <c r="G23" s="96">
        <f>IF($B23&gt;=1,$M23,"")</f>
      </c>
      <c r="H23" s="149">
        <f>IF(AND(M23&gt;0,M23&lt;=STATS!$C$22),1,"")</f>
        <v>1</v>
      </c>
      <c r="J23" s="34">
        <v>22</v>
      </c>
      <c r="K23" s="165">
        <v>46.11731</v>
      </c>
      <c r="L23" s="165">
        <v>-91.21665</v>
      </c>
      <c r="M23" s="10">
        <v>13</v>
      </c>
      <c r="N23" s="10" t="s">
        <v>563</v>
      </c>
      <c r="O23" s="190" t="s">
        <v>648</v>
      </c>
      <c r="P23" s="161"/>
      <c r="R23" s="17"/>
      <c r="S23" s="17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EZ23" s="146"/>
      <c r="FA23" s="146"/>
      <c r="FB23" s="146"/>
      <c r="FC23" s="146"/>
      <c r="FD23" s="146"/>
    </row>
    <row r="24" spans="1:160" ht="12.75">
      <c r="A24" s="89"/>
      <c r="B24" s="96">
        <f>COUNT(R24:EY24,FE24:FM24)</f>
        <v>0</v>
      </c>
      <c r="C24" s="96">
        <f>IF(COUNT(R24:EY24,FE24:FM24)&gt;0,COUNT(R24:EY24,FE24:FM24),"")</f>
      </c>
      <c r="D24" s="96">
        <f>IF(COUNT(T24:BJ24,BL24:BT24,BV24:CB24,CD24:EY24,FE24:FM24)&gt;0,COUNT(T24:BJ24,BL24:BT24,BV24:CB24,CD24:EY24,FE24:FM24),"")</f>
      </c>
      <c r="E24" s="96">
        <f>IF(H24=1,COUNT(R24:EY24,FE24:FM24),"")</f>
      </c>
      <c r="F24" s="96">
        <f>IF(H24=1,COUNT(T24:BJ24,BL24:BT24,BV24:CB24,CD24:EY24,FE24:FM24),"")</f>
      </c>
      <c r="G24" s="96">
        <f>IF($B24&gt;=1,$M24,"")</f>
      </c>
      <c r="H24" s="149">
        <f>IF(AND(M24&gt;0,M24&lt;=STATS!$C$22),1,"")</f>
      </c>
      <c r="J24" s="34">
        <v>23</v>
      </c>
      <c r="K24" s="165">
        <v>46.11732</v>
      </c>
      <c r="L24" s="165">
        <v>-91.21619</v>
      </c>
      <c r="M24" s="10">
        <v>15.5</v>
      </c>
      <c r="R24" s="17"/>
      <c r="S24" s="1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EZ24" s="146"/>
      <c r="FA24" s="146"/>
      <c r="FB24" s="146"/>
      <c r="FC24" s="146"/>
      <c r="FD24" s="146"/>
    </row>
    <row r="25" spans="1:160" ht="12.75">
      <c r="A25" s="89"/>
      <c r="B25" s="96">
        <f>COUNT(R25:EY25,FE25:FM25)</f>
        <v>0</v>
      </c>
      <c r="C25" s="96">
        <f>IF(COUNT(R25:EY25,FE25:FM25)&gt;0,COUNT(R25:EY25,FE25:FM25),"")</f>
      </c>
      <c r="D25" s="96">
        <f>IF(COUNT(T25:BJ25,BL25:BT25,BV25:CB25,CD25:EY25,FE25:FM25)&gt;0,COUNT(T25:BJ25,BL25:BT25,BV25:CB25,CD25:EY25,FE25:FM25),"")</f>
      </c>
      <c r="E25" s="96">
        <f>IF(H25=1,COUNT(R25:EY25,FE25:FM25),"")</f>
        <v>0</v>
      </c>
      <c r="F25" s="96">
        <f>IF(H25=1,COUNT(T25:BJ25,BL25:BT25,BV25:CB25,CD25:EY25,FE25:FM25),"")</f>
        <v>0</v>
      </c>
      <c r="G25" s="96">
        <f>IF($B25&gt;=1,$M25,"")</f>
      </c>
      <c r="H25" s="149">
        <f>IF(AND(M25&gt;0,M25&lt;=STATS!$C$22),1,"")</f>
        <v>1</v>
      </c>
      <c r="J25" s="34">
        <v>24</v>
      </c>
      <c r="K25" s="165">
        <v>46.11732</v>
      </c>
      <c r="L25" s="165">
        <v>-91.21572</v>
      </c>
      <c r="M25" s="10">
        <v>12</v>
      </c>
      <c r="N25" s="10" t="s">
        <v>563</v>
      </c>
      <c r="O25" s="190" t="s">
        <v>648</v>
      </c>
      <c r="R25" s="17"/>
      <c r="S25" s="17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EZ25" s="146"/>
      <c r="FA25" s="146"/>
      <c r="FB25" s="146"/>
      <c r="FC25" s="146"/>
      <c r="FD25" s="146"/>
    </row>
    <row r="26" spans="1:160" ht="12.75">
      <c r="A26" s="89"/>
      <c r="B26" s="96">
        <f>COUNT(R26:EY26,FE26:FM26)</f>
        <v>5</v>
      </c>
      <c r="C26" s="96">
        <f>IF(COUNT(R26:EY26,FE26:FM26)&gt;0,COUNT(R26:EY26,FE26:FM26),"")</f>
        <v>5</v>
      </c>
      <c r="D26" s="96">
        <f>IF(COUNT(T26:BJ26,BL26:BT26,BV26:CB26,CD26:EY26,FE26:FM26)&gt;0,COUNT(T26:BJ26,BL26:BT26,BV26:CB26,CD26:EY26,FE26:FM26),"")</f>
        <v>5</v>
      </c>
      <c r="E26" s="96">
        <f>IF(H26=1,COUNT(R26:EY26,FE26:FM26),"")</f>
        <v>5</v>
      </c>
      <c r="F26" s="96">
        <f>IF(H26=1,COUNT(T26:BJ26,BL26:BT26,BV26:CB26,CD26:EY26,FE26:FM26),"")</f>
        <v>5</v>
      </c>
      <c r="G26" s="96">
        <f>IF($B26&gt;=1,$M26,"")</f>
        <v>4.5</v>
      </c>
      <c r="H26" s="149">
        <f>IF(AND(M26&gt;0,M26&lt;=STATS!$C$22),1,"")</f>
        <v>1</v>
      </c>
      <c r="J26" s="34">
        <v>25</v>
      </c>
      <c r="K26" s="165">
        <v>46.11733</v>
      </c>
      <c r="L26" s="165">
        <v>-91.21525</v>
      </c>
      <c r="M26" s="10">
        <v>4.5</v>
      </c>
      <c r="N26" s="10" t="s">
        <v>563</v>
      </c>
      <c r="O26" s="190" t="s">
        <v>648</v>
      </c>
      <c r="Q26" s="10">
        <v>3</v>
      </c>
      <c r="R26" s="17"/>
      <c r="S26" s="17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BO26" s="10">
        <v>1</v>
      </c>
      <c r="BR26" s="10">
        <v>1</v>
      </c>
      <c r="CA26" s="10">
        <v>3</v>
      </c>
      <c r="CB26" s="10">
        <v>2</v>
      </c>
      <c r="CZ26" s="10" t="s">
        <v>566</v>
      </c>
      <c r="DE26" s="10">
        <v>2</v>
      </c>
      <c r="EZ26" s="146"/>
      <c r="FA26" s="146"/>
      <c r="FB26" s="146"/>
      <c r="FC26" s="146"/>
      <c r="FD26" s="146"/>
    </row>
    <row r="27" spans="1:160" ht="12.75">
      <c r="A27" s="88"/>
      <c r="B27" s="96">
        <f>COUNT(R27:EY27,FE27:FM27)</f>
        <v>3</v>
      </c>
      <c r="C27" s="96">
        <f>IF(COUNT(R27:EY27,FE27:FM27)&gt;0,COUNT(R27:EY27,FE27:FM27),"")</f>
        <v>3</v>
      </c>
      <c r="D27" s="96">
        <f>IF(COUNT(T27:BJ27,BL27:BT27,BV27:CB27,CD27:EY27,FE27:FM27)&gt;0,COUNT(T27:BJ27,BL27:BT27,BV27:CB27,CD27:EY27,FE27:FM27),"")</f>
        <v>3</v>
      </c>
      <c r="E27" s="96">
        <f>IF(H27=1,COUNT(R27:EY27,FE27:FM27),"")</f>
        <v>3</v>
      </c>
      <c r="F27" s="96">
        <f>IF(H27=1,COUNT(T27:BJ27,BL27:BT27,BV27:CB27,CD27:EY27,FE27:FM27),"")</f>
        <v>3</v>
      </c>
      <c r="G27" s="96">
        <f>IF($B27&gt;=1,$M27,"")</f>
        <v>5</v>
      </c>
      <c r="H27" s="149">
        <f>IF(AND(M27&gt;0,M27&lt;=STATS!$C$22),1,"")</f>
        <v>1</v>
      </c>
      <c r="J27" s="34">
        <v>26</v>
      </c>
      <c r="K27" s="165">
        <v>46.11733</v>
      </c>
      <c r="L27" s="165">
        <v>-91.21479</v>
      </c>
      <c r="M27" s="10">
        <v>5</v>
      </c>
      <c r="N27" s="10" t="s">
        <v>563</v>
      </c>
      <c r="O27" s="190" t="s">
        <v>648</v>
      </c>
      <c r="Q27" s="10">
        <v>2</v>
      </c>
      <c r="R27" s="17"/>
      <c r="S27" s="17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BW27" s="10">
        <v>2</v>
      </c>
      <c r="CW27" s="10">
        <v>1</v>
      </c>
      <c r="DE27" s="10">
        <v>2</v>
      </c>
      <c r="EZ27" s="146"/>
      <c r="FA27" s="146"/>
      <c r="FB27" s="146"/>
      <c r="FC27" s="146"/>
      <c r="FD27" s="146"/>
    </row>
    <row r="28" spans="1:160" ht="12.75">
      <c r="A28" s="89"/>
      <c r="B28" s="96">
        <f>COUNT(R28:EY28,FE28:FM28)</f>
        <v>6</v>
      </c>
      <c r="C28" s="96">
        <f>IF(COUNT(R28:EY28,FE28:FM28)&gt;0,COUNT(R28:EY28,FE28:FM28),"")</f>
        <v>6</v>
      </c>
      <c r="D28" s="96">
        <f>IF(COUNT(T28:BJ28,BL28:BT28,BV28:CB28,CD28:EY28,FE28:FM28)&gt;0,COUNT(T28:BJ28,BL28:BT28,BV28:CB28,CD28:EY28,FE28:FM28),"")</f>
        <v>6</v>
      </c>
      <c r="E28" s="96">
        <f>IF(H28=1,COUNT(R28:EY28,FE28:FM28),"")</f>
        <v>6</v>
      </c>
      <c r="F28" s="96">
        <f>IF(H28=1,COUNT(T28:BJ28,BL28:BT28,BV28:CB28,CD28:EY28,FE28:FM28),"")</f>
        <v>6</v>
      </c>
      <c r="G28" s="96">
        <f>IF($B28&gt;=1,$M28,"")</f>
        <v>4</v>
      </c>
      <c r="H28" s="149">
        <f>IF(AND(M28&gt;0,M28&lt;=STATS!$C$22),1,"")</f>
        <v>1</v>
      </c>
      <c r="J28" s="34">
        <v>27</v>
      </c>
      <c r="K28" s="165">
        <v>46.11734</v>
      </c>
      <c r="L28" s="165">
        <v>-91.21432</v>
      </c>
      <c r="M28" s="10">
        <v>4</v>
      </c>
      <c r="N28" s="10" t="s">
        <v>565</v>
      </c>
      <c r="O28" s="190" t="s">
        <v>648</v>
      </c>
      <c r="Q28" s="10">
        <v>2</v>
      </c>
      <c r="R28" s="17"/>
      <c r="S28" s="17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>
        <v>1</v>
      </c>
      <c r="AF28" s="36"/>
      <c r="AG28" s="36">
        <v>2</v>
      </c>
      <c r="AH28" s="36"/>
      <c r="BO28" s="10">
        <v>1</v>
      </c>
      <c r="BR28" s="10">
        <v>1</v>
      </c>
      <c r="CI28" s="10" t="s">
        <v>566</v>
      </c>
      <c r="CY28" s="10">
        <v>1</v>
      </c>
      <c r="DE28" s="10">
        <v>1</v>
      </c>
      <c r="EZ28" s="146"/>
      <c r="FA28" s="146"/>
      <c r="FB28" s="146"/>
      <c r="FC28" s="146"/>
      <c r="FD28" s="146"/>
    </row>
    <row r="29" spans="1:160" ht="12.75">
      <c r="A29" s="89"/>
      <c r="B29" s="96">
        <f>COUNT(R29:EY29,FE29:FM29)</f>
        <v>1</v>
      </c>
      <c r="C29" s="96">
        <f>IF(COUNT(R29:EY29,FE29:FM29)&gt;0,COUNT(R29:EY29,FE29:FM29),"")</f>
        <v>1</v>
      </c>
      <c r="D29" s="96">
        <f>IF(COUNT(T29:BJ29,BL29:BT29,BV29:CB29,CD29:EY29,FE29:FM29)&gt;0,COUNT(T29:BJ29,BL29:BT29,BV29:CB29,CD29:EY29,FE29:FM29),"")</f>
        <v>1</v>
      </c>
      <c r="E29" s="96">
        <f>IF(H29=1,COUNT(R29:EY29,FE29:FM29),"")</f>
        <v>1</v>
      </c>
      <c r="F29" s="96">
        <f>IF(H29=1,COUNT(T29:BJ29,BL29:BT29,BV29:CB29,CD29:EY29,FE29:FM29),"")</f>
        <v>1</v>
      </c>
      <c r="G29" s="96">
        <f>IF($B29&gt;=1,$M29,"")</f>
        <v>5</v>
      </c>
      <c r="H29" s="149">
        <f>IF(AND(M29&gt;0,M29&lt;=STATS!$C$22),1,"")</f>
        <v>1</v>
      </c>
      <c r="J29" s="34">
        <v>28</v>
      </c>
      <c r="K29" s="165">
        <v>46.11734</v>
      </c>
      <c r="L29" s="165">
        <v>-91.21386</v>
      </c>
      <c r="M29" s="10">
        <v>5</v>
      </c>
      <c r="N29" s="10" t="s">
        <v>563</v>
      </c>
      <c r="O29" s="190" t="s">
        <v>648</v>
      </c>
      <c r="Q29" s="10">
        <v>1</v>
      </c>
      <c r="R29" s="17"/>
      <c r="S29" s="17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BO29" s="10">
        <v>1</v>
      </c>
      <c r="EZ29" s="146"/>
      <c r="FA29" s="146"/>
      <c r="FB29" s="146"/>
      <c r="FC29" s="146"/>
      <c r="FD29" s="146"/>
    </row>
    <row r="30" spans="1:160" ht="12.75">
      <c r="A30" s="89"/>
      <c r="B30" s="96">
        <f>COUNT(R30:EY30,FE30:FM30)</f>
        <v>5</v>
      </c>
      <c r="C30" s="96">
        <f>IF(COUNT(R30:EY30,FE30:FM30)&gt;0,COUNT(R30:EY30,FE30:FM30),"")</f>
        <v>5</v>
      </c>
      <c r="D30" s="96">
        <f>IF(COUNT(T30:BJ30,BL30:BT30,BV30:CB30,CD30:EY30,FE30:FM30)&gt;0,COUNT(T30:BJ30,BL30:BT30,BV30:CB30,CD30:EY30,FE30:FM30),"")</f>
        <v>5</v>
      </c>
      <c r="E30" s="96">
        <f>IF(H30=1,COUNT(R30:EY30,FE30:FM30),"")</f>
        <v>5</v>
      </c>
      <c r="F30" s="96">
        <f>IF(H30=1,COUNT(T30:BJ30,BL30:BT30,BV30:CB30,CD30:EY30,FE30:FM30),"")</f>
        <v>5</v>
      </c>
      <c r="G30" s="96">
        <f>IF($B30&gt;=1,$M30,"")</f>
        <v>4</v>
      </c>
      <c r="H30" s="149">
        <f>IF(AND(M30&gt;0,M30&lt;=STATS!$C$22),1,"")</f>
        <v>1</v>
      </c>
      <c r="J30" s="34">
        <v>29</v>
      </c>
      <c r="K30" s="165">
        <v>46.11735</v>
      </c>
      <c r="L30" s="165">
        <v>-91.21339</v>
      </c>
      <c r="M30" s="10">
        <v>4</v>
      </c>
      <c r="N30" s="10" t="s">
        <v>563</v>
      </c>
      <c r="O30" s="190" t="s">
        <v>648</v>
      </c>
      <c r="Q30" s="10">
        <v>2</v>
      </c>
      <c r="R30" s="17"/>
      <c r="S30" s="17"/>
      <c r="T30" s="36"/>
      <c r="U30" s="36"/>
      <c r="V30" s="36"/>
      <c r="W30" s="36"/>
      <c r="X30" s="36">
        <v>1</v>
      </c>
      <c r="Y30" s="36"/>
      <c r="Z30" s="36"/>
      <c r="AA30" s="36"/>
      <c r="AB30" s="36"/>
      <c r="AC30" s="36"/>
      <c r="AD30" s="36"/>
      <c r="AE30" s="36"/>
      <c r="AF30" s="36"/>
      <c r="AG30" s="36">
        <v>1</v>
      </c>
      <c r="AH30" s="36"/>
      <c r="BR30" s="10">
        <v>2</v>
      </c>
      <c r="CI30" s="10" t="s">
        <v>566</v>
      </c>
      <c r="CY30" s="10">
        <v>2</v>
      </c>
      <c r="EM30" s="10">
        <v>1</v>
      </c>
      <c r="EZ30" s="146"/>
      <c r="FA30" s="146"/>
      <c r="FB30" s="146">
        <v>1</v>
      </c>
      <c r="FC30" s="146"/>
      <c r="FD30" s="146"/>
    </row>
    <row r="31" spans="1:160" ht="12.75">
      <c r="A31" s="88"/>
      <c r="B31" s="96">
        <f>COUNT(R31:EY31,FE31:FM31)</f>
        <v>7</v>
      </c>
      <c r="C31" s="96">
        <f>IF(COUNT(R31:EY31,FE31:FM31)&gt;0,COUNT(R31:EY31,FE31:FM31),"")</f>
        <v>7</v>
      </c>
      <c r="D31" s="96">
        <f>IF(COUNT(T31:BJ31,BL31:BT31,BV31:CB31,CD31:EY31,FE31:FM31)&gt;0,COUNT(T31:BJ31,BL31:BT31,BV31:CB31,CD31:EY31,FE31:FM31),"")</f>
        <v>7</v>
      </c>
      <c r="E31" s="96">
        <f>IF(H31=1,COUNT(R31:EY31,FE31:FM31),"")</f>
        <v>7</v>
      </c>
      <c r="F31" s="96">
        <f>IF(H31=1,COUNT(T31:BJ31,BL31:BT31,BV31:CB31,CD31:EY31,FE31:FM31),"")</f>
        <v>7</v>
      </c>
      <c r="G31" s="96">
        <f>IF($B31&gt;=1,$M31,"")</f>
        <v>3</v>
      </c>
      <c r="H31" s="149">
        <f>IF(AND(M31&gt;0,M31&lt;=STATS!$C$22),1,"")</f>
        <v>1</v>
      </c>
      <c r="J31" s="34">
        <v>30</v>
      </c>
      <c r="K31" s="165">
        <v>46.11735</v>
      </c>
      <c r="L31" s="165">
        <v>-91.21293</v>
      </c>
      <c r="M31" s="10">
        <v>3</v>
      </c>
      <c r="N31" s="10" t="s">
        <v>563</v>
      </c>
      <c r="O31" s="190" t="s">
        <v>648</v>
      </c>
      <c r="Q31" s="10">
        <v>3</v>
      </c>
      <c r="R31" s="17"/>
      <c r="S31" s="17"/>
      <c r="T31" s="36"/>
      <c r="U31" s="36"/>
      <c r="V31" s="36"/>
      <c r="W31" s="36"/>
      <c r="X31" s="36">
        <v>2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BO31" s="10">
        <v>1</v>
      </c>
      <c r="BQ31" s="10" t="s">
        <v>566</v>
      </c>
      <c r="CB31" s="10">
        <v>2</v>
      </c>
      <c r="CG31" s="10">
        <v>1</v>
      </c>
      <c r="CS31" s="10">
        <v>1</v>
      </c>
      <c r="DT31" s="10" t="s">
        <v>566</v>
      </c>
      <c r="DY31" s="10">
        <v>1</v>
      </c>
      <c r="EM31" s="10">
        <v>2</v>
      </c>
      <c r="EZ31" s="146"/>
      <c r="FA31" s="146"/>
      <c r="FB31" s="146"/>
      <c r="FC31" s="146"/>
      <c r="FD31" s="146"/>
    </row>
    <row r="32" spans="1:160" ht="12.75">
      <c r="A32" s="89"/>
      <c r="B32" s="96">
        <f>COUNT(R32:EY32,FE32:FM32)</f>
        <v>11</v>
      </c>
      <c r="C32" s="96">
        <f>IF(COUNT(R32:EY32,FE32:FM32)&gt;0,COUNT(R32:EY32,FE32:FM32),"")</f>
        <v>11</v>
      </c>
      <c r="D32" s="96">
        <f>IF(COUNT(T32:BJ32,BL32:BT32,BV32:CB32,CD32:EY32,FE32:FM32)&gt;0,COUNT(T32:BJ32,BL32:BT32,BV32:CB32,CD32:EY32,FE32:FM32),"")</f>
        <v>11</v>
      </c>
      <c r="E32" s="96">
        <f>IF(H32=1,COUNT(R32:EY32,FE32:FM32),"")</f>
        <v>11</v>
      </c>
      <c r="F32" s="96">
        <f>IF(H32=1,COUNT(T32:BJ32,BL32:BT32,BV32:CB32,CD32:EY32,FE32:FM32),"")</f>
        <v>11</v>
      </c>
      <c r="G32" s="96">
        <f>IF($B32&gt;=1,$M32,"")</f>
        <v>2.5</v>
      </c>
      <c r="H32" s="149">
        <f>IF(AND(M32&gt;0,M32&lt;=STATS!$C$22),1,"")</f>
        <v>1</v>
      </c>
      <c r="J32" s="34">
        <v>31</v>
      </c>
      <c r="K32" s="165">
        <v>46.11736</v>
      </c>
      <c r="L32" s="165">
        <v>-91.21246</v>
      </c>
      <c r="M32" s="10">
        <v>2.5</v>
      </c>
      <c r="N32" s="10" t="s">
        <v>563</v>
      </c>
      <c r="O32" s="190" t="s">
        <v>648</v>
      </c>
      <c r="Q32" s="10">
        <v>3</v>
      </c>
      <c r="R32" s="17"/>
      <c r="S32" s="17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>
        <v>1</v>
      </c>
      <c r="AF32" s="36"/>
      <c r="AG32" s="36"/>
      <c r="AH32" s="36"/>
      <c r="AQ32" s="10" t="s">
        <v>566</v>
      </c>
      <c r="AW32" s="10">
        <v>1</v>
      </c>
      <c r="BO32" s="10">
        <v>1</v>
      </c>
      <c r="BQ32" s="10">
        <v>1</v>
      </c>
      <c r="BR32" s="10">
        <v>1</v>
      </c>
      <c r="CA32" s="10">
        <v>3</v>
      </c>
      <c r="CB32" s="10">
        <v>2</v>
      </c>
      <c r="CY32" s="10">
        <v>1</v>
      </c>
      <c r="DE32" s="10">
        <v>1</v>
      </c>
      <c r="DY32" s="10">
        <v>1</v>
      </c>
      <c r="EM32" s="10">
        <v>1</v>
      </c>
      <c r="ES32" s="10" t="s">
        <v>566</v>
      </c>
      <c r="EZ32" s="146"/>
      <c r="FA32" s="146"/>
      <c r="FB32" s="146"/>
      <c r="FC32" s="146"/>
      <c r="FD32" s="146"/>
    </row>
    <row r="33" spans="1:160" ht="12.75">
      <c r="A33" s="89"/>
      <c r="B33" s="96">
        <f>COUNT(R33:EY33,FE33:FM33)</f>
        <v>0</v>
      </c>
      <c r="C33" s="96">
        <f>IF(COUNT(R33:EY33,FE33:FM33)&gt;0,COUNT(R33:EY33,FE33:FM33),"")</f>
      </c>
      <c r="D33" s="96">
        <f>IF(COUNT(T33:BJ33,BL33:BT33,BV33:CB33,CD33:EY33,FE33:FM33)&gt;0,COUNT(T33:BJ33,BL33:BT33,BV33:CB33,CD33:EY33,FE33:FM33),"")</f>
      </c>
      <c r="E33" s="96">
        <f>IF(H33=1,COUNT(R33:EY33,FE33:FM33),"")</f>
        <v>0</v>
      </c>
      <c r="F33" s="96">
        <f>IF(H33=1,COUNT(T33:BJ33,BL33:BT33,BV33:CB33,CD33:EY33,FE33:FM33),"")</f>
        <v>0</v>
      </c>
      <c r="G33" s="96">
        <f>IF($B33&gt;=1,$M33,"")</f>
      </c>
      <c r="H33" s="149">
        <f>IF(AND(M33&gt;0,M33&lt;=STATS!$C$22),1,"")</f>
        <v>1</v>
      </c>
      <c r="J33" s="34">
        <v>32</v>
      </c>
      <c r="K33" s="165">
        <v>46.11763</v>
      </c>
      <c r="L33" s="165">
        <v>-91.21712</v>
      </c>
      <c r="M33" s="10">
        <v>10.5</v>
      </c>
      <c r="N33" s="10" t="s">
        <v>563</v>
      </c>
      <c r="O33" s="190" t="s">
        <v>648</v>
      </c>
      <c r="R33" s="17"/>
      <c r="S33" s="17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EZ33" s="146"/>
      <c r="FA33" s="146"/>
      <c r="FB33" s="146"/>
      <c r="FC33" s="146"/>
      <c r="FD33" s="146"/>
    </row>
    <row r="34" spans="1:160" ht="12.75">
      <c r="A34" s="89"/>
      <c r="B34" s="96">
        <f>COUNT(R34:EY34,FE34:FM34)</f>
        <v>0</v>
      </c>
      <c r="C34" s="96">
        <f>IF(COUNT(R34:EY34,FE34:FM34)&gt;0,COUNT(R34:EY34,FE34:FM34),"")</f>
      </c>
      <c r="D34" s="96">
        <f>IF(COUNT(T34:BJ34,BL34:BT34,BV34:CB34,CD34:EY34,FE34:FM34)&gt;0,COUNT(T34:BJ34,BL34:BT34,BV34:CB34,CD34:EY34,FE34:FM34),"")</f>
      </c>
      <c r="E34" s="96">
        <f>IF(H34=1,COUNT(R34:EY34,FE34:FM34),"")</f>
      </c>
      <c r="F34" s="96">
        <f>IF(H34=1,COUNT(T34:BJ34,BL34:BT34,BV34:CB34,CD34:EY34,FE34:FM34),"")</f>
      </c>
      <c r="G34" s="96">
        <f>IF($B34&gt;=1,$M34,"")</f>
      </c>
      <c r="H34" s="149">
        <f>IF(AND(M34&gt;0,M34&lt;=STATS!$C$22),1,"")</f>
      </c>
      <c r="J34" s="34">
        <v>33</v>
      </c>
      <c r="K34" s="165">
        <v>46.11764</v>
      </c>
      <c r="L34" s="165">
        <v>-91.21666</v>
      </c>
      <c r="M34" s="10">
        <v>15.5</v>
      </c>
      <c r="R34" s="17"/>
      <c r="S34" s="17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EZ34" s="146"/>
      <c r="FA34" s="146"/>
      <c r="FB34" s="146"/>
      <c r="FC34" s="146"/>
      <c r="FD34" s="146"/>
    </row>
    <row r="35" spans="2:160" ht="12.75">
      <c r="B35" s="96">
        <f>COUNT(R35:EY35,FE35:FM35)</f>
        <v>0</v>
      </c>
      <c r="C35" s="96">
        <f>IF(COUNT(R35:EY35,FE35:FM35)&gt;0,COUNT(R35:EY35,FE35:FM35),"")</f>
      </c>
      <c r="D35" s="96">
        <f>IF(COUNT(T35:BJ35,BL35:BT35,BV35:CB35,CD35:EY35,FE35:FM35)&gt;0,COUNT(T35:BJ35,BL35:BT35,BV35:CB35,CD35:EY35,FE35:FM35),"")</f>
      </c>
      <c r="E35" s="96">
        <f>IF(H35=1,COUNT(R35:EY35,FE35:FM35),"")</f>
      </c>
      <c r="F35" s="96">
        <f>IF(H35=1,COUNT(T35:BJ35,BL35:BT35,BV35:CB35,CD35:EY35,FE35:FM35),"")</f>
      </c>
      <c r="G35" s="96">
        <f>IF($B35&gt;=1,$M35,"")</f>
      </c>
      <c r="H35" s="149">
        <f>IF(AND(M35&gt;0,M35&lt;=STATS!$C$22),1,"")</f>
      </c>
      <c r="J35" s="34">
        <v>34</v>
      </c>
      <c r="K35" s="165">
        <v>46.11764</v>
      </c>
      <c r="L35" s="165">
        <v>-91.21619</v>
      </c>
      <c r="M35" s="10">
        <v>17.5</v>
      </c>
      <c r="R35" s="17"/>
      <c r="S35" s="17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EZ35" s="146"/>
      <c r="FA35" s="146"/>
      <c r="FB35" s="146"/>
      <c r="FC35" s="146"/>
      <c r="FD35" s="146"/>
    </row>
    <row r="36" spans="2:160" ht="12.75">
      <c r="B36" s="96">
        <f>COUNT(R36:EY36,FE36:FM36)</f>
        <v>0</v>
      </c>
      <c r="C36" s="96">
        <f>IF(COUNT(R36:EY36,FE36:FM36)&gt;0,COUNT(R36:EY36,FE36:FM36),"")</f>
      </c>
      <c r="D36" s="96">
        <f>IF(COUNT(T36:BJ36,BL36:BT36,BV36:CB36,CD36:EY36,FE36:FM36)&gt;0,COUNT(T36:BJ36,BL36:BT36,BV36:CB36,CD36:EY36,FE36:FM36),"")</f>
      </c>
      <c r="E36" s="96">
        <f>IF(H36=1,COUNT(R36:EY36,FE36:FM36),"")</f>
      </c>
      <c r="F36" s="96">
        <f>IF(H36=1,COUNT(T36:BJ36,BL36:BT36,BV36:CB36,CD36:EY36,FE36:FM36),"")</f>
      </c>
      <c r="G36" s="96">
        <f>IF($B36&gt;=1,$M36,"")</f>
      </c>
      <c r="H36" s="149">
        <f>IF(AND(M36&gt;0,M36&lt;=STATS!$C$22),1,"")</f>
      </c>
      <c r="J36" s="34">
        <v>35</v>
      </c>
      <c r="K36" s="165">
        <v>46.11765</v>
      </c>
      <c r="L36" s="165">
        <v>-91.21573</v>
      </c>
      <c r="M36" s="10">
        <v>16</v>
      </c>
      <c r="R36" s="17"/>
      <c r="S36" s="17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EZ36" s="146"/>
      <c r="FA36" s="146"/>
      <c r="FB36" s="146"/>
      <c r="FC36" s="146"/>
      <c r="FD36" s="146"/>
    </row>
    <row r="37" spans="2:160" ht="12.75">
      <c r="B37" s="96">
        <f>COUNT(R37:EY37,FE37:FM37)</f>
        <v>0</v>
      </c>
      <c r="C37" s="96">
        <f>IF(COUNT(R37:EY37,FE37:FM37)&gt;0,COUNT(R37:EY37,FE37:FM37),"")</f>
      </c>
      <c r="D37" s="96">
        <f>IF(COUNT(T37:BJ37,BL37:BT37,BV37:CB37,CD37:EY37,FE37:FM37)&gt;0,COUNT(T37:BJ37,BL37:BT37,BV37:CB37,CD37:EY37,FE37:FM37),"")</f>
      </c>
      <c r="E37" s="96">
        <f>IF(H37=1,COUNT(R37:EY37,FE37:FM37),"")</f>
        <v>0</v>
      </c>
      <c r="F37" s="96">
        <f>IF(H37=1,COUNT(T37:BJ37,BL37:BT37,BV37:CB37,CD37:EY37,FE37:FM37),"")</f>
        <v>0</v>
      </c>
      <c r="G37" s="96">
        <f>IF($B37&gt;=1,$M37,"")</f>
      </c>
      <c r="H37" s="149">
        <f>IF(AND(M37&gt;0,M37&lt;=STATS!$C$22),1,"")</f>
        <v>1</v>
      </c>
      <c r="J37" s="34">
        <v>36</v>
      </c>
      <c r="K37" s="165">
        <v>46.11765</v>
      </c>
      <c r="L37" s="165">
        <v>-91.21526</v>
      </c>
      <c r="M37" s="10">
        <v>8.5</v>
      </c>
      <c r="N37" s="10" t="s">
        <v>563</v>
      </c>
      <c r="O37" s="190" t="s">
        <v>648</v>
      </c>
      <c r="R37" s="17"/>
      <c r="S37" s="17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EZ37" s="146"/>
      <c r="FA37" s="146"/>
      <c r="FB37" s="146"/>
      <c r="FC37" s="146"/>
      <c r="FD37" s="146"/>
    </row>
    <row r="38" spans="2:160" ht="12.75">
      <c r="B38" s="96">
        <f>COUNT(R38:EY38,FE38:FM38)</f>
        <v>4</v>
      </c>
      <c r="C38" s="96">
        <f>IF(COUNT(R38:EY38,FE38:FM38)&gt;0,COUNT(R38:EY38,FE38:FM38),"")</f>
        <v>4</v>
      </c>
      <c r="D38" s="96">
        <f>IF(COUNT(T38:BJ38,BL38:BT38,BV38:CB38,CD38:EY38,FE38:FM38)&gt;0,COUNT(T38:BJ38,BL38:BT38,BV38:CB38,CD38:EY38,FE38:FM38),"")</f>
        <v>4</v>
      </c>
      <c r="E38" s="96">
        <f>IF(H38=1,COUNT(R38:EY38,FE38:FM38),"")</f>
        <v>4</v>
      </c>
      <c r="F38" s="96">
        <f>IF(H38=1,COUNT(T38:BJ38,BL38:BT38,BV38:CB38,CD38:EY38,FE38:FM38),"")</f>
        <v>4</v>
      </c>
      <c r="G38" s="96">
        <f>IF($B38&gt;=1,$M38,"")</f>
        <v>5</v>
      </c>
      <c r="H38" s="149">
        <f>IF(AND(M38&gt;0,M38&lt;=STATS!$C$22),1,"")</f>
        <v>1</v>
      </c>
      <c r="J38" s="34">
        <v>37</v>
      </c>
      <c r="K38" s="165">
        <v>46.11766</v>
      </c>
      <c r="L38" s="165">
        <v>-91.2148</v>
      </c>
      <c r="M38" s="10">
        <v>5</v>
      </c>
      <c r="N38" s="10" t="s">
        <v>563</v>
      </c>
      <c r="O38" s="190" t="s">
        <v>648</v>
      </c>
      <c r="Q38" s="10">
        <v>3</v>
      </c>
      <c r="R38" s="17"/>
      <c r="S38" s="17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>
        <v>1</v>
      </c>
      <c r="AF38" s="36"/>
      <c r="AG38" s="36"/>
      <c r="AH38" s="36"/>
      <c r="BO38" s="10" t="s">
        <v>566</v>
      </c>
      <c r="BR38" s="10">
        <v>1</v>
      </c>
      <c r="CB38" s="10">
        <v>2</v>
      </c>
      <c r="DE38" s="10">
        <v>3</v>
      </c>
      <c r="EZ38" s="146"/>
      <c r="FA38" s="146"/>
      <c r="FB38" s="146"/>
      <c r="FC38" s="146"/>
      <c r="FD38" s="146"/>
    </row>
    <row r="39" spans="2:160" ht="12.75">
      <c r="B39" s="96">
        <f>COUNT(R39:EY39,FE39:FM39)</f>
        <v>2</v>
      </c>
      <c r="C39" s="96">
        <f>IF(COUNT(R39:EY39,FE39:FM39)&gt;0,COUNT(R39:EY39,FE39:FM39),"")</f>
        <v>2</v>
      </c>
      <c r="D39" s="96">
        <f>IF(COUNT(T39:BJ39,BL39:BT39,BV39:CB39,CD39:EY39,FE39:FM39)&gt;0,COUNT(T39:BJ39,BL39:BT39,BV39:CB39,CD39:EY39,FE39:FM39),"")</f>
        <v>2</v>
      </c>
      <c r="E39" s="96">
        <f>IF(H39=1,COUNT(R39:EY39,FE39:FM39),"")</f>
        <v>2</v>
      </c>
      <c r="F39" s="96">
        <f>IF(H39=1,COUNT(T39:BJ39,BL39:BT39,BV39:CB39,CD39:EY39,FE39:FM39),"")</f>
        <v>2</v>
      </c>
      <c r="G39" s="96">
        <f>IF($B39&gt;=1,$M39,"")</f>
        <v>5</v>
      </c>
      <c r="H39" s="149">
        <f>IF(AND(M39&gt;0,M39&lt;=STATS!$C$22),1,"")</f>
        <v>1</v>
      </c>
      <c r="J39" s="34">
        <v>38</v>
      </c>
      <c r="K39" s="165">
        <v>46.11766</v>
      </c>
      <c r="L39" s="165">
        <v>-91.21433</v>
      </c>
      <c r="M39" s="10">
        <v>5</v>
      </c>
      <c r="N39" s="10" t="s">
        <v>563</v>
      </c>
      <c r="O39" s="190" t="s">
        <v>648</v>
      </c>
      <c r="Q39" s="10">
        <v>3</v>
      </c>
      <c r="R39" s="17"/>
      <c r="S39" s="17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 t="s">
        <v>566</v>
      </c>
      <c r="AF39" s="36"/>
      <c r="AG39" s="36"/>
      <c r="AH39" s="36"/>
      <c r="BW39" s="10">
        <v>3</v>
      </c>
      <c r="CA39" s="10" t="s">
        <v>566</v>
      </c>
      <c r="DE39" s="10">
        <v>2</v>
      </c>
      <c r="EZ39" s="146"/>
      <c r="FA39" s="146"/>
      <c r="FB39" s="146"/>
      <c r="FC39" s="146"/>
      <c r="FD39" s="146"/>
    </row>
    <row r="40" spans="2:160" ht="12.75">
      <c r="B40" s="96">
        <f>COUNT(R40:EY40,FE40:FM40)</f>
        <v>9</v>
      </c>
      <c r="C40" s="96">
        <f>IF(COUNT(R40:EY40,FE40:FM40)&gt;0,COUNT(R40:EY40,FE40:FM40),"")</f>
        <v>9</v>
      </c>
      <c r="D40" s="96">
        <f>IF(COUNT(T40:BJ40,BL40:BT40,BV40:CB40,CD40:EY40,FE40:FM40)&gt;0,COUNT(T40:BJ40,BL40:BT40,BV40:CB40,CD40:EY40,FE40:FM40),"")</f>
        <v>9</v>
      </c>
      <c r="E40" s="96">
        <f>IF(H40=1,COUNT(R40:EY40,FE40:FM40),"")</f>
        <v>9</v>
      </c>
      <c r="F40" s="96">
        <f>IF(H40=1,COUNT(T40:BJ40,BL40:BT40,BV40:CB40,CD40:EY40,FE40:FM40),"")</f>
        <v>9</v>
      </c>
      <c r="G40" s="96">
        <f>IF($B40&gt;=1,$M40,"")</f>
        <v>4.5</v>
      </c>
      <c r="H40" s="149">
        <f>IF(AND(M40&gt;0,M40&lt;=STATS!$C$22),1,"")</f>
        <v>1</v>
      </c>
      <c r="J40" s="34">
        <v>39</v>
      </c>
      <c r="K40" s="165">
        <v>46.11767</v>
      </c>
      <c r="L40" s="165">
        <v>-91.21386</v>
      </c>
      <c r="M40" s="10">
        <v>4.5</v>
      </c>
      <c r="N40" s="10" t="s">
        <v>563</v>
      </c>
      <c r="O40" s="190" t="s">
        <v>648</v>
      </c>
      <c r="Q40" s="10">
        <v>3</v>
      </c>
      <c r="R40" s="17"/>
      <c r="S40" s="17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>
        <v>1</v>
      </c>
      <c r="AF40" s="36"/>
      <c r="AG40" s="36"/>
      <c r="AH40" s="36"/>
      <c r="AQ40" s="10">
        <v>1</v>
      </c>
      <c r="BO40" s="10">
        <v>2</v>
      </c>
      <c r="BR40" s="10">
        <v>1</v>
      </c>
      <c r="CA40" s="10">
        <v>2</v>
      </c>
      <c r="CB40" s="10">
        <v>2</v>
      </c>
      <c r="CS40" s="10" t="s">
        <v>566</v>
      </c>
      <c r="DE40" s="10">
        <v>1</v>
      </c>
      <c r="EM40" s="10">
        <v>1</v>
      </c>
      <c r="ES40" s="10">
        <v>1</v>
      </c>
      <c r="EZ40" s="146"/>
      <c r="FA40" s="146"/>
      <c r="FB40" s="146"/>
      <c r="FC40" s="146"/>
      <c r="FD40" s="146"/>
    </row>
    <row r="41" spans="2:160" ht="12.75">
      <c r="B41" s="96">
        <f>COUNT(R41:EY41,FE41:FM41)</f>
        <v>4</v>
      </c>
      <c r="C41" s="96">
        <f>IF(COUNT(R41:EY41,FE41:FM41)&gt;0,COUNT(R41:EY41,FE41:FM41),"")</f>
        <v>4</v>
      </c>
      <c r="D41" s="96">
        <f>IF(COUNT(T41:BJ41,BL41:BT41,BV41:CB41,CD41:EY41,FE41:FM41)&gt;0,COUNT(T41:BJ41,BL41:BT41,BV41:CB41,CD41:EY41,FE41:FM41),"")</f>
        <v>4</v>
      </c>
      <c r="E41" s="96">
        <f>IF(H41=1,COUNT(R41:EY41,FE41:FM41),"")</f>
        <v>4</v>
      </c>
      <c r="F41" s="96">
        <f>IF(H41=1,COUNT(T41:BJ41,BL41:BT41,BV41:CB41,CD41:EY41,FE41:FM41),"")</f>
        <v>4</v>
      </c>
      <c r="G41" s="96">
        <f>IF($B41&gt;=1,$M41,"")</f>
        <v>4.5</v>
      </c>
      <c r="H41" s="149">
        <f>IF(AND(M41&gt;0,M41&lt;=STATS!$C$22),1,"")</f>
        <v>1</v>
      </c>
      <c r="J41" s="34">
        <v>40</v>
      </c>
      <c r="K41" s="165">
        <v>46.11767</v>
      </c>
      <c r="L41" s="165">
        <v>-91.2134</v>
      </c>
      <c r="M41" s="10">
        <v>4.5</v>
      </c>
      <c r="N41" s="10" t="s">
        <v>563</v>
      </c>
      <c r="O41" s="190" t="s">
        <v>648</v>
      </c>
      <c r="Q41" s="10">
        <v>1</v>
      </c>
      <c r="R41" s="17"/>
      <c r="S41" s="17"/>
      <c r="T41" s="36"/>
      <c r="U41" s="36"/>
      <c r="V41" s="36"/>
      <c r="W41" s="36"/>
      <c r="X41" s="36">
        <v>1</v>
      </c>
      <c r="Y41" s="36"/>
      <c r="Z41" s="36"/>
      <c r="AA41" s="36"/>
      <c r="AB41" s="36"/>
      <c r="AC41" s="36"/>
      <c r="AD41" s="36"/>
      <c r="AE41" s="36"/>
      <c r="AF41" s="36"/>
      <c r="AG41" s="36">
        <v>1</v>
      </c>
      <c r="AH41" s="36"/>
      <c r="BR41" s="10">
        <v>1</v>
      </c>
      <c r="CA41" s="10" t="s">
        <v>566</v>
      </c>
      <c r="CB41" s="10" t="s">
        <v>566</v>
      </c>
      <c r="CW41" s="10">
        <v>1</v>
      </c>
      <c r="EZ41" s="146"/>
      <c r="FA41" s="146"/>
      <c r="FB41" s="146"/>
      <c r="FC41" s="146"/>
      <c r="FD41" s="146"/>
    </row>
    <row r="42" spans="2:160" ht="12.75">
      <c r="B42" s="96">
        <f>COUNT(R42:EY42,FE42:FM42)</f>
        <v>7</v>
      </c>
      <c r="C42" s="96">
        <f>IF(COUNT(R42:EY42,FE42:FM42)&gt;0,COUNT(R42:EY42,FE42:FM42),"")</f>
        <v>7</v>
      </c>
      <c r="D42" s="96">
        <f>IF(COUNT(T42:BJ42,BL42:BT42,BV42:CB42,CD42:EY42,FE42:FM42)&gt;0,COUNT(T42:BJ42,BL42:BT42,BV42:CB42,CD42:EY42,FE42:FM42),"")</f>
        <v>7</v>
      </c>
      <c r="E42" s="96">
        <f>IF(H42=1,COUNT(R42:EY42,FE42:FM42),"")</f>
        <v>7</v>
      </c>
      <c r="F42" s="96">
        <f>IF(H42=1,COUNT(T42:BJ42,BL42:BT42,BV42:CB42,CD42:EY42,FE42:FM42),"")</f>
        <v>7</v>
      </c>
      <c r="G42" s="96">
        <f>IF($B42&gt;=1,$M42,"")</f>
        <v>4</v>
      </c>
      <c r="H42" s="149">
        <f>IF(AND(M42&gt;0,M42&lt;=STATS!$C$22),1,"")</f>
        <v>1</v>
      </c>
      <c r="J42" s="34">
        <v>41</v>
      </c>
      <c r="K42" s="165">
        <v>46.11768</v>
      </c>
      <c r="L42" s="165">
        <v>-91.21293</v>
      </c>
      <c r="M42" s="10">
        <v>4</v>
      </c>
      <c r="N42" s="10" t="s">
        <v>563</v>
      </c>
      <c r="O42" s="190" t="s">
        <v>648</v>
      </c>
      <c r="Q42" s="10">
        <v>3</v>
      </c>
      <c r="R42" s="17"/>
      <c r="S42" s="17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>
        <v>1</v>
      </c>
      <c r="AF42" s="36"/>
      <c r="AG42" s="36"/>
      <c r="AH42" s="36"/>
      <c r="BR42" s="10">
        <v>1</v>
      </c>
      <c r="CB42" s="10">
        <v>2</v>
      </c>
      <c r="CO42" s="10">
        <v>1</v>
      </c>
      <c r="CY42" s="10">
        <v>1</v>
      </c>
      <c r="DA42" s="10">
        <v>2</v>
      </c>
      <c r="DE42" s="10">
        <v>3</v>
      </c>
      <c r="EZ42" s="146"/>
      <c r="FA42" s="146"/>
      <c r="FB42" s="146"/>
      <c r="FC42" s="146"/>
      <c r="FD42" s="146"/>
    </row>
    <row r="43" spans="2:160" ht="12.75">
      <c r="B43" s="96">
        <f>COUNT(R43:EY43,FE43:FM43)</f>
        <v>6</v>
      </c>
      <c r="C43" s="96">
        <f>IF(COUNT(R43:EY43,FE43:FM43)&gt;0,COUNT(R43:EY43,FE43:FM43),"")</f>
        <v>6</v>
      </c>
      <c r="D43" s="96">
        <f>IF(COUNT(T43:BJ43,BL43:BT43,BV43:CB43,CD43:EY43,FE43:FM43)&gt;0,COUNT(T43:BJ43,BL43:BT43,BV43:CB43,CD43:EY43,FE43:FM43),"")</f>
        <v>6</v>
      </c>
      <c r="E43" s="96">
        <f>IF(H43=1,COUNT(R43:EY43,FE43:FM43),"")</f>
        <v>6</v>
      </c>
      <c r="F43" s="96">
        <f>IF(H43=1,COUNT(T43:BJ43,BL43:BT43,BV43:CB43,CD43:EY43,FE43:FM43),"")</f>
        <v>6</v>
      </c>
      <c r="G43" s="96">
        <f>IF($B43&gt;=1,$M43,"")</f>
        <v>3.5</v>
      </c>
      <c r="H43" s="149">
        <f>IF(AND(M43&gt;0,M43&lt;=STATS!$C$22),1,"")</f>
        <v>1</v>
      </c>
      <c r="J43" s="34">
        <v>42</v>
      </c>
      <c r="K43" s="165">
        <v>46.11768</v>
      </c>
      <c r="L43" s="165">
        <v>-91.21247</v>
      </c>
      <c r="M43" s="10">
        <v>3.5</v>
      </c>
      <c r="N43" s="10" t="s">
        <v>563</v>
      </c>
      <c r="O43" s="190" t="s">
        <v>648</v>
      </c>
      <c r="Q43" s="10">
        <v>3</v>
      </c>
      <c r="R43" s="17"/>
      <c r="S43" s="17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>
        <v>1</v>
      </c>
      <c r="AF43" s="36"/>
      <c r="AG43" s="36"/>
      <c r="AH43" s="36"/>
      <c r="BO43" s="10">
        <v>2</v>
      </c>
      <c r="BR43" s="10">
        <v>1</v>
      </c>
      <c r="CB43" s="10">
        <v>3</v>
      </c>
      <c r="DE43" s="10">
        <v>2</v>
      </c>
      <c r="ER43" s="10">
        <v>1</v>
      </c>
      <c r="EZ43" s="146"/>
      <c r="FA43" s="146"/>
      <c r="FB43" s="146"/>
      <c r="FC43" s="146"/>
      <c r="FD43" s="146"/>
    </row>
    <row r="44" spans="2:160" ht="12.75">
      <c r="B44" s="96">
        <f>COUNT(R44:EY44,FE44:FM44)</f>
        <v>3</v>
      </c>
      <c r="C44" s="96">
        <f>IF(COUNT(R44:EY44,FE44:FM44)&gt;0,COUNT(R44:EY44,FE44:FM44),"")</f>
        <v>3</v>
      </c>
      <c r="D44" s="96">
        <f>IF(COUNT(T44:BJ44,BL44:BT44,BV44:CB44,CD44:EY44,FE44:FM44)&gt;0,COUNT(T44:BJ44,BL44:BT44,BV44:CB44,CD44:EY44,FE44:FM44),"")</f>
        <v>3</v>
      </c>
      <c r="E44" s="96">
        <f>IF(H44=1,COUNT(R44:EY44,FE44:FM44),"")</f>
        <v>3</v>
      </c>
      <c r="F44" s="96">
        <f>IF(H44=1,COUNT(T44:BJ44,BL44:BT44,BV44:CB44,CD44:EY44,FE44:FM44),"")</f>
        <v>3</v>
      </c>
      <c r="G44" s="96">
        <f>IF($B44&gt;=1,$M44,"")</f>
        <v>4.5</v>
      </c>
      <c r="H44" s="149">
        <f>IF(AND(M44&gt;0,M44&lt;=STATS!$C$22),1,"")</f>
        <v>1</v>
      </c>
      <c r="J44" s="34">
        <v>43</v>
      </c>
      <c r="K44" s="165">
        <v>46.11769</v>
      </c>
      <c r="L44" s="165">
        <v>-91.212</v>
      </c>
      <c r="M44" s="10">
        <v>4.5</v>
      </c>
      <c r="N44" s="10" t="s">
        <v>563</v>
      </c>
      <c r="O44" s="190" t="s">
        <v>648</v>
      </c>
      <c r="Q44" s="10">
        <v>1</v>
      </c>
      <c r="R44" s="17"/>
      <c r="S44" s="17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>
        <v>1</v>
      </c>
      <c r="AH44" s="36"/>
      <c r="BR44" s="10">
        <v>1</v>
      </c>
      <c r="CB44" s="10" t="s">
        <v>566</v>
      </c>
      <c r="ER44" s="10">
        <v>1</v>
      </c>
      <c r="EZ44" s="146"/>
      <c r="FA44" s="146"/>
      <c r="FB44" s="146"/>
      <c r="FC44" s="146"/>
      <c r="FD44" s="146"/>
    </row>
    <row r="45" spans="2:160" ht="12.75">
      <c r="B45" s="96">
        <f>COUNT(R45:EY45,FE45:FM45)</f>
        <v>3</v>
      </c>
      <c r="C45" s="96">
        <f>IF(COUNT(R45:EY45,FE45:FM45)&gt;0,COUNT(R45:EY45,FE45:FM45),"")</f>
        <v>3</v>
      </c>
      <c r="D45" s="96">
        <f>IF(COUNT(T45:BJ45,BL45:BT45,BV45:CB45,CD45:EY45,FE45:FM45)&gt;0,COUNT(T45:BJ45,BL45:BT45,BV45:CB45,CD45:EY45,FE45:FM45),"")</f>
        <v>3</v>
      </c>
      <c r="E45" s="96">
        <f>IF(H45=1,COUNT(R45:EY45,FE45:FM45),"")</f>
        <v>3</v>
      </c>
      <c r="F45" s="96">
        <f>IF(H45=1,COUNT(T45:BJ45,BL45:BT45,BV45:CB45,CD45:EY45,FE45:FM45),"")</f>
        <v>3</v>
      </c>
      <c r="G45" s="96">
        <f>IF($B45&gt;=1,$M45,"")</f>
        <v>3</v>
      </c>
      <c r="H45" s="149">
        <f>IF(AND(M45&gt;0,M45&lt;=STATS!$C$22),1,"")</f>
        <v>1</v>
      </c>
      <c r="J45" s="34">
        <v>44</v>
      </c>
      <c r="K45" s="165">
        <v>46.11769</v>
      </c>
      <c r="L45" s="165">
        <v>-91.21154</v>
      </c>
      <c r="M45" s="10">
        <v>3</v>
      </c>
      <c r="N45" s="10" t="s">
        <v>563</v>
      </c>
      <c r="O45" s="190" t="s">
        <v>648</v>
      </c>
      <c r="Q45" s="10">
        <v>2</v>
      </c>
      <c r="R45" s="17"/>
      <c r="S45" s="17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>
        <v>1</v>
      </c>
      <c r="AF45" s="36"/>
      <c r="AG45" s="36"/>
      <c r="AH45" s="36"/>
      <c r="CA45" s="10">
        <v>2</v>
      </c>
      <c r="ER45" s="10">
        <v>1</v>
      </c>
      <c r="EZ45" s="146"/>
      <c r="FA45" s="146"/>
      <c r="FB45" s="146"/>
      <c r="FC45" s="146"/>
      <c r="FD45" s="146"/>
    </row>
    <row r="46" spans="2:160" ht="12.75">
      <c r="B46" s="96">
        <f>COUNT(R46:EY46,FE46:FM46)</f>
        <v>5</v>
      </c>
      <c r="C46" s="96">
        <f>IF(COUNT(R46:EY46,FE46:FM46)&gt;0,COUNT(R46:EY46,FE46:FM46),"")</f>
        <v>5</v>
      </c>
      <c r="D46" s="96">
        <f>IF(COUNT(T46:BJ46,BL46:BT46,BV46:CB46,CD46:EY46,FE46:FM46)&gt;0,COUNT(T46:BJ46,BL46:BT46,BV46:CB46,CD46:EY46,FE46:FM46),"")</f>
        <v>5</v>
      </c>
      <c r="E46" s="96">
        <f>IF(H46=1,COUNT(R46:EY46,FE46:FM46),"")</f>
        <v>5</v>
      </c>
      <c r="F46" s="96">
        <f>IF(H46=1,COUNT(T46:BJ46,BL46:BT46,BV46:CB46,CD46:EY46,FE46:FM46),"")</f>
        <v>5</v>
      </c>
      <c r="G46" s="96">
        <f>IF($B46&gt;=1,$M46,"")</f>
        <v>4.5</v>
      </c>
      <c r="H46" s="149">
        <f>IF(AND(M46&gt;0,M46&lt;=STATS!$C$22),1,"")</f>
        <v>1</v>
      </c>
      <c r="J46" s="34">
        <v>45</v>
      </c>
      <c r="K46" s="165">
        <v>46.11795</v>
      </c>
      <c r="L46" s="165">
        <v>-91.21806</v>
      </c>
      <c r="M46" s="10">
        <v>4.5</v>
      </c>
      <c r="N46" s="10" t="s">
        <v>563</v>
      </c>
      <c r="O46" s="190" t="s">
        <v>648</v>
      </c>
      <c r="Q46" s="10">
        <v>2</v>
      </c>
      <c r="R46" s="17"/>
      <c r="S46" s="17"/>
      <c r="T46" s="36"/>
      <c r="U46" s="36"/>
      <c r="V46" s="36" t="s">
        <v>566</v>
      </c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Q46" s="10">
        <v>1</v>
      </c>
      <c r="BO46" s="10" t="s">
        <v>566</v>
      </c>
      <c r="BR46" s="10">
        <v>1</v>
      </c>
      <c r="CB46" s="10">
        <v>1</v>
      </c>
      <c r="CI46" s="10">
        <v>2</v>
      </c>
      <c r="CO46" s="10" t="s">
        <v>566</v>
      </c>
      <c r="DE46" s="10">
        <v>1</v>
      </c>
      <c r="EZ46" s="146"/>
      <c r="FA46" s="146"/>
      <c r="FB46" s="146"/>
      <c r="FC46" s="146"/>
      <c r="FD46" s="146"/>
    </row>
    <row r="47" spans="2:160" ht="12.75">
      <c r="B47" s="96">
        <f>COUNT(R47:EY47,FE47:FM47)</f>
        <v>4</v>
      </c>
      <c r="C47" s="96">
        <f>IF(COUNT(R47:EY47,FE47:FM47)&gt;0,COUNT(R47:EY47,FE47:FM47),"")</f>
        <v>4</v>
      </c>
      <c r="D47" s="96">
        <f>IF(COUNT(T47:BJ47,BL47:BT47,BV47:CB47,CD47:EY47,FE47:FM47)&gt;0,COUNT(T47:BJ47,BL47:BT47,BV47:CB47,CD47:EY47,FE47:FM47),"")</f>
        <v>4</v>
      </c>
      <c r="E47" s="96">
        <f>IF(H47=1,COUNT(R47:EY47,FE47:FM47),"")</f>
        <v>4</v>
      </c>
      <c r="F47" s="96">
        <f>IF(H47=1,COUNT(T47:BJ47,BL47:BT47,BV47:CB47,CD47:EY47,FE47:FM47),"")</f>
        <v>4</v>
      </c>
      <c r="G47" s="96">
        <f>IF($B47&gt;=1,$M47,"")</f>
        <v>5.5</v>
      </c>
      <c r="H47" s="149">
        <f>IF(AND(M47&gt;0,M47&lt;=STATS!$C$22),1,"")</f>
        <v>1</v>
      </c>
      <c r="J47" s="34">
        <v>46</v>
      </c>
      <c r="K47" s="165">
        <v>46.11795</v>
      </c>
      <c r="L47" s="165">
        <v>-91.2176</v>
      </c>
      <c r="M47" s="10">
        <v>5.5</v>
      </c>
      <c r="N47" s="10" t="s">
        <v>563</v>
      </c>
      <c r="O47" s="190" t="s">
        <v>648</v>
      </c>
      <c r="Q47" s="10">
        <v>2</v>
      </c>
      <c r="R47" s="17"/>
      <c r="S47" s="17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>
        <v>1</v>
      </c>
      <c r="AF47" s="36"/>
      <c r="AG47" s="36">
        <v>2</v>
      </c>
      <c r="AH47" s="36"/>
      <c r="BR47" s="10">
        <v>2</v>
      </c>
      <c r="DE47" s="10">
        <v>1</v>
      </c>
      <c r="EZ47" s="146"/>
      <c r="FA47" s="146"/>
      <c r="FB47" s="146"/>
      <c r="FC47" s="146"/>
      <c r="FD47" s="146"/>
    </row>
    <row r="48" spans="2:160" ht="12.75">
      <c r="B48" s="96">
        <f>COUNT(R48:EY48,FE48:FM48)</f>
        <v>0</v>
      </c>
      <c r="C48" s="96">
        <f>IF(COUNT(R48:EY48,FE48:FM48)&gt;0,COUNT(R48:EY48,FE48:FM48),"")</f>
      </c>
      <c r="D48" s="96">
        <f>IF(COUNT(T48:BJ48,BL48:BT48,BV48:CB48,CD48:EY48,FE48:FM48)&gt;0,COUNT(T48:BJ48,BL48:BT48,BV48:CB48,CD48:EY48,FE48:FM48),"")</f>
      </c>
      <c r="E48" s="96">
        <f>IF(H48=1,COUNT(R48:EY48,FE48:FM48),"")</f>
        <v>0</v>
      </c>
      <c r="F48" s="96">
        <f>IF(H48=1,COUNT(T48:BJ48,BL48:BT48,BV48:CB48,CD48:EY48,FE48:FM48),"")</f>
        <v>0</v>
      </c>
      <c r="G48" s="96">
        <f>IF($B48&gt;=1,$M48,"")</f>
      </c>
      <c r="H48" s="149">
        <f>IF(AND(M48&gt;0,M48&lt;=STATS!$C$22),1,"")</f>
        <v>1</v>
      </c>
      <c r="J48" s="34">
        <v>47</v>
      </c>
      <c r="K48" s="165">
        <v>46.11796</v>
      </c>
      <c r="L48" s="165">
        <v>-91.21713</v>
      </c>
      <c r="M48" s="10">
        <v>12.5</v>
      </c>
      <c r="N48" s="10" t="s">
        <v>563</v>
      </c>
      <c r="O48" s="190" t="s">
        <v>648</v>
      </c>
      <c r="R48" s="17"/>
      <c r="S48" s="17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EZ48" s="146"/>
      <c r="FA48" s="146"/>
      <c r="FB48" s="146"/>
      <c r="FC48" s="146"/>
      <c r="FD48" s="146"/>
    </row>
    <row r="49" spans="2:160" ht="12.75">
      <c r="B49" s="96">
        <f>COUNT(R49:EY49,FE49:FM49)</f>
        <v>0</v>
      </c>
      <c r="C49" s="96">
        <f>IF(COUNT(R49:EY49,FE49:FM49)&gt;0,COUNT(R49:EY49,FE49:FM49),"")</f>
      </c>
      <c r="D49" s="96">
        <f>IF(COUNT(T49:BJ49,BL49:BT49,BV49:CB49,CD49:EY49,FE49:FM49)&gt;0,COUNT(T49:BJ49,BL49:BT49,BV49:CB49,CD49:EY49,FE49:FM49),"")</f>
      </c>
      <c r="E49" s="96">
        <f>IF(H49=1,COUNT(R49:EY49,FE49:FM49),"")</f>
      </c>
      <c r="F49" s="96">
        <f>IF(H49=1,COUNT(T49:BJ49,BL49:BT49,BV49:CB49,CD49:EY49,FE49:FM49),"")</f>
      </c>
      <c r="G49" s="96">
        <f>IF($B49&gt;=1,$M49,"")</f>
      </c>
      <c r="H49" s="149">
        <f>IF(AND(M49&gt;0,M49&lt;=STATS!$C$22),1,"")</f>
      </c>
      <c r="J49" s="34">
        <v>48</v>
      </c>
      <c r="K49" s="165">
        <v>46.11796</v>
      </c>
      <c r="L49" s="165">
        <v>-91.21667</v>
      </c>
      <c r="M49" s="10">
        <v>17.5</v>
      </c>
      <c r="R49" s="17"/>
      <c r="S49" s="17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EZ49" s="146"/>
      <c r="FA49" s="146"/>
      <c r="FB49" s="146"/>
      <c r="FC49" s="146"/>
      <c r="FD49" s="146"/>
    </row>
    <row r="50" spans="2:160" ht="12.75">
      <c r="B50" s="96">
        <f>COUNT(R50:EY50,FE50:FM50)</f>
        <v>0</v>
      </c>
      <c r="C50" s="96">
        <f>IF(COUNT(R50:EY50,FE50:FM50)&gt;0,COUNT(R50:EY50,FE50:FM50),"")</f>
      </c>
      <c r="D50" s="96">
        <f>IF(COUNT(T50:BJ50,BL50:BT50,BV50:CB50,CD50:EY50,FE50:FM50)&gt;0,COUNT(T50:BJ50,BL50:BT50,BV50:CB50,CD50:EY50,FE50:FM50),"")</f>
      </c>
      <c r="E50" s="96">
        <f>IF(H50=1,COUNT(R50:EY50,FE50:FM50),"")</f>
      </c>
      <c r="F50" s="96">
        <f>IF(H50=1,COUNT(T50:BJ50,BL50:BT50,BV50:CB50,CD50:EY50,FE50:FM50),"")</f>
      </c>
      <c r="G50" s="96">
        <f>IF($B50&gt;=1,$M50,"")</f>
      </c>
      <c r="H50" s="149">
        <f>IF(AND(M50&gt;0,M50&lt;=STATS!$C$22),1,"")</f>
      </c>
      <c r="J50" s="34">
        <v>49</v>
      </c>
      <c r="K50" s="165">
        <v>46.11797</v>
      </c>
      <c r="L50" s="165">
        <v>-91.2162</v>
      </c>
      <c r="M50" s="10">
        <v>19.5</v>
      </c>
      <c r="R50" s="17"/>
      <c r="S50" s="17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EZ50" s="146"/>
      <c r="FA50" s="146"/>
      <c r="FB50" s="146"/>
      <c r="FC50" s="146"/>
      <c r="FD50" s="146"/>
    </row>
    <row r="51" spans="2:160" ht="12.75">
      <c r="B51" s="96">
        <f>COUNT(R51:EY51,FE51:FM51)</f>
        <v>0</v>
      </c>
      <c r="C51" s="96">
        <f>IF(COUNT(R51:EY51,FE51:FM51)&gt;0,COUNT(R51:EY51,FE51:FM51),"")</f>
      </c>
      <c r="D51" s="96">
        <f>IF(COUNT(T51:BJ51,BL51:BT51,BV51:CB51,CD51:EY51,FE51:FM51)&gt;0,COUNT(T51:BJ51,BL51:BT51,BV51:CB51,CD51:EY51,FE51:FM51),"")</f>
      </c>
      <c r="E51" s="96">
        <f>IF(H51=1,COUNT(R51:EY51,FE51:FM51),"")</f>
      </c>
      <c r="F51" s="96">
        <f>IF(H51=1,COUNT(T51:BJ51,BL51:BT51,BV51:CB51,CD51:EY51,FE51:FM51),"")</f>
      </c>
      <c r="G51" s="96">
        <f>IF($B51&gt;=1,$M51,"")</f>
      </c>
      <c r="H51" s="149">
        <f>IF(AND(M51&gt;0,M51&lt;=STATS!$C$22),1,"")</f>
      </c>
      <c r="J51" s="34">
        <v>50</v>
      </c>
      <c r="K51" s="165">
        <v>46.11797</v>
      </c>
      <c r="L51" s="165">
        <v>-91.21573</v>
      </c>
      <c r="M51" s="10">
        <v>22</v>
      </c>
      <c r="R51" s="17"/>
      <c r="S51" s="17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EZ51" s="146"/>
      <c r="FA51" s="146"/>
      <c r="FB51" s="146"/>
      <c r="FC51" s="146"/>
      <c r="FD51" s="146"/>
    </row>
    <row r="52" spans="2:160" ht="12.75">
      <c r="B52" s="96">
        <f>COUNT(R52:EY52,FE52:FM52)</f>
        <v>0</v>
      </c>
      <c r="C52" s="96">
        <f>IF(COUNT(R52:EY52,FE52:FM52)&gt;0,COUNT(R52:EY52,FE52:FM52),"")</f>
      </c>
      <c r="D52" s="96">
        <f>IF(COUNT(T52:BJ52,BL52:BT52,BV52:CB52,CD52:EY52,FE52:FM52)&gt;0,COUNT(T52:BJ52,BL52:BT52,BV52:CB52,CD52:EY52,FE52:FM52),"")</f>
      </c>
      <c r="E52" s="96">
        <f>IF(H52=1,COUNT(R52:EY52,FE52:FM52),"")</f>
        <v>0</v>
      </c>
      <c r="F52" s="96">
        <f>IF(H52=1,COUNT(T52:BJ52,BL52:BT52,BV52:CB52,CD52:EY52,FE52:FM52),"")</f>
        <v>0</v>
      </c>
      <c r="G52" s="96">
        <f>IF($B52&gt;=1,$M52,"")</f>
      </c>
      <c r="H52" s="149">
        <f>IF(AND(M52&gt;0,M52&lt;=STATS!$C$22),1,"")</f>
        <v>1</v>
      </c>
      <c r="J52" s="34">
        <v>51</v>
      </c>
      <c r="K52" s="165">
        <v>46.11798</v>
      </c>
      <c r="L52" s="165">
        <v>-91.21527</v>
      </c>
      <c r="M52" s="10">
        <v>13.5</v>
      </c>
      <c r="N52" s="10" t="s">
        <v>563</v>
      </c>
      <c r="O52" s="190" t="s">
        <v>648</v>
      </c>
      <c r="R52" s="17"/>
      <c r="S52" s="17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EZ52" s="146"/>
      <c r="FA52" s="146"/>
      <c r="FB52" s="146"/>
      <c r="FC52" s="146"/>
      <c r="FD52" s="146"/>
    </row>
    <row r="53" spans="2:160" ht="12.75">
      <c r="B53" s="96">
        <f>COUNT(R53:EY53,FE53:FM53)</f>
        <v>4</v>
      </c>
      <c r="C53" s="96">
        <f>IF(COUNT(R53:EY53,FE53:FM53)&gt;0,COUNT(R53:EY53,FE53:FM53),"")</f>
        <v>4</v>
      </c>
      <c r="D53" s="96">
        <f>IF(COUNT(T53:BJ53,BL53:BT53,BV53:CB53,CD53:EY53,FE53:FM53)&gt;0,COUNT(T53:BJ53,BL53:BT53,BV53:CB53,CD53:EY53,FE53:FM53),"")</f>
        <v>4</v>
      </c>
      <c r="E53" s="96">
        <f>IF(H53=1,COUNT(R53:EY53,FE53:FM53),"")</f>
        <v>4</v>
      </c>
      <c r="F53" s="96">
        <f>IF(H53=1,COUNT(T53:BJ53,BL53:BT53,BV53:CB53,CD53:EY53,FE53:FM53),"")</f>
        <v>4</v>
      </c>
      <c r="G53" s="96">
        <f>IF($B53&gt;=1,$M53,"")</f>
        <v>5.5</v>
      </c>
      <c r="H53" s="149">
        <f>IF(AND(M53&gt;0,M53&lt;=STATS!$C$22),1,"")</f>
        <v>1</v>
      </c>
      <c r="J53" s="34">
        <v>52</v>
      </c>
      <c r="K53" s="165">
        <v>46.11798</v>
      </c>
      <c r="L53" s="165">
        <v>-91.2148</v>
      </c>
      <c r="M53" s="10">
        <v>5.5</v>
      </c>
      <c r="N53" s="10" t="s">
        <v>564</v>
      </c>
      <c r="O53" s="190" t="s">
        <v>648</v>
      </c>
      <c r="Q53" s="10">
        <v>2</v>
      </c>
      <c r="R53" s="17"/>
      <c r="S53" s="17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>
        <v>1</v>
      </c>
      <c r="AF53" s="36"/>
      <c r="AG53" s="36"/>
      <c r="AH53" s="36"/>
      <c r="BO53" s="10">
        <v>1</v>
      </c>
      <c r="CB53" s="10">
        <v>1</v>
      </c>
      <c r="DE53" s="10">
        <v>2</v>
      </c>
      <c r="EZ53" s="146"/>
      <c r="FA53" s="146"/>
      <c r="FB53" s="146">
        <v>1</v>
      </c>
      <c r="FC53" s="146"/>
      <c r="FD53" s="146"/>
    </row>
    <row r="54" spans="2:160" ht="12.75">
      <c r="B54" s="96">
        <f>COUNT(R54:EY54,FE54:FM54)</f>
        <v>6</v>
      </c>
      <c r="C54" s="96">
        <f>IF(COUNT(R54:EY54,FE54:FM54)&gt;0,COUNT(R54:EY54,FE54:FM54),"")</f>
        <v>6</v>
      </c>
      <c r="D54" s="96">
        <f>IF(COUNT(T54:BJ54,BL54:BT54,BV54:CB54,CD54:EY54,FE54:FM54)&gt;0,COUNT(T54:BJ54,BL54:BT54,BV54:CB54,CD54:EY54,FE54:FM54),"")</f>
        <v>6</v>
      </c>
      <c r="E54" s="96">
        <f>IF(H54=1,COUNT(R54:EY54,FE54:FM54),"")</f>
        <v>6</v>
      </c>
      <c r="F54" s="96">
        <f>IF(H54=1,COUNT(T54:BJ54,BL54:BT54,BV54:CB54,CD54:EY54,FE54:FM54),"")</f>
        <v>6</v>
      </c>
      <c r="G54" s="96">
        <f>IF($B54&gt;=1,$M54,"")</f>
        <v>4.5</v>
      </c>
      <c r="H54" s="149">
        <f>IF(AND(M54&gt;0,M54&lt;=STATS!$C$22),1,"")</f>
        <v>1</v>
      </c>
      <c r="J54" s="34">
        <v>53</v>
      </c>
      <c r="K54" s="165">
        <v>46.11799</v>
      </c>
      <c r="L54" s="165">
        <v>-91.21434</v>
      </c>
      <c r="M54" s="10">
        <v>4.5</v>
      </c>
      <c r="N54" s="10" t="s">
        <v>565</v>
      </c>
      <c r="O54" s="190" t="s">
        <v>648</v>
      </c>
      <c r="Q54" s="10">
        <v>3</v>
      </c>
      <c r="R54" s="17"/>
      <c r="S54" s="17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>
        <v>1</v>
      </c>
      <c r="AF54" s="36"/>
      <c r="AG54" s="36"/>
      <c r="AH54" s="36"/>
      <c r="BO54" s="10">
        <v>1</v>
      </c>
      <c r="CA54" s="10">
        <v>1</v>
      </c>
      <c r="CB54" s="10">
        <v>3</v>
      </c>
      <c r="DE54" s="10">
        <v>1</v>
      </c>
      <c r="ER54" s="10">
        <v>1</v>
      </c>
      <c r="EZ54" s="146"/>
      <c r="FA54" s="146"/>
      <c r="FB54" s="146"/>
      <c r="FC54" s="146"/>
      <c r="FD54" s="146"/>
    </row>
    <row r="55" spans="2:160" ht="12.75">
      <c r="B55" s="96">
        <f>COUNT(R55:EY55,FE55:FM55)</f>
        <v>6</v>
      </c>
      <c r="C55" s="96">
        <f>IF(COUNT(R55:EY55,FE55:FM55)&gt;0,COUNT(R55:EY55,FE55:FM55),"")</f>
        <v>6</v>
      </c>
      <c r="D55" s="96">
        <f>IF(COUNT(T55:BJ55,BL55:BT55,BV55:CB55,CD55:EY55,FE55:FM55)&gt;0,COUNT(T55:BJ55,BL55:BT55,BV55:CB55,CD55:EY55,FE55:FM55),"")</f>
        <v>6</v>
      </c>
      <c r="E55" s="96">
        <f>IF(H55=1,COUNT(R55:EY55,FE55:FM55),"")</f>
        <v>6</v>
      </c>
      <c r="F55" s="96">
        <f>IF(H55=1,COUNT(T55:BJ55,BL55:BT55,BV55:CB55,CD55:EY55,FE55:FM55),"")</f>
        <v>6</v>
      </c>
      <c r="G55" s="96">
        <f>IF($B55&gt;=1,$M55,"")</f>
        <v>4</v>
      </c>
      <c r="H55" s="149">
        <f>IF(AND(M55&gt;0,M55&lt;=STATS!$C$22),1,"")</f>
        <v>1</v>
      </c>
      <c r="J55" s="34">
        <v>54</v>
      </c>
      <c r="K55" s="165">
        <v>46.11799</v>
      </c>
      <c r="L55" s="165">
        <v>-91.21387</v>
      </c>
      <c r="M55" s="10">
        <v>4</v>
      </c>
      <c r="N55" s="10" t="s">
        <v>563</v>
      </c>
      <c r="O55" s="190" t="s">
        <v>648</v>
      </c>
      <c r="Q55" s="10">
        <v>3</v>
      </c>
      <c r="R55" s="17"/>
      <c r="S55" s="17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>
        <v>1</v>
      </c>
      <c r="AF55" s="36"/>
      <c r="AG55" s="36">
        <v>3</v>
      </c>
      <c r="AH55" s="36"/>
      <c r="BO55" s="10">
        <v>1</v>
      </c>
      <c r="CA55" s="10">
        <v>2</v>
      </c>
      <c r="CB55" s="10">
        <v>2</v>
      </c>
      <c r="DE55" s="10">
        <v>1</v>
      </c>
      <c r="EZ55" s="146"/>
      <c r="FA55" s="146"/>
      <c r="FB55" s="146"/>
      <c r="FC55" s="146"/>
      <c r="FD55" s="146"/>
    </row>
    <row r="56" spans="2:160" ht="12.75">
      <c r="B56" s="96">
        <f>COUNT(R56:EY56,FE56:FM56)</f>
        <v>4</v>
      </c>
      <c r="C56" s="96">
        <f>IF(COUNT(R56:EY56,FE56:FM56)&gt;0,COUNT(R56:EY56,FE56:FM56),"")</f>
        <v>4</v>
      </c>
      <c r="D56" s="96">
        <f>IF(COUNT(T56:BJ56,BL56:BT56,BV56:CB56,CD56:EY56,FE56:FM56)&gt;0,COUNT(T56:BJ56,BL56:BT56,BV56:CB56,CD56:EY56,FE56:FM56),"")</f>
        <v>4</v>
      </c>
      <c r="E56" s="96">
        <f>IF(H56=1,COUNT(R56:EY56,FE56:FM56),"")</f>
        <v>4</v>
      </c>
      <c r="F56" s="96">
        <f>IF(H56=1,COUNT(T56:BJ56,BL56:BT56,BV56:CB56,CD56:EY56,FE56:FM56),"")</f>
        <v>4</v>
      </c>
      <c r="G56" s="96">
        <f>IF($B56&gt;=1,$M56,"")</f>
        <v>5</v>
      </c>
      <c r="H56" s="149">
        <f>IF(AND(M56&gt;0,M56&lt;=STATS!$C$22),1,"")</f>
        <v>1</v>
      </c>
      <c r="J56" s="34">
        <v>55</v>
      </c>
      <c r="K56" s="165">
        <v>46.118</v>
      </c>
      <c r="L56" s="165">
        <v>-91.21341</v>
      </c>
      <c r="M56" s="10">
        <v>5</v>
      </c>
      <c r="N56" s="10" t="s">
        <v>563</v>
      </c>
      <c r="O56" s="190" t="s">
        <v>648</v>
      </c>
      <c r="Q56" s="10">
        <v>3</v>
      </c>
      <c r="R56" s="17"/>
      <c r="S56" s="17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>
        <v>1</v>
      </c>
      <c r="AF56" s="36"/>
      <c r="AG56" s="36"/>
      <c r="AH56" s="36"/>
      <c r="BO56" s="10">
        <v>3</v>
      </c>
      <c r="CB56" s="10">
        <v>1</v>
      </c>
      <c r="DE56" s="10">
        <v>1</v>
      </c>
      <c r="EZ56" s="146"/>
      <c r="FA56" s="146"/>
      <c r="FB56" s="146"/>
      <c r="FC56" s="146"/>
      <c r="FD56" s="146"/>
    </row>
    <row r="57" spans="2:160" ht="12.75">
      <c r="B57" s="96">
        <f>COUNT(R57:EY57,FE57:FM57)</f>
        <v>1</v>
      </c>
      <c r="C57" s="96">
        <f>IF(COUNT(R57:EY57,FE57:FM57)&gt;0,COUNT(R57:EY57,FE57:FM57),"")</f>
        <v>1</v>
      </c>
      <c r="D57" s="96">
        <f>IF(COUNT(T57:BJ57,BL57:BT57,BV57:CB57,CD57:EY57,FE57:FM57)&gt;0,COUNT(T57:BJ57,BL57:BT57,BV57:CB57,CD57:EY57,FE57:FM57),"")</f>
        <v>1</v>
      </c>
      <c r="E57" s="96">
        <f>IF(H57=1,COUNT(R57:EY57,FE57:FM57),"")</f>
        <v>1</v>
      </c>
      <c r="F57" s="96">
        <f>IF(H57=1,COUNT(T57:BJ57,BL57:BT57,BV57:CB57,CD57:EY57,FE57:FM57),"")</f>
        <v>1</v>
      </c>
      <c r="G57" s="96">
        <f>IF($B57&gt;=1,$M57,"")</f>
        <v>7.5</v>
      </c>
      <c r="H57" s="149">
        <f>IF(AND(M57&gt;0,M57&lt;=STATS!$C$22),1,"")</f>
        <v>1</v>
      </c>
      <c r="J57" s="34">
        <v>56</v>
      </c>
      <c r="K57" s="165">
        <v>46.118</v>
      </c>
      <c r="L57" s="165">
        <v>-91.21294</v>
      </c>
      <c r="M57" s="10">
        <v>7.5</v>
      </c>
      <c r="N57" s="10" t="s">
        <v>563</v>
      </c>
      <c r="O57" s="190" t="s">
        <v>648</v>
      </c>
      <c r="Q57" s="10">
        <v>2</v>
      </c>
      <c r="R57" s="17"/>
      <c r="S57" s="17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BW57" s="10">
        <v>2</v>
      </c>
      <c r="EZ57" s="146"/>
      <c r="FA57" s="146"/>
      <c r="FB57" s="146"/>
      <c r="FC57" s="146"/>
      <c r="FD57" s="146"/>
    </row>
    <row r="58" spans="2:160" ht="12.75">
      <c r="B58" s="96">
        <f>COUNT(R58:EY58,FE58:FM58)</f>
        <v>2</v>
      </c>
      <c r="C58" s="96">
        <f>IF(COUNT(R58:EY58,FE58:FM58)&gt;0,COUNT(R58:EY58,FE58:FM58),"")</f>
        <v>2</v>
      </c>
      <c r="D58" s="96">
        <f>IF(COUNT(T58:BJ58,BL58:BT58,BV58:CB58,CD58:EY58,FE58:FM58)&gt;0,COUNT(T58:BJ58,BL58:BT58,BV58:CB58,CD58:EY58,FE58:FM58),"")</f>
        <v>2</v>
      </c>
      <c r="E58" s="96">
        <f>IF(H58=1,COUNT(R58:EY58,FE58:FM58),"")</f>
        <v>2</v>
      </c>
      <c r="F58" s="96">
        <f>IF(H58=1,COUNT(T58:BJ58,BL58:BT58,BV58:CB58,CD58:EY58,FE58:FM58),"")</f>
        <v>2</v>
      </c>
      <c r="G58" s="96">
        <f>IF($B58&gt;=1,$M58,"")</f>
        <v>7</v>
      </c>
      <c r="H58" s="149">
        <f>IF(AND(M58&gt;0,M58&lt;=STATS!$C$22),1,"")</f>
        <v>1</v>
      </c>
      <c r="J58" s="34">
        <v>57</v>
      </c>
      <c r="K58" s="165">
        <v>46.11801</v>
      </c>
      <c r="L58" s="165">
        <v>-91.21247</v>
      </c>
      <c r="M58" s="10">
        <v>7</v>
      </c>
      <c r="N58" s="10" t="s">
        <v>563</v>
      </c>
      <c r="O58" s="190" t="s">
        <v>648</v>
      </c>
      <c r="Q58" s="10">
        <v>2</v>
      </c>
      <c r="R58" s="17"/>
      <c r="S58" s="17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>
        <v>1</v>
      </c>
      <c r="AF58" s="36"/>
      <c r="AG58" s="36"/>
      <c r="AH58" s="36"/>
      <c r="BW58" s="10">
        <v>2</v>
      </c>
      <c r="CB58" s="10" t="s">
        <v>566</v>
      </c>
      <c r="EZ58" s="146"/>
      <c r="FA58" s="146"/>
      <c r="FB58" s="146"/>
      <c r="FC58" s="146"/>
      <c r="FD58" s="146"/>
    </row>
    <row r="59" spans="2:160" ht="12.75">
      <c r="B59" s="96">
        <f>COUNT(R59:EY59,FE59:FM59)</f>
        <v>1</v>
      </c>
      <c r="C59" s="96">
        <f>IF(COUNT(R59:EY59,FE59:FM59)&gt;0,COUNT(R59:EY59,FE59:FM59),"")</f>
        <v>1</v>
      </c>
      <c r="D59" s="96">
        <f>IF(COUNT(T59:BJ59,BL59:BT59,BV59:CB59,CD59:EY59,FE59:FM59)&gt;0,COUNT(T59:BJ59,BL59:BT59,BV59:CB59,CD59:EY59,FE59:FM59),"")</f>
        <v>1</v>
      </c>
      <c r="E59" s="96">
        <f>IF(H59=1,COUNT(R59:EY59,FE59:FM59),"")</f>
        <v>1</v>
      </c>
      <c r="F59" s="96">
        <f>IF(H59=1,COUNT(T59:BJ59,BL59:BT59,BV59:CB59,CD59:EY59,FE59:FM59),"")</f>
        <v>1</v>
      </c>
      <c r="G59" s="96">
        <f>IF($B59&gt;=1,$M59,"")</f>
        <v>5</v>
      </c>
      <c r="H59" s="149">
        <f>IF(AND(M59&gt;0,M59&lt;=STATS!$C$22),1,"")</f>
        <v>1</v>
      </c>
      <c r="J59" s="34">
        <v>58</v>
      </c>
      <c r="K59" s="165">
        <v>46.11801</v>
      </c>
      <c r="L59" s="165">
        <v>-91.21201</v>
      </c>
      <c r="M59" s="10">
        <v>5</v>
      </c>
      <c r="N59" s="10" t="s">
        <v>563</v>
      </c>
      <c r="O59" s="190" t="s">
        <v>648</v>
      </c>
      <c r="Q59" s="10">
        <v>1</v>
      </c>
      <c r="R59" s="17"/>
      <c r="S59" s="17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CB59" s="10">
        <v>1</v>
      </c>
      <c r="EZ59" s="146"/>
      <c r="FA59" s="146"/>
      <c r="FB59" s="146"/>
      <c r="FC59" s="146"/>
      <c r="FD59" s="146"/>
    </row>
    <row r="60" spans="2:160" ht="12.75">
      <c r="B60" s="96">
        <f>COUNT(R60:EY60,FE60:FM60)</f>
        <v>6</v>
      </c>
      <c r="C60" s="96">
        <f>IF(COUNT(R60:EY60,FE60:FM60)&gt;0,COUNT(R60:EY60,FE60:FM60),"")</f>
        <v>6</v>
      </c>
      <c r="D60" s="96">
        <f>IF(COUNT(T60:BJ60,BL60:BT60,BV60:CB60,CD60:EY60,FE60:FM60)&gt;0,COUNT(T60:BJ60,BL60:BT60,BV60:CB60,CD60:EY60,FE60:FM60),"")</f>
        <v>6</v>
      </c>
      <c r="E60" s="96">
        <f>IF(H60=1,COUNT(R60:EY60,FE60:FM60),"")</f>
        <v>6</v>
      </c>
      <c r="F60" s="96">
        <f>IF(H60=1,COUNT(T60:BJ60,BL60:BT60,BV60:CB60,CD60:EY60,FE60:FM60),"")</f>
        <v>6</v>
      </c>
      <c r="G60" s="96">
        <f>IF($B60&gt;=1,$M60,"")</f>
        <v>4</v>
      </c>
      <c r="H60" s="149">
        <f>IF(AND(M60&gt;0,M60&lt;=STATS!$C$22),1,"")</f>
        <v>1</v>
      </c>
      <c r="J60" s="34">
        <v>59</v>
      </c>
      <c r="K60" s="165">
        <v>46.11802</v>
      </c>
      <c r="L60" s="165">
        <v>-91.21154</v>
      </c>
      <c r="M60" s="10">
        <v>4</v>
      </c>
      <c r="N60" s="10" t="s">
        <v>563</v>
      </c>
      <c r="O60" s="190" t="s">
        <v>648</v>
      </c>
      <c r="Q60" s="10">
        <v>3</v>
      </c>
      <c r="R60" s="17"/>
      <c r="S60" s="17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Q60" s="10">
        <v>1</v>
      </c>
      <c r="BO60" s="10">
        <v>1</v>
      </c>
      <c r="BR60" s="10">
        <v>1</v>
      </c>
      <c r="CA60" s="10">
        <v>3</v>
      </c>
      <c r="CI60" s="10">
        <v>1</v>
      </c>
      <c r="CN60" s="10" t="s">
        <v>566</v>
      </c>
      <c r="CO60" s="10" t="s">
        <v>566</v>
      </c>
      <c r="CW60" s="10" t="s">
        <v>566</v>
      </c>
      <c r="DE60" s="10">
        <v>2</v>
      </c>
      <c r="EZ60" s="146"/>
      <c r="FA60" s="146"/>
      <c r="FB60" s="146"/>
      <c r="FC60" s="146"/>
      <c r="FD60" s="146"/>
    </row>
    <row r="61" spans="2:160" ht="12.75">
      <c r="B61" s="96">
        <f>COUNT(R61:EY61,FE61:FM61)</f>
        <v>8</v>
      </c>
      <c r="C61" s="96">
        <f>IF(COUNT(R61:EY61,FE61:FM61)&gt;0,COUNT(R61:EY61,FE61:FM61),"")</f>
        <v>8</v>
      </c>
      <c r="D61" s="96">
        <f>IF(COUNT(T61:BJ61,BL61:BT61,BV61:CB61,CD61:EY61,FE61:FM61)&gt;0,COUNT(T61:BJ61,BL61:BT61,BV61:CB61,CD61:EY61,FE61:FM61),"")</f>
        <v>8</v>
      </c>
      <c r="E61" s="96">
        <f>IF(H61=1,COUNT(R61:EY61,FE61:FM61),"")</f>
        <v>8</v>
      </c>
      <c r="F61" s="96">
        <f>IF(H61=1,COUNT(T61:BJ61,BL61:BT61,BV61:CB61,CD61:EY61,FE61:FM61),"")</f>
        <v>8</v>
      </c>
      <c r="G61" s="96">
        <f>IF($B61&gt;=1,$M61,"")</f>
        <v>4</v>
      </c>
      <c r="H61" s="149">
        <f>IF(AND(M61&gt;0,M61&lt;=STATS!$C$22),1,"")</f>
        <v>1</v>
      </c>
      <c r="J61" s="34">
        <v>60</v>
      </c>
      <c r="K61" s="165">
        <v>46.11802</v>
      </c>
      <c r="L61" s="165">
        <v>-91.21108</v>
      </c>
      <c r="M61" s="10">
        <v>4</v>
      </c>
      <c r="N61" s="10" t="s">
        <v>563</v>
      </c>
      <c r="O61" s="190" t="s">
        <v>648</v>
      </c>
      <c r="Q61" s="10">
        <v>2</v>
      </c>
      <c r="R61" s="17"/>
      <c r="S61" s="17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>
        <v>1</v>
      </c>
      <c r="AF61" s="36"/>
      <c r="AG61" s="36"/>
      <c r="AH61" s="36"/>
      <c r="AQ61" s="10">
        <v>2</v>
      </c>
      <c r="AW61" s="10">
        <v>1</v>
      </c>
      <c r="BO61" s="10">
        <v>1</v>
      </c>
      <c r="BR61" s="10">
        <v>1</v>
      </c>
      <c r="CB61" s="10">
        <v>1</v>
      </c>
      <c r="CY61" s="10">
        <v>1</v>
      </c>
      <c r="CZ61" s="10" t="s">
        <v>566</v>
      </c>
      <c r="DA61" s="10">
        <v>2</v>
      </c>
      <c r="EZ61" s="146"/>
      <c r="FA61" s="146"/>
      <c r="FB61" s="146"/>
      <c r="FC61" s="146"/>
      <c r="FD61" s="146"/>
    </row>
    <row r="62" spans="2:160" ht="12.75">
      <c r="B62" s="96">
        <f>COUNT(R62:EY62,FE62:FM62)</f>
        <v>4</v>
      </c>
      <c r="C62" s="96">
        <f>IF(COUNT(R62:EY62,FE62:FM62)&gt;0,COUNT(R62:EY62,FE62:FM62),"")</f>
        <v>4</v>
      </c>
      <c r="D62" s="96">
        <f>IF(COUNT(T62:BJ62,BL62:BT62,BV62:CB62,CD62:EY62,FE62:FM62)&gt;0,COUNT(T62:BJ62,BL62:BT62,BV62:CB62,CD62:EY62,FE62:FM62),"")</f>
        <v>4</v>
      </c>
      <c r="E62" s="96">
        <f>IF(H62=1,COUNT(R62:EY62,FE62:FM62),"")</f>
        <v>4</v>
      </c>
      <c r="F62" s="96">
        <f>IF(H62=1,COUNT(T62:BJ62,BL62:BT62,BV62:CB62,CD62:EY62,FE62:FM62),"")</f>
        <v>4</v>
      </c>
      <c r="G62" s="96">
        <f>IF($B62&gt;=1,$M62,"")</f>
        <v>3</v>
      </c>
      <c r="H62" s="149">
        <f>IF(AND(M62&gt;0,M62&lt;=STATS!$C$22),1,"")</f>
        <v>1</v>
      </c>
      <c r="J62" s="34">
        <v>61</v>
      </c>
      <c r="K62" s="165">
        <v>46.11827</v>
      </c>
      <c r="L62" s="165">
        <v>-91.21807</v>
      </c>
      <c r="M62" s="10">
        <v>3</v>
      </c>
      <c r="N62" s="10" t="s">
        <v>563</v>
      </c>
      <c r="O62" s="190" t="s">
        <v>648</v>
      </c>
      <c r="Q62" s="10">
        <v>3</v>
      </c>
      <c r="R62" s="17"/>
      <c r="S62" s="17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 t="s">
        <v>566</v>
      </c>
      <c r="AF62" s="36"/>
      <c r="AG62" s="36"/>
      <c r="AH62" s="36"/>
      <c r="AW62" s="10" t="s">
        <v>566</v>
      </c>
      <c r="BO62" s="10">
        <v>2</v>
      </c>
      <c r="CB62" s="10">
        <v>3</v>
      </c>
      <c r="CY62" s="10" t="s">
        <v>566</v>
      </c>
      <c r="DA62" s="10">
        <v>1</v>
      </c>
      <c r="DE62" s="10">
        <v>2</v>
      </c>
      <c r="EZ62" s="146"/>
      <c r="FA62" s="146"/>
      <c r="FB62" s="146"/>
      <c r="FC62" s="146"/>
      <c r="FD62" s="146"/>
    </row>
    <row r="63" spans="2:160" ht="12.75">
      <c r="B63" s="96">
        <f>COUNT(R63:EY63,FE63:FM63)</f>
        <v>1</v>
      </c>
      <c r="C63" s="96">
        <f>IF(COUNT(R63:EY63,FE63:FM63)&gt;0,COUNT(R63:EY63,FE63:FM63),"")</f>
        <v>1</v>
      </c>
      <c r="D63" s="96">
        <f>IF(COUNT(T63:BJ63,BL63:BT63,BV63:CB63,CD63:EY63,FE63:FM63)&gt;0,COUNT(T63:BJ63,BL63:BT63,BV63:CB63,CD63:EY63,FE63:FM63),"")</f>
        <v>1</v>
      </c>
      <c r="E63" s="96">
        <f>IF(H63=1,COUNT(R63:EY63,FE63:FM63),"")</f>
        <v>1</v>
      </c>
      <c r="F63" s="96">
        <f>IF(H63=1,COUNT(T63:BJ63,BL63:BT63,BV63:CB63,CD63:EY63,FE63:FM63),"")</f>
        <v>1</v>
      </c>
      <c r="G63" s="96">
        <f>IF($B63&gt;=1,$M63,"")</f>
        <v>6</v>
      </c>
      <c r="H63" s="149">
        <f>IF(AND(M63&gt;0,M63&lt;=STATS!$C$22),1,"")</f>
        <v>1</v>
      </c>
      <c r="J63" s="34">
        <v>62</v>
      </c>
      <c r="K63" s="165">
        <v>46.11828</v>
      </c>
      <c r="L63" s="165">
        <v>-91.2176</v>
      </c>
      <c r="M63" s="10">
        <v>6</v>
      </c>
      <c r="N63" s="10" t="s">
        <v>563</v>
      </c>
      <c r="O63" s="190" t="s">
        <v>648</v>
      </c>
      <c r="Q63" s="10">
        <v>3</v>
      </c>
      <c r="R63" s="17"/>
      <c r="S63" s="17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>
        <v>3</v>
      </c>
      <c r="AH63" s="36"/>
      <c r="BO63" s="10" t="s">
        <v>566</v>
      </c>
      <c r="DE63" s="10" t="s">
        <v>566</v>
      </c>
      <c r="EZ63" s="146"/>
      <c r="FA63" s="146"/>
      <c r="FB63" s="146"/>
      <c r="FC63" s="146"/>
      <c r="FD63" s="146"/>
    </row>
    <row r="64" spans="2:160" ht="12.75">
      <c r="B64" s="96">
        <f>COUNT(R64:EY64,FE64:FM64)</f>
        <v>0</v>
      </c>
      <c r="C64" s="96">
        <f>IF(COUNT(R64:EY64,FE64:FM64)&gt;0,COUNT(R64:EY64,FE64:FM64),"")</f>
      </c>
      <c r="D64" s="96">
        <f>IF(COUNT(T64:BJ64,BL64:BT64,BV64:CB64,CD64:EY64,FE64:FM64)&gt;0,COUNT(T64:BJ64,BL64:BT64,BV64:CB64,CD64:EY64,FE64:FM64),"")</f>
      </c>
      <c r="E64" s="96">
        <f>IF(H64=1,COUNT(R64:EY64,FE64:FM64),"")</f>
        <v>0</v>
      </c>
      <c r="F64" s="96">
        <f>IF(H64=1,COUNT(T64:BJ64,BL64:BT64,BV64:CB64,CD64:EY64,FE64:FM64),"")</f>
        <v>0</v>
      </c>
      <c r="G64" s="96">
        <f>IF($B64&gt;=1,$M64,"")</f>
      </c>
      <c r="H64" s="149">
        <f>IF(AND(M64&gt;0,M64&lt;=STATS!$C$22),1,"")</f>
        <v>1</v>
      </c>
      <c r="J64" s="34">
        <v>63</v>
      </c>
      <c r="K64" s="165">
        <v>46.11828</v>
      </c>
      <c r="L64" s="165">
        <v>-91.21714</v>
      </c>
      <c r="M64" s="10">
        <v>13.5</v>
      </c>
      <c r="N64" s="10" t="s">
        <v>563</v>
      </c>
      <c r="O64" s="190" t="s">
        <v>648</v>
      </c>
      <c r="R64" s="17"/>
      <c r="S64" s="17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EZ64" s="146"/>
      <c r="FA64" s="146"/>
      <c r="FB64" s="146"/>
      <c r="FC64" s="146"/>
      <c r="FD64" s="146"/>
    </row>
    <row r="65" spans="2:160" ht="12.75">
      <c r="B65" s="96">
        <f>COUNT(R65:EY65,FE65:FM65)</f>
        <v>0</v>
      </c>
      <c r="C65" s="96">
        <f>IF(COUNT(R65:EY65,FE65:FM65)&gt;0,COUNT(R65:EY65,FE65:FM65),"")</f>
      </c>
      <c r="D65" s="96">
        <f>IF(COUNT(T65:BJ65,BL65:BT65,BV65:CB65,CD65:EY65,FE65:FM65)&gt;0,COUNT(T65:BJ65,BL65:BT65,BV65:CB65,CD65:EY65,FE65:FM65),"")</f>
      </c>
      <c r="E65" s="96">
        <f>IF(H65=1,COUNT(R65:EY65,FE65:FM65),"")</f>
      </c>
      <c r="F65" s="96">
        <f>IF(H65=1,COUNT(T65:BJ65,BL65:BT65,BV65:CB65,CD65:EY65,FE65:FM65),"")</f>
      </c>
      <c r="G65" s="96">
        <f>IF($B65&gt;=1,$M65,"")</f>
      </c>
      <c r="H65" s="149">
        <f>IF(AND(M65&gt;0,M65&lt;=STATS!$C$22),1,"")</f>
      </c>
      <c r="J65" s="34">
        <v>64</v>
      </c>
      <c r="K65" s="165">
        <v>46.11829</v>
      </c>
      <c r="L65" s="165">
        <v>-91.21667</v>
      </c>
      <c r="M65" s="10">
        <v>21</v>
      </c>
      <c r="R65" s="17"/>
      <c r="S65" s="17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EZ65" s="146"/>
      <c r="FA65" s="146"/>
      <c r="FB65" s="146"/>
      <c r="FC65" s="146"/>
      <c r="FD65" s="146"/>
    </row>
    <row r="66" spans="2:160" ht="12.75">
      <c r="B66" s="96">
        <f>COUNT(R66:EY66,FE66:FM66)</f>
        <v>0</v>
      </c>
      <c r="C66" s="96">
        <f>IF(COUNT(R66:EY66,FE66:FM66)&gt;0,COUNT(R66:EY66,FE66:FM66),"")</f>
      </c>
      <c r="D66" s="96">
        <f>IF(COUNT(T66:BJ66,BL66:BT66,BV66:CB66,CD66:EY66,FE66:FM66)&gt;0,COUNT(T66:BJ66,BL66:BT66,BV66:CB66,CD66:EY66,FE66:FM66),"")</f>
      </c>
      <c r="E66" s="96">
        <f>IF(H66=1,COUNT(R66:EY66,FE66:FM66),"")</f>
      </c>
      <c r="F66" s="96">
        <f>IF(H66=1,COUNT(T66:BJ66,BL66:BT66,BV66:CB66,CD66:EY66,FE66:FM66),"")</f>
      </c>
      <c r="G66" s="96">
        <f>IF($B66&gt;=1,$M66,"")</f>
      </c>
      <c r="H66" s="149">
        <f>IF(AND(M66&gt;0,M66&lt;=STATS!$C$22),1,"")</f>
      </c>
      <c r="J66" s="34">
        <v>65</v>
      </c>
      <c r="K66" s="165">
        <v>46.11829</v>
      </c>
      <c r="L66" s="165">
        <v>-91.21621</v>
      </c>
      <c r="M66" s="10">
        <v>20.5</v>
      </c>
      <c r="R66" s="17"/>
      <c r="S66" s="17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EZ66" s="146"/>
      <c r="FA66" s="146"/>
      <c r="FB66" s="146"/>
      <c r="FC66" s="146"/>
      <c r="FD66" s="146"/>
    </row>
    <row r="67" spans="2:160" ht="12.75">
      <c r="B67" s="96">
        <f>COUNT(R67:EY67,FE67:FM67)</f>
        <v>0</v>
      </c>
      <c r="C67" s="96">
        <f>IF(COUNT(R67:EY67,FE67:FM67)&gt;0,COUNT(R67:EY67,FE67:FM67),"")</f>
      </c>
      <c r="D67" s="96">
        <f>IF(COUNT(T67:BJ67,BL67:BT67,BV67:CB67,CD67:EY67,FE67:FM67)&gt;0,COUNT(T67:BJ67,BL67:BT67,BV67:CB67,CD67:EY67,FE67:FM67),"")</f>
      </c>
      <c r="E67" s="96">
        <f>IF(H67=1,COUNT(R67:EY67,FE67:FM67),"")</f>
      </c>
      <c r="F67" s="96">
        <f>IF(H67=1,COUNT(T67:BJ67,BL67:BT67,BV67:CB67,CD67:EY67,FE67:FM67),"")</f>
      </c>
      <c r="G67" s="96">
        <f>IF($B67&gt;=1,$M67,"")</f>
      </c>
      <c r="H67" s="149">
        <f>IF(AND(M67&gt;0,M67&lt;=STATS!$C$22),1,"")</f>
      </c>
      <c r="J67" s="34">
        <v>66</v>
      </c>
      <c r="K67" s="165">
        <v>46.1183</v>
      </c>
      <c r="L67" s="165">
        <v>-91.21574</v>
      </c>
      <c r="M67" s="10">
        <v>26.5</v>
      </c>
      <c r="R67" s="17"/>
      <c r="S67" s="17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EZ67" s="146"/>
      <c r="FA67" s="146"/>
      <c r="FB67" s="146"/>
      <c r="FC67" s="146"/>
      <c r="FD67" s="146"/>
    </row>
    <row r="68" spans="2:160" ht="12.75">
      <c r="B68" s="96">
        <f>COUNT(R68:EY68,FE68:FM68)</f>
        <v>0</v>
      </c>
      <c r="C68" s="96">
        <f>IF(COUNT(R68:EY68,FE68:FM68)&gt;0,COUNT(R68:EY68,FE68:FM68),"")</f>
      </c>
      <c r="D68" s="96">
        <f>IF(COUNT(T68:BJ68,BL68:BT68,BV68:CB68,CD68:EY68,FE68:FM68)&gt;0,COUNT(T68:BJ68,BL68:BT68,BV68:CB68,CD68:EY68,FE68:FM68),"")</f>
      </c>
      <c r="E68" s="96">
        <f>IF(H68=1,COUNT(R68:EY68,FE68:FM68),"")</f>
      </c>
      <c r="F68" s="96">
        <f>IF(H68=1,COUNT(T68:BJ68,BL68:BT68,BV68:CB68,CD68:EY68,FE68:FM68),"")</f>
      </c>
      <c r="G68" s="96">
        <f>IF($B68&gt;=1,$M68,"")</f>
      </c>
      <c r="H68" s="149">
        <f>IF(AND(M68&gt;0,M68&lt;=STATS!$C$22),1,"")</f>
      </c>
      <c r="J68" s="34">
        <v>67</v>
      </c>
      <c r="K68" s="165">
        <v>46.1183</v>
      </c>
      <c r="L68" s="165">
        <v>-91.21528</v>
      </c>
      <c r="M68" s="10">
        <v>18</v>
      </c>
      <c r="R68" s="17"/>
      <c r="S68" s="17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EZ68" s="146"/>
      <c r="FA68" s="146"/>
      <c r="FB68" s="146"/>
      <c r="FC68" s="146"/>
      <c r="FD68" s="146"/>
    </row>
    <row r="69" spans="2:160" ht="12.75">
      <c r="B69" s="96">
        <f>COUNT(R69:EY69,FE69:FM69)</f>
        <v>0</v>
      </c>
      <c r="C69" s="96">
        <f>IF(COUNT(R69:EY69,FE69:FM69)&gt;0,COUNT(R69:EY69,FE69:FM69),"")</f>
      </c>
      <c r="D69" s="96">
        <f>IF(COUNT(T69:BJ69,BL69:BT69,BV69:CB69,CD69:EY69,FE69:FM69)&gt;0,COUNT(T69:BJ69,BL69:BT69,BV69:CB69,CD69:EY69,FE69:FM69),"")</f>
      </c>
      <c r="E69" s="96">
        <f>IF(H69=1,COUNT(R69:EY69,FE69:FM69),"")</f>
        <v>0</v>
      </c>
      <c r="F69" s="96">
        <f>IF(H69=1,COUNT(T69:BJ69,BL69:BT69,BV69:CB69,CD69:EY69,FE69:FM69),"")</f>
        <v>0</v>
      </c>
      <c r="G69" s="96">
        <f>IF($B69&gt;=1,$M69,"")</f>
      </c>
      <c r="H69" s="149">
        <f>IF(AND(M69&gt;0,M69&lt;=STATS!$C$22),1,"")</f>
        <v>1</v>
      </c>
      <c r="J69" s="34">
        <v>68</v>
      </c>
      <c r="K69" s="165">
        <v>46.1183</v>
      </c>
      <c r="L69" s="165">
        <v>-91.21481</v>
      </c>
      <c r="M69" s="10">
        <v>12</v>
      </c>
      <c r="N69" s="10" t="s">
        <v>563</v>
      </c>
      <c r="O69" s="190" t="s">
        <v>648</v>
      </c>
      <c r="R69" s="17"/>
      <c r="S69" s="17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EZ69" s="146"/>
      <c r="FA69" s="146"/>
      <c r="FB69" s="146"/>
      <c r="FC69" s="146"/>
      <c r="FD69" s="146"/>
    </row>
    <row r="70" spans="2:160" ht="12.75">
      <c r="B70" s="96">
        <f>COUNT(R70:EY70,FE70:FM70)</f>
        <v>3</v>
      </c>
      <c r="C70" s="96">
        <f>IF(COUNT(R70:EY70,FE70:FM70)&gt;0,COUNT(R70:EY70,FE70:FM70),"")</f>
        <v>3</v>
      </c>
      <c r="D70" s="96">
        <f>IF(COUNT(T70:BJ70,BL70:BT70,BV70:CB70,CD70:EY70,FE70:FM70)&gt;0,COUNT(T70:BJ70,BL70:BT70,BV70:CB70,CD70:EY70,FE70:FM70),"")</f>
        <v>3</v>
      </c>
      <c r="E70" s="96">
        <f>IF(H70=1,COUNT(R70:EY70,FE70:FM70),"")</f>
        <v>3</v>
      </c>
      <c r="F70" s="96">
        <f>IF(H70=1,COUNT(T70:BJ70,BL70:BT70,BV70:CB70,CD70:EY70,FE70:FM70),"")</f>
        <v>3</v>
      </c>
      <c r="G70" s="96">
        <f>IF($B70&gt;=1,$M70,"")</f>
        <v>4.5</v>
      </c>
      <c r="H70" s="149">
        <f>IF(AND(M70&gt;0,M70&lt;=STATS!$C$22),1,"")</f>
        <v>1</v>
      </c>
      <c r="J70" s="34">
        <v>69</v>
      </c>
      <c r="K70" s="165">
        <v>46.11831</v>
      </c>
      <c r="L70" s="165">
        <v>-91.21434</v>
      </c>
      <c r="M70" s="10">
        <v>4.5</v>
      </c>
      <c r="N70" s="10" t="s">
        <v>563</v>
      </c>
      <c r="O70" s="190" t="s">
        <v>648</v>
      </c>
      <c r="Q70" s="10">
        <v>2</v>
      </c>
      <c r="R70" s="17"/>
      <c r="S70" s="17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Q70" s="10">
        <v>1</v>
      </c>
      <c r="CA70" s="10">
        <v>1</v>
      </c>
      <c r="CY70" s="10" t="s">
        <v>566</v>
      </c>
      <c r="DE70" s="10">
        <v>2</v>
      </c>
      <c r="EZ70" s="146"/>
      <c r="FA70" s="146"/>
      <c r="FB70" s="146"/>
      <c r="FC70" s="146"/>
      <c r="FD70" s="146"/>
    </row>
    <row r="71" spans="2:160" ht="12.75">
      <c r="B71" s="96">
        <f>COUNT(R71:EY71,FE71:FM71)</f>
        <v>3</v>
      </c>
      <c r="C71" s="96">
        <f>IF(COUNT(R71:EY71,FE71:FM71)&gt;0,COUNT(R71:EY71,FE71:FM71),"")</f>
        <v>3</v>
      </c>
      <c r="D71" s="96">
        <f>IF(COUNT(T71:BJ71,BL71:BT71,BV71:CB71,CD71:EY71,FE71:FM71)&gt;0,COUNT(T71:BJ71,BL71:BT71,BV71:CB71,CD71:EY71,FE71:FM71),"")</f>
        <v>3</v>
      </c>
      <c r="E71" s="96">
        <f>IF(H71=1,COUNT(R71:EY71,FE71:FM71),"")</f>
        <v>3</v>
      </c>
      <c r="F71" s="96">
        <f>IF(H71=1,COUNT(T71:BJ71,BL71:BT71,BV71:CB71,CD71:EY71,FE71:FM71),"")</f>
        <v>3</v>
      </c>
      <c r="G71" s="96">
        <f>IF($B71&gt;=1,$M71,"")</f>
        <v>4.5</v>
      </c>
      <c r="H71" s="149">
        <f>IF(AND(M71&gt;0,M71&lt;=STATS!$C$22),1,"")</f>
        <v>1</v>
      </c>
      <c r="J71" s="34">
        <v>70</v>
      </c>
      <c r="K71" s="165">
        <v>46.11832</v>
      </c>
      <c r="L71" s="165">
        <v>-91.21388</v>
      </c>
      <c r="M71" s="10">
        <v>4.5</v>
      </c>
      <c r="N71" s="10" t="s">
        <v>564</v>
      </c>
      <c r="O71" s="190" t="s">
        <v>648</v>
      </c>
      <c r="Q71" s="10">
        <v>3</v>
      </c>
      <c r="R71" s="17"/>
      <c r="S71" s="17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 t="s">
        <v>566</v>
      </c>
      <c r="AF71" s="36"/>
      <c r="AG71" s="36"/>
      <c r="AH71" s="36"/>
      <c r="BO71" s="10">
        <v>1</v>
      </c>
      <c r="CA71" s="10" t="s">
        <v>566</v>
      </c>
      <c r="CB71" s="10">
        <v>3</v>
      </c>
      <c r="CW71" s="10" t="s">
        <v>566</v>
      </c>
      <c r="DE71" s="10">
        <v>2</v>
      </c>
      <c r="EZ71" s="146"/>
      <c r="FA71" s="146"/>
      <c r="FB71" s="146"/>
      <c r="FC71" s="146"/>
      <c r="FD71" s="146"/>
    </row>
    <row r="72" spans="2:160" ht="12.75">
      <c r="B72" s="96">
        <f>COUNT(R72:EY72,FE72:FM72)</f>
        <v>1</v>
      </c>
      <c r="C72" s="96">
        <f>IF(COUNT(R72:EY72,FE72:FM72)&gt;0,COUNT(R72:EY72,FE72:FM72),"")</f>
        <v>1</v>
      </c>
      <c r="D72" s="96">
        <f>IF(COUNT(T72:BJ72,BL72:BT72,BV72:CB72,CD72:EY72,FE72:FM72)&gt;0,COUNT(T72:BJ72,BL72:BT72,BV72:CB72,CD72:EY72,FE72:FM72),"")</f>
        <v>1</v>
      </c>
      <c r="E72" s="96">
        <f>IF(H72=1,COUNT(R72:EY72,FE72:FM72),"")</f>
        <v>1</v>
      </c>
      <c r="F72" s="96">
        <f>IF(H72=1,COUNT(T72:BJ72,BL72:BT72,BV72:CB72,CD72:EY72,FE72:FM72),"")</f>
        <v>1</v>
      </c>
      <c r="G72" s="96">
        <f>IF($B72&gt;=1,$M72,"")</f>
        <v>9</v>
      </c>
      <c r="H72" s="149">
        <f>IF(AND(M72&gt;0,M72&lt;=STATS!$C$22),1,"")</f>
        <v>1</v>
      </c>
      <c r="J72" s="34">
        <v>71</v>
      </c>
      <c r="K72" s="165">
        <v>46.11832</v>
      </c>
      <c r="L72" s="165">
        <v>-91.21341</v>
      </c>
      <c r="M72" s="10">
        <v>9</v>
      </c>
      <c r="N72" s="10" t="s">
        <v>563</v>
      </c>
      <c r="O72" s="190" t="s">
        <v>648</v>
      </c>
      <c r="Q72" s="10">
        <v>1</v>
      </c>
      <c r="R72" s="17"/>
      <c r="S72" s="17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BW72" s="10">
        <v>1</v>
      </c>
      <c r="EZ72" s="146"/>
      <c r="FA72" s="146"/>
      <c r="FB72" s="146"/>
      <c r="FC72" s="146"/>
      <c r="FD72" s="146"/>
    </row>
    <row r="73" spans="2:160" ht="12.75">
      <c r="B73" s="96">
        <f>COUNT(R73:EY73,FE73:FM73)</f>
        <v>0</v>
      </c>
      <c r="C73" s="96">
        <f>IF(COUNT(R73:EY73,FE73:FM73)&gt;0,COUNT(R73:EY73,FE73:FM73),"")</f>
      </c>
      <c r="D73" s="96">
        <f>IF(COUNT(T73:BJ73,BL73:BT73,BV73:CB73,CD73:EY73,FE73:FM73)&gt;0,COUNT(T73:BJ73,BL73:BT73,BV73:CB73,CD73:EY73,FE73:FM73),"")</f>
      </c>
      <c r="E73" s="96">
        <f>IF(H73=1,COUNT(R73:EY73,FE73:FM73),"")</f>
        <v>0</v>
      </c>
      <c r="F73" s="96">
        <f>IF(H73=1,COUNT(T73:BJ73,BL73:BT73,BV73:CB73,CD73:EY73,FE73:FM73),"")</f>
        <v>0</v>
      </c>
      <c r="G73" s="96">
        <f>IF($B73&gt;=1,$M73,"")</f>
      </c>
      <c r="H73" s="149">
        <f>IF(AND(M73&gt;0,M73&lt;=STATS!$C$22),1,"")</f>
        <v>1</v>
      </c>
      <c r="J73" s="34">
        <v>72</v>
      </c>
      <c r="K73" s="165">
        <v>46.11833</v>
      </c>
      <c r="L73" s="165">
        <v>-91.21295</v>
      </c>
      <c r="M73" s="10">
        <v>12.5</v>
      </c>
      <c r="N73" s="10" t="s">
        <v>563</v>
      </c>
      <c r="O73" s="190" t="s">
        <v>648</v>
      </c>
      <c r="R73" s="17"/>
      <c r="S73" s="17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EZ73" s="146"/>
      <c r="FA73" s="146"/>
      <c r="FB73" s="146"/>
      <c r="FC73" s="146"/>
      <c r="FD73" s="146"/>
    </row>
    <row r="74" spans="2:160" ht="12.75">
      <c r="B74" s="96">
        <f>COUNT(R74:EY74,FE74:FM74)</f>
        <v>0</v>
      </c>
      <c r="C74" s="96">
        <f>IF(COUNT(R74:EY74,FE74:FM74)&gt;0,COUNT(R74:EY74,FE74:FM74),"")</f>
      </c>
      <c r="D74" s="96">
        <f>IF(COUNT(T74:BJ74,BL74:BT74,BV74:CB74,CD74:EY74,FE74:FM74)&gt;0,COUNT(T74:BJ74,BL74:BT74,BV74:CB74,CD74:EY74,FE74:FM74),"")</f>
      </c>
      <c r="E74" s="96">
        <f>IF(H74=1,COUNT(R74:EY74,FE74:FM74),"")</f>
        <v>0</v>
      </c>
      <c r="F74" s="96">
        <f>IF(H74=1,COUNT(T74:BJ74,BL74:BT74,BV74:CB74,CD74:EY74,FE74:FM74),"")</f>
        <v>0</v>
      </c>
      <c r="G74" s="96">
        <f>IF($B74&gt;=1,$M74,"")</f>
      </c>
      <c r="H74" s="149">
        <f>IF(AND(M74&gt;0,M74&lt;=STATS!$C$22),1,"")</f>
        <v>1</v>
      </c>
      <c r="J74" s="34">
        <v>73</v>
      </c>
      <c r="K74" s="165">
        <v>46.11833</v>
      </c>
      <c r="L74" s="165">
        <v>-91.21248</v>
      </c>
      <c r="M74" s="10">
        <v>10</v>
      </c>
      <c r="N74" s="10" t="s">
        <v>563</v>
      </c>
      <c r="O74" s="190" t="s">
        <v>648</v>
      </c>
      <c r="R74" s="17"/>
      <c r="S74" s="17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EZ74" s="146"/>
      <c r="FA74" s="146"/>
      <c r="FB74" s="146"/>
      <c r="FC74" s="146"/>
      <c r="FD74" s="146"/>
    </row>
    <row r="75" spans="2:160" ht="12.75">
      <c r="B75" s="96">
        <f>COUNT(R75:EY75,FE75:FM75)</f>
        <v>5</v>
      </c>
      <c r="C75" s="96">
        <f>IF(COUNT(R75:EY75,FE75:FM75)&gt;0,COUNT(R75:EY75,FE75:FM75),"")</f>
        <v>5</v>
      </c>
      <c r="D75" s="96">
        <f>IF(COUNT(T75:BJ75,BL75:BT75,BV75:CB75,CD75:EY75,FE75:FM75)&gt;0,COUNT(T75:BJ75,BL75:BT75,BV75:CB75,CD75:EY75,FE75:FM75),"")</f>
        <v>5</v>
      </c>
      <c r="E75" s="96">
        <f>IF(H75=1,COUNT(R75:EY75,FE75:FM75),"")</f>
        <v>5</v>
      </c>
      <c r="F75" s="96">
        <f>IF(H75=1,COUNT(T75:BJ75,BL75:BT75,BV75:CB75,CD75:EY75,FE75:FM75),"")</f>
        <v>5</v>
      </c>
      <c r="G75" s="96">
        <f>IF($B75&gt;=1,$M75,"")</f>
        <v>5.5</v>
      </c>
      <c r="H75" s="149">
        <f>IF(AND(M75&gt;0,M75&lt;=STATS!$C$22),1,"")</f>
        <v>1</v>
      </c>
      <c r="J75" s="34">
        <v>74</v>
      </c>
      <c r="K75" s="165">
        <v>46.11833</v>
      </c>
      <c r="L75" s="165">
        <v>-91.21201</v>
      </c>
      <c r="M75" s="10">
        <v>5.5</v>
      </c>
      <c r="N75" s="10" t="s">
        <v>563</v>
      </c>
      <c r="O75" s="190" t="s">
        <v>648</v>
      </c>
      <c r="Q75" s="10">
        <v>2</v>
      </c>
      <c r="R75" s="17"/>
      <c r="S75" s="17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BO75" s="10">
        <v>1</v>
      </c>
      <c r="BR75" s="10">
        <v>1</v>
      </c>
      <c r="BW75" s="10">
        <v>2</v>
      </c>
      <c r="CB75" s="10" t="s">
        <v>566</v>
      </c>
      <c r="CW75" s="10">
        <v>2</v>
      </c>
      <c r="DE75" s="10">
        <v>1</v>
      </c>
      <c r="EZ75" s="146"/>
      <c r="FA75" s="146"/>
      <c r="FB75" s="146"/>
      <c r="FC75" s="146"/>
      <c r="FD75" s="146"/>
    </row>
    <row r="76" spans="2:160" ht="12.75">
      <c r="B76" s="96">
        <f>COUNT(R76:EY76,FE76:FM76)</f>
        <v>2</v>
      </c>
      <c r="C76" s="96">
        <f>IF(COUNT(R76:EY76,FE76:FM76)&gt;0,COUNT(R76:EY76,FE76:FM76),"")</f>
        <v>2</v>
      </c>
      <c r="D76" s="96">
        <f>IF(COUNT(T76:BJ76,BL76:BT76,BV76:CB76,CD76:EY76,FE76:FM76)&gt;0,COUNT(T76:BJ76,BL76:BT76,BV76:CB76,CD76:EY76,FE76:FM76),"")</f>
        <v>2</v>
      </c>
      <c r="E76" s="96">
        <f>IF(H76=1,COUNT(R76:EY76,FE76:FM76),"")</f>
        <v>2</v>
      </c>
      <c r="F76" s="96">
        <f>IF(H76=1,COUNT(T76:BJ76,BL76:BT76,BV76:CB76,CD76:EY76,FE76:FM76),"")</f>
        <v>2</v>
      </c>
      <c r="G76" s="96">
        <f>IF($B76&gt;=1,$M76,"")</f>
        <v>5</v>
      </c>
      <c r="H76" s="149">
        <f>IF(AND(M76&gt;0,M76&lt;=STATS!$C$22),1,"")</f>
        <v>1</v>
      </c>
      <c r="J76" s="34">
        <v>75</v>
      </c>
      <c r="K76" s="165">
        <v>46.11834</v>
      </c>
      <c r="L76" s="165">
        <v>-91.21155</v>
      </c>
      <c r="M76" s="10">
        <v>5</v>
      </c>
      <c r="N76" s="10" t="s">
        <v>563</v>
      </c>
      <c r="O76" s="190" t="s">
        <v>648</v>
      </c>
      <c r="Q76" s="10">
        <v>1</v>
      </c>
      <c r="R76" s="17"/>
      <c r="S76" s="17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BR76" s="10">
        <v>1</v>
      </c>
      <c r="CI76" s="10">
        <v>1</v>
      </c>
      <c r="EZ76" s="146"/>
      <c r="FA76" s="146"/>
      <c r="FB76" s="146"/>
      <c r="FC76" s="146"/>
      <c r="FD76" s="146"/>
    </row>
    <row r="77" spans="2:160" ht="12.75">
      <c r="B77" s="96">
        <f>COUNT(R77:EY77,FE77:FM77)</f>
        <v>7</v>
      </c>
      <c r="C77" s="96">
        <f>IF(COUNT(R77:EY77,FE77:FM77)&gt;0,COUNT(R77:EY77,FE77:FM77),"")</f>
        <v>7</v>
      </c>
      <c r="D77" s="96">
        <f>IF(COUNT(T77:BJ77,BL77:BT77,BV77:CB77,CD77:EY77,FE77:FM77)&gt;0,COUNT(T77:BJ77,BL77:BT77,BV77:CB77,CD77:EY77,FE77:FM77),"")</f>
        <v>7</v>
      </c>
      <c r="E77" s="96">
        <f>IF(H77=1,COUNT(R77:EY77,FE77:FM77),"")</f>
        <v>7</v>
      </c>
      <c r="F77" s="96">
        <f>IF(H77=1,COUNT(T77:BJ77,BL77:BT77,BV77:CB77,CD77:EY77,FE77:FM77),"")</f>
        <v>7</v>
      </c>
      <c r="G77" s="96">
        <f>IF($B77&gt;=1,$M77,"")</f>
        <v>4</v>
      </c>
      <c r="H77" s="149">
        <f>IF(AND(M77&gt;0,M77&lt;=STATS!$C$22),1,"")</f>
        <v>1</v>
      </c>
      <c r="J77" s="34">
        <v>76</v>
      </c>
      <c r="K77" s="165">
        <v>46.11835</v>
      </c>
      <c r="L77" s="165">
        <v>-91.21108</v>
      </c>
      <c r="M77" s="10">
        <v>4</v>
      </c>
      <c r="N77" s="10" t="s">
        <v>563</v>
      </c>
      <c r="O77" s="190" t="s">
        <v>648</v>
      </c>
      <c r="Q77" s="10">
        <v>3</v>
      </c>
      <c r="R77" s="17"/>
      <c r="S77" s="17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BR77" s="10">
        <v>1</v>
      </c>
      <c r="CB77" s="10" t="s">
        <v>566</v>
      </c>
      <c r="CI77" s="10">
        <v>1</v>
      </c>
      <c r="CO77" s="10">
        <v>1</v>
      </c>
      <c r="CW77" s="10">
        <v>2</v>
      </c>
      <c r="DA77" s="10">
        <v>1</v>
      </c>
      <c r="EN77" s="10">
        <v>3</v>
      </c>
      <c r="ER77" s="10">
        <v>1</v>
      </c>
      <c r="EZ77" s="146"/>
      <c r="FA77" s="146"/>
      <c r="FB77" s="146"/>
      <c r="FC77" s="146"/>
      <c r="FD77" s="146"/>
    </row>
    <row r="78" spans="2:160" ht="12.75">
      <c r="B78" s="96">
        <f>COUNT(R78:EY78,FE78:FM78)</f>
        <v>5</v>
      </c>
      <c r="C78" s="96">
        <f>IF(COUNT(R78:EY78,FE78:FM78)&gt;0,COUNT(R78:EY78,FE78:FM78),"")</f>
        <v>5</v>
      </c>
      <c r="D78" s="96">
        <f>IF(COUNT(T78:BJ78,BL78:BT78,BV78:CB78,CD78:EY78,FE78:FM78)&gt;0,COUNT(T78:BJ78,BL78:BT78,BV78:CB78,CD78:EY78,FE78:FM78),"")</f>
        <v>5</v>
      </c>
      <c r="E78" s="96">
        <f>IF(H78=1,COUNT(R78:EY78,FE78:FM78),"")</f>
        <v>5</v>
      </c>
      <c r="F78" s="96">
        <f>IF(H78=1,COUNT(T78:BJ78,BL78:BT78,BV78:CB78,CD78:EY78,FE78:FM78),"")</f>
        <v>5</v>
      </c>
      <c r="G78" s="96">
        <f>IF($B78&gt;=1,$M78,"")</f>
        <v>4</v>
      </c>
      <c r="H78" s="149">
        <f>IF(AND(M78&gt;0,M78&lt;=STATS!$C$22),1,"")</f>
        <v>1</v>
      </c>
      <c r="J78" s="34">
        <v>77</v>
      </c>
      <c r="K78" s="165">
        <v>46.11835</v>
      </c>
      <c r="L78" s="165">
        <v>-91.21062</v>
      </c>
      <c r="M78" s="10">
        <v>4</v>
      </c>
      <c r="N78" s="10" t="s">
        <v>563</v>
      </c>
      <c r="O78" s="190" t="s">
        <v>648</v>
      </c>
      <c r="Q78" s="10">
        <v>3</v>
      </c>
      <c r="R78" s="17"/>
      <c r="S78" s="17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 t="s">
        <v>566</v>
      </c>
      <c r="AF78" s="36"/>
      <c r="AG78" s="36"/>
      <c r="AH78" s="36"/>
      <c r="AW78" s="10" t="s">
        <v>566</v>
      </c>
      <c r="BW78" s="10">
        <v>1</v>
      </c>
      <c r="CA78" s="10">
        <v>1</v>
      </c>
      <c r="CB78" s="10">
        <v>3</v>
      </c>
      <c r="CI78" s="10" t="s">
        <v>566</v>
      </c>
      <c r="DA78" s="10">
        <v>2</v>
      </c>
      <c r="DE78" s="10">
        <v>1</v>
      </c>
      <c r="DY78" s="10" t="s">
        <v>566</v>
      </c>
      <c r="EZ78" s="146"/>
      <c r="FA78" s="146"/>
      <c r="FB78" s="146"/>
      <c r="FC78" s="146"/>
      <c r="FD78" s="146"/>
    </row>
    <row r="79" spans="2:160" ht="12.75">
      <c r="B79" s="96">
        <f>COUNT(R79:EY79,FE79:FM79)</f>
        <v>4</v>
      </c>
      <c r="C79" s="96">
        <f>IF(COUNT(R79:EY79,FE79:FM79)&gt;0,COUNT(R79:EY79,FE79:FM79),"")</f>
        <v>4</v>
      </c>
      <c r="D79" s="96">
        <f>IF(COUNT(T79:BJ79,BL79:BT79,BV79:CB79,CD79:EY79,FE79:FM79)&gt;0,COUNT(T79:BJ79,BL79:BT79,BV79:CB79,CD79:EY79,FE79:FM79),"")</f>
        <v>4</v>
      </c>
      <c r="E79" s="96">
        <f>IF(H79=1,COUNT(R79:EY79,FE79:FM79),"")</f>
        <v>4</v>
      </c>
      <c r="F79" s="96">
        <f>IF(H79=1,COUNT(T79:BJ79,BL79:BT79,BV79:CB79,CD79:EY79,FE79:FM79),"")</f>
        <v>4</v>
      </c>
      <c r="G79" s="96">
        <f>IF($B79&gt;=1,$M79,"")</f>
        <v>1</v>
      </c>
      <c r="H79" s="149">
        <f>IF(AND(M79&gt;0,M79&lt;=STATS!$C$22),1,"")</f>
        <v>1</v>
      </c>
      <c r="J79" s="34">
        <v>78</v>
      </c>
      <c r="K79" s="165">
        <v>46.11859</v>
      </c>
      <c r="L79" s="165">
        <v>-91.21808</v>
      </c>
      <c r="M79" s="10">
        <v>1</v>
      </c>
      <c r="N79" s="10" t="s">
        <v>564</v>
      </c>
      <c r="O79" s="190" t="s">
        <v>648</v>
      </c>
      <c r="Q79" s="10">
        <v>2</v>
      </c>
      <c r="R79" s="17"/>
      <c r="S79" s="17"/>
      <c r="T79" s="36"/>
      <c r="U79" s="36"/>
      <c r="V79" s="36"/>
      <c r="W79" s="36"/>
      <c r="X79" s="36">
        <v>1</v>
      </c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O79" s="10">
        <v>2</v>
      </c>
      <c r="CA79" s="10">
        <v>1</v>
      </c>
      <c r="CE79" s="10" t="s">
        <v>566</v>
      </c>
      <c r="CG79" s="10">
        <v>2</v>
      </c>
      <c r="CP79" s="10" t="s">
        <v>566</v>
      </c>
      <c r="DK79" s="10" t="s">
        <v>566</v>
      </c>
      <c r="EZ79" s="146"/>
      <c r="FA79" s="146"/>
      <c r="FB79" s="146">
        <v>2</v>
      </c>
      <c r="FC79" s="146"/>
      <c r="FD79" s="146"/>
    </row>
    <row r="80" spans="2:160" ht="12.75">
      <c r="B80" s="96">
        <f>COUNT(R80:EY80,FE80:FM80)</f>
        <v>0</v>
      </c>
      <c r="C80" s="96">
        <f>IF(COUNT(R80:EY80,FE80:FM80)&gt;0,COUNT(R80:EY80,FE80:FM80),"")</f>
      </c>
      <c r="D80" s="96">
        <f>IF(COUNT(T80:BJ80,BL80:BT80,BV80:CB80,CD80:EY80,FE80:FM80)&gt;0,COUNT(T80:BJ80,BL80:BT80,BV80:CB80,CD80:EY80,FE80:FM80),"")</f>
      </c>
      <c r="E80" s="96">
        <f>IF(H80=1,COUNT(R80:EY80,FE80:FM80),"")</f>
        <v>0</v>
      </c>
      <c r="F80" s="96">
        <f>IF(H80=1,COUNT(T80:BJ80,BL80:BT80,BV80:CB80,CD80:EY80,FE80:FM80),"")</f>
        <v>0</v>
      </c>
      <c r="G80" s="96">
        <f>IF($B80&gt;=1,$M80,"")</f>
      </c>
      <c r="H80" s="149">
        <f>IF(AND(M80&gt;0,M80&lt;=STATS!$C$22),1,"")</f>
        <v>1</v>
      </c>
      <c r="J80" s="34">
        <v>79</v>
      </c>
      <c r="K80" s="165">
        <v>46.1186</v>
      </c>
      <c r="L80" s="165">
        <v>-91.21761</v>
      </c>
      <c r="M80" s="10">
        <v>8</v>
      </c>
      <c r="N80" s="10" t="s">
        <v>563</v>
      </c>
      <c r="O80" s="190" t="s">
        <v>648</v>
      </c>
      <c r="R80" s="17"/>
      <c r="S80" s="17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EZ80" s="146"/>
      <c r="FA80" s="146"/>
      <c r="FB80" s="146">
        <v>1</v>
      </c>
      <c r="FC80" s="146"/>
      <c r="FD80" s="146"/>
    </row>
    <row r="81" spans="2:160" ht="12.75">
      <c r="B81" s="96">
        <f>COUNT(R81:EY81,FE81:FM81)</f>
        <v>0</v>
      </c>
      <c r="C81" s="96">
        <f>IF(COUNT(R81:EY81,FE81:FM81)&gt;0,COUNT(R81:EY81,FE81:FM81),"")</f>
      </c>
      <c r="D81" s="96">
        <f>IF(COUNT(T81:BJ81,BL81:BT81,BV81:CB81,CD81:EY81,FE81:FM81)&gt;0,COUNT(T81:BJ81,BL81:BT81,BV81:CB81,CD81:EY81,FE81:FM81),"")</f>
      </c>
      <c r="E81" s="96">
        <f>IF(H81=1,COUNT(R81:EY81,FE81:FM81),"")</f>
      </c>
      <c r="F81" s="96">
        <f>IF(H81=1,COUNT(T81:BJ81,BL81:BT81,BV81:CB81,CD81:EY81,FE81:FM81),"")</f>
      </c>
      <c r="G81" s="96">
        <f>IF($B81&gt;=1,$M81,"")</f>
      </c>
      <c r="H81" s="149">
        <f>IF(AND(M81&gt;0,M81&lt;=STATS!$C$22),1,"")</f>
      </c>
      <c r="J81" s="34">
        <v>80</v>
      </c>
      <c r="K81" s="165">
        <v>46.1186</v>
      </c>
      <c r="L81" s="165">
        <v>-91.21715</v>
      </c>
      <c r="M81" s="10">
        <v>21</v>
      </c>
      <c r="R81" s="17"/>
      <c r="S81" s="17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EZ81" s="146"/>
      <c r="FA81" s="146"/>
      <c r="FB81" s="146"/>
      <c r="FC81" s="146"/>
      <c r="FD81" s="146"/>
    </row>
    <row r="82" spans="2:160" ht="12.75">
      <c r="B82" s="96">
        <f>COUNT(R82:EY82,FE82:FM82)</f>
        <v>0</v>
      </c>
      <c r="C82" s="96">
        <f>IF(COUNT(R82:EY82,FE82:FM82)&gt;0,COUNT(R82:EY82,FE82:FM82),"")</f>
      </c>
      <c r="D82" s="96">
        <f>IF(COUNT(T82:BJ82,BL82:BT82,BV82:CB82,CD82:EY82,FE82:FM82)&gt;0,COUNT(T82:BJ82,BL82:BT82,BV82:CB82,CD82:EY82,FE82:FM82),"")</f>
      </c>
      <c r="E82" s="96">
        <f>IF(H82=1,COUNT(R82:EY82,FE82:FM82),"")</f>
      </c>
      <c r="F82" s="96">
        <f>IF(H82=1,COUNT(T82:BJ82,BL82:BT82,BV82:CB82,CD82:EY82,FE82:FM82),"")</f>
      </c>
      <c r="G82" s="96">
        <f>IF($B82&gt;=1,$M82,"")</f>
      </c>
      <c r="H82" s="149">
        <f>IF(AND(M82&gt;0,M82&lt;=STATS!$C$22),1,"")</f>
      </c>
      <c r="J82" s="34">
        <v>81</v>
      </c>
      <c r="K82" s="165">
        <v>46.11861</v>
      </c>
      <c r="L82" s="165">
        <v>-91.21668</v>
      </c>
      <c r="M82" s="10">
        <v>23.5</v>
      </c>
      <c r="R82" s="17"/>
      <c r="S82" s="17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EZ82" s="146"/>
      <c r="FA82" s="146"/>
      <c r="FB82" s="146"/>
      <c r="FC82" s="146"/>
      <c r="FD82" s="146"/>
    </row>
    <row r="83" spans="2:160" ht="12.75">
      <c r="B83" s="96">
        <f>COUNT(R83:EY83,FE83:FM83)</f>
        <v>0</v>
      </c>
      <c r="C83" s="96">
        <f>IF(COUNT(R83:EY83,FE83:FM83)&gt;0,COUNT(R83:EY83,FE83:FM83),"")</f>
      </c>
      <c r="D83" s="96">
        <f>IF(COUNT(T83:BJ83,BL83:BT83,BV83:CB83,CD83:EY83,FE83:FM83)&gt;0,COUNT(T83:BJ83,BL83:BT83,BV83:CB83,CD83:EY83,FE83:FM83),"")</f>
      </c>
      <c r="E83" s="96">
        <f>IF(H83=1,COUNT(R83:EY83,FE83:FM83),"")</f>
      </c>
      <c r="F83" s="96">
        <f>IF(H83=1,COUNT(T83:BJ83,BL83:BT83,BV83:CB83,CD83:EY83,FE83:FM83),"")</f>
      </c>
      <c r="G83" s="96">
        <f>IF($B83&gt;=1,$M83,"")</f>
      </c>
      <c r="H83" s="149">
        <f>IF(AND(M83&gt;0,M83&lt;=STATS!$C$22),1,"")</f>
      </c>
      <c r="J83" s="34">
        <v>82</v>
      </c>
      <c r="K83" s="165">
        <v>46.11862</v>
      </c>
      <c r="L83" s="165">
        <v>-91.21621</v>
      </c>
      <c r="M83" s="10">
        <v>20</v>
      </c>
      <c r="R83" s="17"/>
      <c r="S83" s="17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EZ83" s="146"/>
      <c r="FA83" s="146"/>
      <c r="FB83" s="146"/>
      <c r="FC83" s="146"/>
      <c r="FD83" s="146"/>
    </row>
    <row r="84" spans="2:160" ht="12.75">
      <c r="B84" s="96">
        <f>COUNT(R84:EY84,FE84:FM84)</f>
        <v>0</v>
      </c>
      <c r="C84" s="96">
        <f>IF(COUNT(R84:EY84,FE84:FM84)&gt;0,COUNT(R84:EY84,FE84:FM84),"")</f>
      </c>
      <c r="D84" s="96">
        <f>IF(COUNT(T84:BJ84,BL84:BT84,BV84:CB84,CD84:EY84,FE84:FM84)&gt;0,COUNT(T84:BJ84,BL84:BT84,BV84:CB84,CD84:EY84,FE84:FM84),"")</f>
      </c>
      <c r="E84" s="96">
        <f>IF(H84=1,COUNT(R84:EY84,FE84:FM84),"")</f>
      </c>
      <c r="F84" s="96">
        <f>IF(H84=1,COUNT(T84:BJ84,BL84:BT84,BV84:CB84,CD84:EY84,FE84:FM84),"")</f>
      </c>
      <c r="G84" s="96">
        <f>IF($B84&gt;=1,$M84,"")</f>
      </c>
      <c r="H84" s="149">
        <f>IF(AND(M84&gt;0,M84&lt;=STATS!$C$22),1,"")</f>
      </c>
      <c r="J84" s="34">
        <v>83</v>
      </c>
      <c r="K84" s="165">
        <v>46.11862</v>
      </c>
      <c r="L84" s="165">
        <v>-91.21575</v>
      </c>
      <c r="M84" s="10">
        <v>26.5</v>
      </c>
      <c r="R84" s="17"/>
      <c r="S84" s="17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EZ84" s="146"/>
      <c r="FA84" s="146"/>
      <c r="FB84" s="146"/>
      <c r="FC84" s="146"/>
      <c r="FD84" s="146"/>
    </row>
    <row r="85" spans="2:160" ht="12.75">
      <c r="B85" s="96">
        <f>COUNT(R85:EY85,FE85:FM85)</f>
        <v>0</v>
      </c>
      <c r="C85" s="96">
        <f>IF(COUNT(R85:EY85,FE85:FM85)&gt;0,COUNT(R85:EY85,FE85:FM85),"")</f>
      </c>
      <c r="D85" s="96">
        <f>IF(COUNT(T85:BJ85,BL85:BT85,BV85:CB85,CD85:EY85,FE85:FM85)&gt;0,COUNT(T85:BJ85,BL85:BT85,BV85:CB85,CD85:EY85,FE85:FM85),"")</f>
      </c>
      <c r="E85" s="96">
        <f>IF(H85=1,COUNT(R85:EY85,FE85:FM85),"")</f>
      </c>
      <c r="F85" s="96">
        <f>IF(H85=1,COUNT(T85:BJ85,BL85:BT85,BV85:CB85,CD85:EY85,FE85:FM85),"")</f>
      </c>
      <c r="G85" s="96">
        <f>IF($B85&gt;=1,$M85,"")</f>
      </c>
      <c r="H85" s="149">
        <f>IF(AND(M85&gt;0,M85&lt;=STATS!$C$22),1,"")</f>
      </c>
      <c r="J85" s="34">
        <v>84</v>
      </c>
      <c r="K85" s="165">
        <v>46.11862</v>
      </c>
      <c r="L85" s="165">
        <v>-91.21528</v>
      </c>
      <c r="M85" s="10">
        <v>23</v>
      </c>
      <c r="R85" s="17"/>
      <c r="S85" s="17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EZ85" s="146"/>
      <c r="FA85" s="146"/>
      <c r="FB85" s="146"/>
      <c r="FC85" s="146"/>
      <c r="FD85" s="146"/>
    </row>
    <row r="86" spans="2:160" ht="12.75">
      <c r="B86" s="96">
        <f>COUNT(R86:EY86,FE86:FM86)</f>
        <v>0</v>
      </c>
      <c r="C86" s="96">
        <f>IF(COUNT(R86:EY86,FE86:FM86)&gt;0,COUNT(R86:EY86,FE86:FM86),"")</f>
      </c>
      <c r="D86" s="96">
        <f>IF(COUNT(T86:BJ86,BL86:BT86,BV86:CB86,CD86:EY86,FE86:FM86)&gt;0,COUNT(T86:BJ86,BL86:BT86,BV86:CB86,CD86:EY86,FE86:FM86),"")</f>
      </c>
      <c r="E86" s="96">
        <f>IF(H86=1,COUNT(R86:EY86,FE86:FM86),"")</f>
        <v>0</v>
      </c>
      <c r="F86" s="96">
        <f>IF(H86=1,COUNT(T86:BJ86,BL86:BT86,BV86:CB86,CD86:EY86,FE86:FM86),"")</f>
        <v>0</v>
      </c>
      <c r="G86" s="96">
        <f>IF($B86&gt;=1,$M86,"")</f>
      </c>
      <c r="H86" s="149">
        <f>IF(AND(M86&gt;0,M86&lt;=STATS!$C$22),1,"")</f>
        <v>1</v>
      </c>
      <c r="J86" s="34">
        <v>85</v>
      </c>
      <c r="K86" s="165">
        <v>46.11863</v>
      </c>
      <c r="L86" s="165">
        <v>-91.21482</v>
      </c>
      <c r="M86" s="10">
        <v>14</v>
      </c>
      <c r="N86" s="10" t="s">
        <v>563</v>
      </c>
      <c r="O86" s="190" t="s">
        <v>648</v>
      </c>
      <c r="R86" s="17"/>
      <c r="S86" s="17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EZ86" s="146"/>
      <c r="FA86" s="146"/>
      <c r="FB86" s="146"/>
      <c r="FC86" s="146"/>
      <c r="FD86" s="146"/>
    </row>
    <row r="87" spans="2:160" ht="12.75">
      <c r="B87" s="96">
        <f>COUNT(R87:EY87,FE87:FM87)</f>
        <v>2</v>
      </c>
      <c r="C87" s="96">
        <f>IF(COUNT(R87:EY87,FE87:FM87)&gt;0,COUNT(R87:EY87,FE87:FM87),"")</f>
        <v>2</v>
      </c>
      <c r="D87" s="96">
        <f>IF(COUNT(T87:BJ87,BL87:BT87,BV87:CB87,CD87:EY87,FE87:FM87)&gt;0,COUNT(T87:BJ87,BL87:BT87,BV87:CB87,CD87:EY87,FE87:FM87),"")</f>
        <v>2</v>
      </c>
      <c r="E87" s="96">
        <f>IF(H87=1,COUNT(R87:EY87,FE87:FM87),"")</f>
        <v>2</v>
      </c>
      <c r="F87" s="96">
        <f>IF(H87=1,COUNT(T87:BJ87,BL87:BT87,BV87:CB87,CD87:EY87,FE87:FM87),"")</f>
        <v>2</v>
      </c>
      <c r="G87" s="96">
        <f>IF($B87&gt;=1,$M87,"")</f>
        <v>5.5</v>
      </c>
      <c r="H87" s="149">
        <f>IF(AND(M87&gt;0,M87&lt;=STATS!$C$22),1,"")</f>
        <v>1</v>
      </c>
      <c r="J87" s="34">
        <v>86</v>
      </c>
      <c r="K87" s="165">
        <v>46.11863</v>
      </c>
      <c r="L87" s="165">
        <v>-91.21435</v>
      </c>
      <c r="M87" s="10">
        <v>5.5</v>
      </c>
      <c r="N87" s="10" t="s">
        <v>564</v>
      </c>
      <c r="O87" s="190" t="s">
        <v>648</v>
      </c>
      <c r="Q87" s="10">
        <v>2</v>
      </c>
      <c r="R87" s="17"/>
      <c r="S87" s="17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>
        <v>2</v>
      </c>
      <c r="AF87" s="36"/>
      <c r="AG87" s="36"/>
      <c r="AH87" s="36"/>
      <c r="CA87" s="10" t="s">
        <v>566</v>
      </c>
      <c r="CW87" s="10" t="s">
        <v>566</v>
      </c>
      <c r="DE87" s="10">
        <v>1</v>
      </c>
      <c r="EZ87" s="146"/>
      <c r="FA87" s="146"/>
      <c r="FB87" s="146"/>
      <c r="FC87" s="146"/>
      <c r="FD87" s="146"/>
    </row>
    <row r="88" spans="2:160" ht="12.75">
      <c r="B88" s="96">
        <f>COUNT(R88:EY88,FE88:FM88)</f>
        <v>4</v>
      </c>
      <c r="C88" s="96">
        <f>IF(COUNT(R88:EY88,FE88:FM88)&gt;0,COUNT(R88:EY88,FE88:FM88),"")</f>
        <v>4</v>
      </c>
      <c r="D88" s="96">
        <f>IF(COUNT(T88:BJ88,BL88:BT88,BV88:CB88,CD88:EY88,FE88:FM88)&gt;0,COUNT(T88:BJ88,BL88:BT88,BV88:CB88,CD88:EY88,FE88:FM88),"")</f>
        <v>4</v>
      </c>
      <c r="E88" s="96">
        <f>IF(H88=1,COUNT(R88:EY88,FE88:FM88),"")</f>
        <v>4</v>
      </c>
      <c r="F88" s="96">
        <f>IF(H88=1,COUNT(T88:BJ88,BL88:BT88,BV88:CB88,CD88:EY88,FE88:FM88),"")</f>
        <v>4</v>
      </c>
      <c r="G88" s="96">
        <f>IF($B88&gt;=1,$M88,"")</f>
        <v>4.5</v>
      </c>
      <c r="H88" s="149">
        <f>IF(AND(M88&gt;0,M88&lt;=STATS!$C$22),1,"")</f>
        <v>1</v>
      </c>
      <c r="J88" s="34">
        <v>87</v>
      </c>
      <c r="K88" s="165">
        <v>46.11864</v>
      </c>
      <c r="L88" s="165">
        <v>-91.21388</v>
      </c>
      <c r="M88" s="10">
        <v>4.5</v>
      </c>
      <c r="N88" s="10" t="s">
        <v>563</v>
      </c>
      <c r="O88" s="190" t="s">
        <v>648</v>
      </c>
      <c r="Q88" s="10">
        <v>3</v>
      </c>
      <c r="R88" s="17"/>
      <c r="S88" s="17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BO88" s="10">
        <v>2</v>
      </c>
      <c r="BR88" s="10">
        <v>2</v>
      </c>
      <c r="CA88" s="10">
        <v>2</v>
      </c>
      <c r="DE88" s="10">
        <v>1</v>
      </c>
      <c r="EZ88" s="146"/>
      <c r="FA88" s="146"/>
      <c r="FB88" s="146"/>
      <c r="FC88" s="146"/>
      <c r="FD88" s="146"/>
    </row>
    <row r="89" spans="2:160" ht="12.75">
      <c r="B89" s="96">
        <f>COUNT(R89:EY89,FE89:FM89)</f>
        <v>0</v>
      </c>
      <c r="C89" s="96">
        <f>IF(COUNT(R89:EY89,FE89:FM89)&gt;0,COUNT(R89:EY89,FE89:FM89),"")</f>
      </c>
      <c r="D89" s="96">
        <f>IF(COUNT(T89:BJ89,BL89:BT89,BV89:CB89,CD89:EY89,FE89:FM89)&gt;0,COUNT(T89:BJ89,BL89:BT89,BV89:CB89,CD89:EY89,FE89:FM89),"")</f>
      </c>
      <c r="E89" s="96">
        <f>IF(H89=1,COUNT(R89:EY89,FE89:FM89),"")</f>
        <v>0</v>
      </c>
      <c r="F89" s="96">
        <f>IF(H89=1,COUNT(T89:BJ89,BL89:BT89,BV89:CB89,CD89:EY89,FE89:FM89),"")</f>
        <v>0</v>
      </c>
      <c r="G89" s="96">
        <f>IF($B89&gt;=1,$M89,"")</f>
      </c>
      <c r="H89" s="149">
        <f>IF(AND(M89&gt;0,M89&lt;=STATS!$C$22),1,"")</f>
        <v>1</v>
      </c>
      <c r="J89" s="34">
        <v>88</v>
      </c>
      <c r="K89" s="165">
        <v>46.11864</v>
      </c>
      <c r="L89" s="165">
        <v>-91.21342</v>
      </c>
      <c r="M89" s="10">
        <v>11.5</v>
      </c>
      <c r="N89" s="10" t="s">
        <v>563</v>
      </c>
      <c r="O89" s="190" t="s">
        <v>648</v>
      </c>
      <c r="R89" s="17"/>
      <c r="S89" s="17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EZ89" s="146"/>
      <c r="FA89" s="146"/>
      <c r="FB89" s="146"/>
      <c r="FC89" s="146"/>
      <c r="FD89" s="146"/>
    </row>
    <row r="90" spans="2:160" ht="12.75">
      <c r="B90" s="96">
        <f>COUNT(R90:EY90,FE90:FM90)</f>
        <v>0</v>
      </c>
      <c r="C90" s="96">
        <f>IF(COUNT(R90:EY90,FE90:FM90)&gt;0,COUNT(R90:EY90,FE90:FM90),"")</f>
      </c>
      <c r="D90" s="96">
        <f>IF(COUNT(T90:BJ90,BL90:BT90,BV90:CB90,CD90:EY90,FE90:FM90)&gt;0,COUNT(T90:BJ90,BL90:BT90,BV90:CB90,CD90:EY90,FE90:FM90),"")</f>
      </c>
      <c r="E90" s="96">
        <f>IF(H90=1,COUNT(R90:EY90,FE90:FM90),"")</f>
      </c>
      <c r="F90" s="96">
        <f>IF(H90=1,COUNT(T90:BJ90,BL90:BT90,BV90:CB90,CD90:EY90,FE90:FM90),"")</f>
      </c>
      <c r="G90" s="96">
        <f>IF($B90&gt;=1,$M90,"")</f>
      </c>
      <c r="H90" s="149">
        <f>IF(AND(M90&gt;0,M90&lt;=STATS!$C$22),1,"")</f>
      </c>
      <c r="J90" s="34">
        <v>89</v>
      </c>
      <c r="K90" s="165">
        <v>46.11865</v>
      </c>
      <c r="L90" s="165">
        <v>-91.21295</v>
      </c>
      <c r="M90" s="10">
        <v>16.5</v>
      </c>
      <c r="R90" s="17"/>
      <c r="S90" s="17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EZ90" s="146"/>
      <c r="FA90" s="146"/>
      <c r="FB90" s="146"/>
      <c r="FC90" s="146"/>
      <c r="FD90" s="146"/>
    </row>
    <row r="91" spans="2:160" ht="12.75">
      <c r="B91" s="96">
        <f>COUNT(R91:EY91,FE91:FM91)</f>
        <v>0</v>
      </c>
      <c r="C91" s="96">
        <f>IF(COUNT(R91:EY91,FE91:FM91)&gt;0,COUNT(R91:EY91,FE91:FM91),"")</f>
      </c>
      <c r="D91" s="96">
        <f>IF(COUNT(T91:BJ91,BL91:BT91,BV91:CB91,CD91:EY91,FE91:FM91)&gt;0,COUNT(T91:BJ91,BL91:BT91,BV91:CB91,CD91:EY91,FE91:FM91),"")</f>
      </c>
      <c r="E91" s="96">
        <f>IF(H91=1,COUNT(R91:EY91,FE91:FM91),"")</f>
        <v>0</v>
      </c>
      <c r="F91" s="96">
        <f>IF(H91=1,COUNT(T91:BJ91,BL91:BT91,BV91:CB91,CD91:EY91,FE91:FM91),"")</f>
        <v>0</v>
      </c>
      <c r="G91" s="96">
        <f>IF($B91&gt;=1,$M91,"")</f>
      </c>
      <c r="H91" s="149">
        <f>IF(AND(M91&gt;0,M91&lt;=STATS!$C$22),1,"")</f>
        <v>1</v>
      </c>
      <c r="J91" s="34">
        <v>90</v>
      </c>
      <c r="K91" s="165">
        <v>46.11865</v>
      </c>
      <c r="L91" s="165">
        <v>-91.21249</v>
      </c>
      <c r="M91" s="10">
        <v>12.5</v>
      </c>
      <c r="N91" s="10" t="s">
        <v>563</v>
      </c>
      <c r="O91" s="190" t="s">
        <v>648</v>
      </c>
      <c r="R91" s="17"/>
      <c r="S91" s="17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EZ91" s="146"/>
      <c r="FA91" s="146"/>
      <c r="FB91" s="146"/>
      <c r="FC91" s="146"/>
      <c r="FD91" s="146"/>
    </row>
    <row r="92" spans="2:160" ht="12.75">
      <c r="B92" s="96">
        <f>COUNT(R92:EY92,FE92:FM92)</f>
        <v>0</v>
      </c>
      <c r="C92" s="96">
        <f>IF(COUNT(R92:EY92,FE92:FM92)&gt;0,COUNT(R92:EY92,FE92:FM92),"")</f>
      </c>
      <c r="D92" s="96">
        <f>IF(COUNT(T92:BJ92,BL92:BT92,BV92:CB92,CD92:EY92,FE92:FM92)&gt;0,COUNT(T92:BJ92,BL92:BT92,BV92:CB92,CD92:EY92,FE92:FM92),"")</f>
      </c>
      <c r="E92" s="96">
        <f>IF(H92=1,COUNT(R92:EY92,FE92:FM92),"")</f>
        <v>0</v>
      </c>
      <c r="F92" s="96">
        <f>IF(H92=1,COUNT(T92:BJ92,BL92:BT92,BV92:CB92,CD92:EY92,FE92:FM92),"")</f>
        <v>0</v>
      </c>
      <c r="G92" s="96">
        <f>IF($B92&gt;=1,$M92,"")</f>
      </c>
      <c r="H92" s="149">
        <f>IF(AND(M92&gt;0,M92&lt;=STATS!$C$22),1,"")</f>
        <v>1</v>
      </c>
      <c r="J92" s="34">
        <v>91</v>
      </c>
      <c r="K92" s="165">
        <v>46.11866</v>
      </c>
      <c r="L92" s="165">
        <v>-91.21202</v>
      </c>
      <c r="M92" s="10">
        <v>8</v>
      </c>
      <c r="N92" s="10" t="s">
        <v>563</v>
      </c>
      <c r="O92" s="190" t="s">
        <v>648</v>
      </c>
      <c r="R92" s="17"/>
      <c r="S92" s="17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EZ92" s="146"/>
      <c r="FA92" s="146"/>
      <c r="FB92" s="146"/>
      <c r="FC92" s="146"/>
      <c r="FD92" s="146"/>
    </row>
    <row r="93" spans="2:160" ht="12.75">
      <c r="B93" s="96">
        <f>COUNT(R93:EY93,FE93:FM93)</f>
        <v>5</v>
      </c>
      <c r="C93" s="96">
        <f>IF(COUNT(R93:EY93,FE93:FM93)&gt;0,COUNT(R93:EY93,FE93:FM93),"")</f>
        <v>5</v>
      </c>
      <c r="D93" s="96">
        <f>IF(COUNT(T93:BJ93,BL93:BT93,BV93:CB93,CD93:EY93,FE93:FM93)&gt;0,COUNT(T93:BJ93,BL93:BT93,BV93:CB93,CD93:EY93,FE93:FM93),"")</f>
        <v>5</v>
      </c>
      <c r="E93" s="96">
        <f>IF(H93=1,COUNT(R93:EY93,FE93:FM93),"")</f>
        <v>5</v>
      </c>
      <c r="F93" s="96">
        <f>IF(H93=1,COUNT(T93:BJ93,BL93:BT93,BV93:CB93,CD93:EY93,FE93:FM93),"")</f>
        <v>5</v>
      </c>
      <c r="G93" s="96">
        <f>IF($B93&gt;=1,$M93,"")</f>
        <v>6.5</v>
      </c>
      <c r="H93" s="149">
        <f>IF(AND(M93&gt;0,M93&lt;=STATS!$C$22),1,"")</f>
        <v>1</v>
      </c>
      <c r="J93" s="34">
        <v>92</v>
      </c>
      <c r="K93" s="165">
        <v>46.11866</v>
      </c>
      <c r="L93" s="165">
        <v>-91.21156</v>
      </c>
      <c r="M93" s="10">
        <v>6.5</v>
      </c>
      <c r="N93" s="10" t="s">
        <v>563</v>
      </c>
      <c r="O93" s="190" t="s">
        <v>648</v>
      </c>
      <c r="Q93" s="10">
        <v>2</v>
      </c>
      <c r="R93" s="17"/>
      <c r="S93" s="17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>
        <v>1</v>
      </c>
      <c r="AF93" s="36"/>
      <c r="AG93" s="36"/>
      <c r="AH93" s="36"/>
      <c r="BR93" s="10">
        <v>2</v>
      </c>
      <c r="BW93" s="10">
        <v>1</v>
      </c>
      <c r="CY93" s="10">
        <v>1</v>
      </c>
      <c r="DE93" s="10">
        <v>1</v>
      </c>
      <c r="EZ93" s="146"/>
      <c r="FA93" s="146"/>
      <c r="FB93" s="146"/>
      <c r="FC93" s="146"/>
      <c r="FD93" s="146"/>
    </row>
    <row r="94" spans="2:160" ht="12.75">
      <c r="B94" s="96">
        <f>COUNT(R94:EY94,FE94:FM94)</f>
        <v>1</v>
      </c>
      <c r="C94" s="96">
        <f>IF(COUNT(R94:EY94,FE94:FM94)&gt;0,COUNT(R94:EY94,FE94:FM94),"")</f>
        <v>1</v>
      </c>
      <c r="D94" s="96">
        <f>IF(COUNT(T94:BJ94,BL94:BT94,BV94:CB94,CD94:EY94,FE94:FM94)&gt;0,COUNT(T94:BJ94,BL94:BT94,BV94:CB94,CD94:EY94,FE94:FM94),"")</f>
        <v>1</v>
      </c>
      <c r="E94" s="96">
        <f>IF(H94=1,COUNT(R94:EY94,FE94:FM94),"")</f>
        <v>1</v>
      </c>
      <c r="F94" s="96">
        <f>IF(H94=1,COUNT(T94:BJ94,BL94:BT94,BV94:CB94,CD94:EY94,FE94:FM94),"")</f>
        <v>1</v>
      </c>
      <c r="G94" s="96">
        <f>IF($B94&gt;=1,$M94,"")</f>
        <v>8</v>
      </c>
      <c r="H94" s="149">
        <f>IF(AND(M94&gt;0,M94&lt;=STATS!$C$22),1,"")</f>
        <v>1</v>
      </c>
      <c r="J94" s="34">
        <v>93</v>
      </c>
      <c r="K94" s="165">
        <v>46.11867</v>
      </c>
      <c r="L94" s="165">
        <v>-91.21109</v>
      </c>
      <c r="M94" s="10">
        <v>8</v>
      </c>
      <c r="N94" s="10" t="s">
        <v>563</v>
      </c>
      <c r="O94" s="190" t="s">
        <v>648</v>
      </c>
      <c r="Q94" s="10">
        <v>2</v>
      </c>
      <c r="R94" s="17"/>
      <c r="S94" s="17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BW94" s="10">
        <v>2</v>
      </c>
      <c r="EZ94" s="146"/>
      <c r="FA94" s="146"/>
      <c r="FB94" s="146"/>
      <c r="FC94" s="146"/>
      <c r="FD94" s="146"/>
    </row>
    <row r="95" spans="2:160" ht="12.75">
      <c r="B95" s="96">
        <f>COUNT(R95:EY95,FE95:FM95)</f>
        <v>7</v>
      </c>
      <c r="C95" s="96">
        <f>IF(COUNT(R95:EY95,FE95:FM95)&gt;0,COUNT(R95:EY95,FE95:FM95),"")</f>
        <v>7</v>
      </c>
      <c r="D95" s="96">
        <f>IF(COUNT(T95:BJ95,BL95:BT95,BV95:CB95,CD95:EY95,FE95:FM95)&gt;0,COUNT(T95:BJ95,BL95:BT95,BV95:CB95,CD95:EY95,FE95:FM95),"")</f>
        <v>7</v>
      </c>
      <c r="E95" s="96">
        <f>IF(H95=1,COUNT(R95:EY95,FE95:FM95),"")</f>
        <v>7</v>
      </c>
      <c r="F95" s="96">
        <f>IF(H95=1,COUNT(T95:BJ95,BL95:BT95,BV95:CB95,CD95:EY95,FE95:FM95),"")</f>
        <v>7</v>
      </c>
      <c r="G95" s="96">
        <f>IF($B95&gt;=1,$M95,"")</f>
        <v>5</v>
      </c>
      <c r="H95" s="149">
        <f>IF(AND(M95&gt;0,M95&lt;=STATS!$C$22),1,"")</f>
        <v>1</v>
      </c>
      <c r="J95" s="34">
        <v>94</v>
      </c>
      <c r="K95" s="165">
        <v>46.11867</v>
      </c>
      <c r="L95" s="165">
        <v>-91.21062</v>
      </c>
      <c r="M95" s="10">
        <v>5</v>
      </c>
      <c r="N95" s="10" t="s">
        <v>563</v>
      </c>
      <c r="O95" s="190" t="s">
        <v>648</v>
      </c>
      <c r="Q95" s="10">
        <v>2</v>
      </c>
      <c r="R95" s="17"/>
      <c r="S95" s="17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>
        <v>1</v>
      </c>
      <c r="AF95" s="36"/>
      <c r="AG95" s="36"/>
      <c r="AH95" s="36"/>
      <c r="BO95" s="10">
        <v>2</v>
      </c>
      <c r="BR95" s="10">
        <v>1</v>
      </c>
      <c r="BW95" s="10">
        <v>1</v>
      </c>
      <c r="CO95" s="10">
        <v>1</v>
      </c>
      <c r="CY95" s="10">
        <v>1</v>
      </c>
      <c r="DA95" s="10">
        <v>1</v>
      </c>
      <c r="EZ95" s="146"/>
      <c r="FA95" s="146"/>
      <c r="FB95" s="146">
        <v>1</v>
      </c>
      <c r="FC95" s="146"/>
      <c r="FD95" s="146"/>
    </row>
    <row r="96" spans="2:160" ht="12.75">
      <c r="B96" s="96">
        <f>COUNT(R96:EY96,FE96:FM96)</f>
        <v>0</v>
      </c>
      <c r="C96" s="96">
        <f>IF(COUNT(R96:EY96,FE96:FM96)&gt;0,COUNT(R96:EY96,FE96:FM96),"")</f>
      </c>
      <c r="D96" s="96">
        <f>IF(COUNT(T96:BJ96,BL96:BT96,BV96:CB96,CD96:EY96,FE96:FM96)&gt;0,COUNT(T96:BJ96,BL96:BT96,BV96:CB96,CD96:EY96,FE96:FM96),"")</f>
      </c>
      <c r="E96" s="96">
        <f>IF(H96=1,COUNT(R96:EY96,FE96:FM96),"")</f>
        <v>0</v>
      </c>
      <c r="F96" s="96">
        <f>IF(H96=1,COUNT(T96:BJ96,BL96:BT96,BV96:CB96,CD96:EY96,FE96:FM96),"")</f>
        <v>0</v>
      </c>
      <c r="G96" s="96">
        <f>IF($B96&gt;=1,$M96,"")</f>
      </c>
      <c r="H96" s="149">
        <f>IF(AND(M96&gt;0,M96&lt;=STATS!$C$22),1,"")</f>
        <v>1</v>
      </c>
      <c r="J96" s="34">
        <v>95</v>
      </c>
      <c r="K96" s="165">
        <v>46.11892</v>
      </c>
      <c r="L96" s="165">
        <v>-91.21762</v>
      </c>
      <c r="M96" s="10">
        <v>12</v>
      </c>
      <c r="N96" s="10" t="s">
        <v>563</v>
      </c>
      <c r="O96" s="190" t="s">
        <v>648</v>
      </c>
      <c r="R96" s="17"/>
      <c r="S96" s="17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EZ96" s="146"/>
      <c r="FA96" s="146"/>
      <c r="FB96" s="146"/>
      <c r="FC96" s="146"/>
      <c r="FD96" s="146"/>
    </row>
    <row r="97" spans="2:160" ht="12.75">
      <c r="B97" s="96">
        <f>COUNT(R97:EY97,FE97:FM97)</f>
        <v>0</v>
      </c>
      <c r="C97" s="96">
        <f>IF(COUNT(R97:EY97,FE97:FM97)&gt;0,COUNT(R97:EY97,FE97:FM97),"")</f>
      </c>
      <c r="D97" s="96">
        <f>IF(COUNT(T97:BJ97,BL97:BT97,BV97:CB97,CD97:EY97,FE97:FM97)&gt;0,COUNT(T97:BJ97,BL97:BT97,BV97:CB97,CD97:EY97,FE97:FM97),"")</f>
      </c>
      <c r="E97" s="96">
        <f>IF(H97=1,COUNT(R97:EY97,FE97:FM97),"")</f>
      </c>
      <c r="F97" s="96">
        <f>IF(H97=1,COUNT(T97:BJ97,BL97:BT97,BV97:CB97,CD97:EY97,FE97:FM97),"")</f>
      </c>
      <c r="G97" s="96">
        <f>IF($B97&gt;=1,$M97,"")</f>
      </c>
      <c r="H97" s="149">
        <f>IF(AND(M97&gt;0,M97&lt;=STATS!$C$22),1,"")</f>
      </c>
      <c r="J97" s="34">
        <v>96</v>
      </c>
      <c r="K97" s="165">
        <v>46.11893</v>
      </c>
      <c r="L97" s="165">
        <v>-91.21715</v>
      </c>
      <c r="M97" s="10">
        <v>27</v>
      </c>
      <c r="R97" s="17"/>
      <c r="S97" s="17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EZ97" s="146"/>
      <c r="FA97" s="146"/>
      <c r="FB97" s="146"/>
      <c r="FC97" s="146"/>
      <c r="FD97" s="146"/>
    </row>
    <row r="98" spans="2:160" ht="12.75">
      <c r="B98" s="96">
        <f>COUNT(R98:EY98,FE98:FM98)</f>
        <v>0</v>
      </c>
      <c r="C98" s="96">
        <f>IF(COUNT(R98:EY98,FE98:FM98)&gt;0,COUNT(R98:EY98,FE98:FM98),"")</f>
      </c>
      <c r="D98" s="96">
        <f>IF(COUNT(T98:BJ98,BL98:BT98,BV98:CB98,CD98:EY98,FE98:FM98)&gt;0,COUNT(T98:BJ98,BL98:BT98,BV98:CB98,CD98:EY98,FE98:FM98),"")</f>
      </c>
      <c r="E98" s="96">
        <f>IF(H98=1,COUNT(R98:EY98,FE98:FM98),"")</f>
      </c>
      <c r="F98" s="96">
        <f>IF(H98=1,COUNT(T98:BJ98,BL98:BT98,BV98:CB98,CD98:EY98,FE98:FM98),"")</f>
      </c>
      <c r="G98" s="96">
        <f>IF($B98&gt;=1,$M98,"")</f>
      </c>
      <c r="H98" s="149">
        <f>IF(AND(M98&gt;0,M98&lt;=STATS!$C$22),1,"")</f>
      </c>
      <c r="J98" s="34">
        <v>97</v>
      </c>
      <c r="K98" s="165">
        <v>46.11893</v>
      </c>
      <c r="L98" s="165">
        <v>-91.21669</v>
      </c>
      <c r="M98" s="10">
        <v>26.5</v>
      </c>
      <c r="R98" s="17"/>
      <c r="S98" s="17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EZ98" s="146"/>
      <c r="FA98" s="146"/>
      <c r="FB98" s="146"/>
      <c r="FC98" s="146"/>
      <c r="FD98" s="146"/>
    </row>
    <row r="99" spans="2:160" ht="12.75">
      <c r="B99" s="96">
        <f>COUNT(R99:EY99,FE99:FM99)</f>
        <v>0</v>
      </c>
      <c r="C99" s="96">
        <f>IF(COUNT(R99:EY99,FE99:FM99)&gt;0,COUNT(R99:EY99,FE99:FM99),"")</f>
      </c>
      <c r="D99" s="96">
        <f>IF(COUNT(T99:BJ99,BL99:BT99,BV99:CB99,CD99:EY99,FE99:FM99)&gt;0,COUNT(T99:BJ99,BL99:BT99,BV99:CB99,CD99:EY99,FE99:FM99),"")</f>
      </c>
      <c r="E99" s="96">
        <f>IF(H99=1,COUNT(R99:EY99,FE99:FM99),"")</f>
      </c>
      <c r="F99" s="96">
        <f>IF(H99=1,COUNT(T99:BJ99,BL99:BT99,BV99:CB99,CD99:EY99,FE99:FM99),"")</f>
      </c>
      <c r="G99" s="96">
        <f>IF($B99&gt;=1,$M99,"")</f>
      </c>
      <c r="H99" s="149">
        <f>IF(AND(M99&gt;0,M99&lt;=STATS!$C$22),1,"")</f>
      </c>
      <c r="J99" s="34">
        <v>98</v>
      </c>
      <c r="K99" s="165">
        <v>46.11894</v>
      </c>
      <c r="L99" s="165">
        <v>-91.21622</v>
      </c>
      <c r="M99" s="10">
        <v>21</v>
      </c>
      <c r="R99" s="17"/>
      <c r="S99" s="17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EZ99" s="146"/>
      <c r="FA99" s="146"/>
      <c r="FB99" s="146"/>
      <c r="FC99" s="146"/>
      <c r="FD99" s="146"/>
    </row>
    <row r="100" spans="2:160" ht="12.75">
      <c r="B100" s="96">
        <f>COUNT(R100:EY100,FE100:FM100)</f>
        <v>0</v>
      </c>
      <c r="C100" s="96">
        <f>IF(COUNT(R100:EY100,FE100:FM100)&gt;0,COUNT(R100:EY100,FE100:FM100),"")</f>
      </c>
      <c r="D100" s="96">
        <f>IF(COUNT(T100:BJ100,BL100:BT100,BV100:CB100,CD100:EY100,FE100:FM100)&gt;0,COUNT(T100:BJ100,BL100:BT100,BV100:CB100,CD100:EY100,FE100:FM100),"")</f>
      </c>
      <c r="E100" s="96">
        <f>IF(H100=1,COUNT(R100:EY100,FE100:FM100),"")</f>
      </c>
      <c r="F100" s="96">
        <f>IF(H100=1,COUNT(T100:BJ100,BL100:BT100,BV100:CB100,CD100:EY100,FE100:FM100),"")</f>
      </c>
      <c r="G100" s="96">
        <f>IF($B100&gt;=1,$M100,"")</f>
      </c>
      <c r="H100" s="149">
        <f>IF(AND(M100&gt;0,M100&lt;=STATS!$C$22),1,"")</f>
      </c>
      <c r="J100" s="34">
        <v>99</v>
      </c>
      <c r="K100" s="165">
        <v>46.11894</v>
      </c>
      <c r="L100" s="165">
        <v>-91.21575</v>
      </c>
      <c r="M100" s="10">
        <v>25</v>
      </c>
      <c r="R100" s="17"/>
      <c r="S100" s="17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EZ100" s="146"/>
      <c r="FA100" s="146"/>
      <c r="FB100" s="146"/>
      <c r="FC100" s="146"/>
      <c r="FD100" s="146"/>
    </row>
    <row r="101" spans="2:160" ht="12.75">
      <c r="B101" s="96">
        <f>COUNT(R101:EY101,FE101:FM101)</f>
        <v>0</v>
      </c>
      <c r="C101" s="96">
        <f>IF(COUNT(R101:EY101,FE101:FM101)&gt;0,COUNT(R101:EY101,FE101:FM101),"")</f>
      </c>
      <c r="D101" s="96">
        <f>IF(COUNT(T101:BJ101,BL101:BT101,BV101:CB101,CD101:EY101,FE101:FM101)&gt;0,COUNT(T101:BJ101,BL101:BT101,BV101:CB101,CD101:EY101,FE101:FM101),"")</f>
      </c>
      <c r="E101" s="96">
        <f>IF(H101=1,COUNT(R101:EY101,FE101:FM101),"")</f>
      </c>
      <c r="F101" s="96">
        <f>IF(H101=1,COUNT(T101:BJ101,BL101:BT101,BV101:CB101,CD101:EY101,FE101:FM101),"")</f>
      </c>
      <c r="G101" s="96">
        <f>IF($B101&gt;=1,$M101,"")</f>
      </c>
      <c r="H101" s="149">
        <f>IF(AND(M101&gt;0,M101&lt;=STATS!$C$22),1,"")</f>
      </c>
      <c r="J101" s="34">
        <v>100</v>
      </c>
      <c r="K101" s="165">
        <v>46.11895</v>
      </c>
      <c r="L101" s="165">
        <v>-91.21529</v>
      </c>
      <c r="M101" s="10">
        <v>24</v>
      </c>
      <c r="R101" s="17"/>
      <c r="S101" s="17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EZ101" s="146"/>
      <c r="FA101" s="146"/>
      <c r="FB101" s="146"/>
      <c r="FC101" s="146"/>
      <c r="FD101" s="146"/>
    </row>
    <row r="102" spans="2:160" ht="12.75">
      <c r="B102" s="96">
        <f>COUNT(R102:EY102,FE102:FM102)</f>
        <v>0</v>
      </c>
      <c r="C102" s="96">
        <f>IF(COUNT(R102:EY102,FE102:FM102)&gt;0,COUNT(R102:EY102,FE102:FM102),"")</f>
      </c>
      <c r="D102" s="96">
        <f>IF(COUNT(T102:BJ102,BL102:BT102,BV102:CB102,CD102:EY102,FE102:FM102)&gt;0,COUNT(T102:BJ102,BL102:BT102,BV102:CB102,CD102:EY102,FE102:FM102),"")</f>
      </c>
      <c r="E102" s="96">
        <f>IF(H102=1,COUNT(R102:EY102,FE102:FM102),"")</f>
      </c>
      <c r="F102" s="96">
        <f>IF(H102=1,COUNT(T102:BJ102,BL102:BT102,BV102:CB102,CD102:EY102,FE102:FM102),"")</f>
      </c>
      <c r="G102" s="96">
        <f>IF($B102&gt;=1,$M102,"")</f>
      </c>
      <c r="H102" s="149">
        <f>IF(AND(M102&gt;0,M102&lt;=STATS!$C$22),1,"")</f>
      </c>
      <c r="J102" s="34">
        <v>101</v>
      </c>
      <c r="K102" s="165">
        <v>46.11895</v>
      </c>
      <c r="L102" s="165">
        <v>-91.21482</v>
      </c>
      <c r="M102" s="10">
        <v>18.5</v>
      </c>
      <c r="R102" s="17"/>
      <c r="S102" s="17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EZ102" s="146"/>
      <c r="FA102" s="146"/>
      <c r="FB102" s="146"/>
      <c r="FC102" s="146"/>
      <c r="FD102" s="146"/>
    </row>
    <row r="103" spans="2:160" ht="12.75">
      <c r="B103" s="96">
        <f>COUNT(R103:EY103,FE103:FM103)</f>
        <v>3</v>
      </c>
      <c r="C103" s="96">
        <f>IF(COUNT(R103:EY103,FE103:FM103)&gt;0,COUNT(R103:EY103,FE103:FM103),"")</f>
        <v>3</v>
      </c>
      <c r="D103" s="96">
        <f>IF(COUNT(T103:BJ103,BL103:BT103,BV103:CB103,CD103:EY103,FE103:FM103)&gt;0,COUNT(T103:BJ103,BL103:BT103,BV103:CB103,CD103:EY103,FE103:FM103),"")</f>
        <v>3</v>
      </c>
      <c r="E103" s="96">
        <f>IF(H103=1,COUNT(R103:EY103,FE103:FM103),"")</f>
        <v>3</v>
      </c>
      <c r="F103" s="96">
        <f>IF(H103=1,COUNT(T103:BJ103,BL103:BT103,BV103:CB103,CD103:EY103,FE103:FM103),"")</f>
        <v>3</v>
      </c>
      <c r="G103" s="96">
        <f>IF($B103&gt;=1,$M103,"")</f>
        <v>5.5</v>
      </c>
      <c r="H103" s="149">
        <f>IF(AND(M103&gt;0,M103&lt;=STATS!$C$22),1,"")</f>
        <v>1</v>
      </c>
      <c r="J103" s="34">
        <v>102</v>
      </c>
      <c r="K103" s="165">
        <v>46.11896</v>
      </c>
      <c r="L103" s="165">
        <v>-91.21436</v>
      </c>
      <c r="M103" s="10">
        <v>5.5</v>
      </c>
      <c r="N103" s="10" t="s">
        <v>565</v>
      </c>
      <c r="O103" s="190" t="s">
        <v>648</v>
      </c>
      <c r="Q103" s="10">
        <v>2</v>
      </c>
      <c r="R103" s="17"/>
      <c r="S103" s="17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>
        <v>1</v>
      </c>
      <c r="AF103" s="36"/>
      <c r="AG103" s="36"/>
      <c r="AH103" s="36"/>
      <c r="BR103" s="10">
        <v>2</v>
      </c>
      <c r="DE103" s="10">
        <v>1</v>
      </c>
      <c r="EZ103" s="146"/>
      <c r="FA103" s="146"/>
      <c r="FB103" s="146"/>
      <c r="FC103" s="146"/>
      <c r="FD103" s="146"/>
    </row>
    <row r="104" spans="2:160" ht="12.75">
      <c r="B104" s="96">
        <f>COUNT(R104:EY104,FE104:FM104)</f>
        <v>9</v>
      </c>
      <c r="C104" s="96">
        <f>IF(COUNT(R104:EY104,FE104:FM104)&gt;0,COUNT(R104:EY104,FE104:FM104),"")</f>
        <v>9</v>
      </c>
      <c r="D104" s="96">
        <f>IF(COUNT(T104:BJ104,BL104:BT104,BV104:CB104,CD104:EY104,FE104:FM104)&gt;0,COUNT(T104:BJ104,BL104:BT104,BV104:CB104,CD104:EY104,FE104:FM104),"")</f>
        <v>9</v>
      </c>
      <c r="E104" s="96">
        <f>IF(H104=1,COUNT(R104:EY104,FE104:FM104),"")</f>
        <v>9</v>
      </c>
      <c r="F104" s="96">
        <f>IF(H104=1,COUNT(T104:BJ104,BL104:BT104,BV104:CB104,CD104:EY104,FE104:FM104),"")</f>
        <v>9</v>
      </c>
      <c r="G104" s="96">
        <f>IF($B104&gt;=1,$M104,"")</f>
        <v>4.5</v>
      </c>
      <c r="H104" s="149">
        <f>IF(AND(M104&gt;0,M104&lt;=STATS!$C$22),1,"")</f>
        <v>1</v>
      </c>
      <c r="J104" s="34">
        <v>103</v>
      </c>
      <c r="K104" s="165">
        <v>46.11896</v>
      </c>
      <c r="L104" s="165">
        <v>-91.21389</v>
      </c>
      <c r="M104" s="10">
        <v>4.5</v>
      </c>
      <c r="N104" s="10" t="s">
        <v>563</v>
      </c>
      <c r="O104" s="190" t="s">
        <v>648</v>
      </c>
      <c r="Q104" s="10">
        <v>3</v>
      </c>
      <c r="R104" s="17"/>
      <c r="S104" s="17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Q104" s="10">
        <v>1</v>
      </c>
      <c r="BO104" s="10">
        <v>3</v>
      </c>
      <c r="BR104" s="10">
        <v>1</v>
      </c>
      <c r="BW104" s="10">
        <v>2</v>
      </c>
      <c r="CA104" s="10">
        <v>2</v>
      </c>
      <c r="CW104" s="10">
        <v>1</v>
      </c>
      <c r="CY104" s="10">
        <v>1</v>
      </c>
      <c r="DE104" s="10">
        <v>1</v>
      </c>
      <c r="ER104" s="10">
        <v>1</v>
      </c>
      <c r="EZ104" s="146"/>
      <c r="FA104" s="146"/>
      <c r="FB104" s="146"/>
      <c r="FC104" s="146"/>
      <c r="FD104" s="146"/>
    </row>
    <row r="105" spans="2:160" ht="12.75">
      <c r="B105" s="96">
        <f>COUNT(R105:EY105,FE105:FM105)</f>
        <v>0</v>
      </c>
      <c r="C105" s="96">
        <f>IF(COUNT(R105:EY105,FE105:FM105)&gt;0,COUNT(R105:EY105,FE105:FM105),"")</f>
      </c>
      <c r="D105" s="96">
        <f>IF(COUNT(T105:BJ105,BL105:BT105,BV105:CB105,CD105:EY105,FE105:FM105)&gt;0,COUNT(T105:BJ105,BL105:BT105,BV105:CB105,CD105:EY105,FE105:FM105),"")</f>
      </c>
      <c r="E105" s="96">
        <f>IF(H105=1,COUNT(R105:EY105,FE105:FM105),"")</f>
        <v>0</v>
      </c>
      <c r="F105" s="96">
        <f>IF(H105=1,COUNT(T105:BJ105,BL105:BT105,BV105:CB105,CD105:EY105,FE105:FM105),"")</f>
        <v>0</v>
      </c>
      <c r="G105" s="96">
        <f>IF($B105&gt;=1,$M105,"")</f>
      </c>
      <c r="H105" s="149">
        <f>IF(AND(M105&gt;0,M105&lt;=STATS!$C$22),1,"")</f>
        <v>1</v>
      </c>
      <c r="J105" s="34">
        <v>104</v>
      </c>
      <c r="K105" s="165">
        <v>46.11897</v>
      </c>
      <c r="L105" s="165">
        <v>-91.21343</v>
      </c>
      <c r="M105" s="10">
        <v>10.5</v>
      </c>
      <c r="N105" s="10" t="s">
        <v>563</v>
      </c>
      <c r="O105" s="190" t="s">
        <v>648</v>
      </c>
      <c r="R105" s="17"/>
      <c r="S105" s="17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EZ105" s="146"/>
      <c r="FA105" s="146"/>
      <c r="FB105" s="146"/>
      <c r="FC105" s="146"/>
      <c r="FD105" s="146"/>
    </row>
    <row r="106" spans="2:160" ht="12.75">
      <c r="B106" s="96">
        <f>COUNT(R106:EY106,FE106:FM106)</f>
        <v>0</v>
      </c>
      <c r="C106" s="96">
        <f>IF(COUNT(R106:EY106,FE106:FM106)&gt;0,COUNT(R106:EY106,FE106:FM106),"")</f>
      </c>
      <c r="D106" s="96">
        <f>IF(COUNT(T106:BJ106,BL106:BT106,BV106:CB106,CD106:EY106,FE106:FM106)&gt;0,COUNT(T106:BJ106,BL106:BT106,BV106:CB106,CD106:EY106,FE106:FM106),"")</f>
      </c>
      <c r="E106" s="96">
        <f>IF(H106=1,COUNT(R106:EY106,FE106:FM106),"")</f>
      </c>
      <c r="F106" s="96">
        <f>IF(H106=1,COUNT(T106:BJ106,BL106:BT106,BV106:CB106,CD106:EY106,FE106:FM106),"")</f>
      </c>
      <c r="G106" s="96">
        <f>IF($B106&gt;=1,$M106,"")</f>
      </c>
      <c r="H106" s="149">
        <f>IF(AND(M106&gt;0,M106&lt;=STATS!$C$22),1,"")</f>
      </c>
      <c r="J106" s="34">
        <v>105</v>
      </c>
      <c r="K106" s="165">
        <v>46.11897</v>
      </c>
      <c r="L106" s="165">
        <v>-91.21296</v>
      </c>
      <c r="M106" s="10">
        <v>16.5</v>
      </c>
      <c r="R106" s="17"/>
      <c r="S106" s="17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EZ106" s="146"/>
      <c r="FA106" s="146"/>
      <c r="FB106" s="146"/>
      <c r="FC106" s="146"/>
      <c r="FD106" s="146"/>
    </row>
    <row r="107" spans="2:160" ht="12.75">
      <c r="B107" s="96">
        <f>COUNT(R107:EY107,FE107:FM107)</f>
        <v>0</v>
      </c>
      <c r="C107" s="96">
        <f>IF(COUNT(R107:EY107,FE107:FM107)&gt;0,COUNT(R107:EY107,FE107:FM107),"")</f>
      </c>
      <c r="D107" s="96">
        <f>IF(COUNT(T107:BJ107,BL107:BT107,BV107:CB107,CD107:EY107,FE107:FM107)&gt;0,COUNT(T107:BJ107,BL107:BT107,BV107:CB107,CD107:EY107,FE107:FM107),"")</f>
      </c>
      <c r="E107" s="96">
        <f>IF(H107=1,COUNT(R107:EY107,FE107:FM107),"")</f>
      </c>
      <c r="F107" s="96">
        <f>IF(H107=1,COUNT(T107:BJ107,BL107:BT107,BV107:CB107,CD107:EY107,FE107:FM107),"")</f>
      </c>
      <c r="G107" s="96">
        <f>IF($B107&gt;=1,$M107,"")</f>
      </c>
      <c r="H107" s="149">
        <f>IF(AND(M107&gt;0,M107&lt;=STATS!$C$22),1,"")</f>
      </c>
      <c r="J107" s="34">
        <v>106</v>
      </c>
      <c r="K107" s="165">
        <v>46.11898</v>
      </c>
      <c r="L107" s="165">
        <v>-91.2125</v>
      </c>
      <c r="M107" s="10">
        <v>16</v>
      </c>
      <c r="R107" s="17"/>
      <c r="S107" s="17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EZ107" s="146"/>
      <c r="FA107" s="146"/>
      <c r="FB107" s="146"/>
      <c r="FC107" s="146"/>
      <c r="FD107" s="146"/>
    </row>
    <row r="108" spans="2:160" ht="12.75">
      <c r="B108" s="96">
        <f>COUNT(R108:EY108,FE108:FM108)</f>
        <v>0</v>
      </c>
      <c r="C108" s="96">
        <f>IF(COUNT(R108:EY108,FE108:FM108)&gt;0,COUNT(R108:EY108,FE108:FM108),"")</f>
      </c>
      <c r="D108" s="96">
        <f>IF(COUNT(T108:BJ108,BL108:BT108,BV108:CB108,CD108:EY108,FE108:FM108)&gt;0,COUNT(T108:BJ108,BL108:BT108,BV108:CB108,CD108:EY108,FE108:FM108),"")</f>
      </c>
      <c r="E108" s="96">
        <f>IF(H108=1,COUNT(R108:EY108,FE108:FM108),"")</f>
      </c>
      <c r="F108" s="96">
        <f>IF(H108=1,COUNT(T108:BJ108,BL108:BT108,BV108:CB108,CD108:EY108,FE108:FM108),"")</f>
      </c>
      <c r="G108" s="96">
        <f>IF($B108&gt;=1,$M108,"")</f>
      </c>
      <c r="H108" s="149">
        <f>IF(AND(M108&gt;0,M108&lt;=STATS!$C$22),1,"")</f>
      </c>
      <c r="J108" s="34">
        <v>107</v>
      </c>
      <c r="K108" s="165">
        <v>46.11898</v>
      </c>
      <c r="L108" s="165">
        <v>-91.21203</v>
      </c>
      <c r="M108" s="10">
        <v>14.5</v>
      </c>
      <c r="N108" s="10" t="s">
        <v>563</v>
      </c>
      <c r="O108" s="190" t="s">
        <v>648</v>
      </c>
      <c r="R108" s="17"/>
      <c r="S108" s="17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EZ108" s="146"/>
      <c r="FA108" s="146"/>
      <c r="FB108" s="146"/>
      <c r="FC108" s="146"/>
      <c r="FD108" s="146"/>
    </row>
    <row r="109" spans="2:160" ht="12.75">
      <c r="B109" s="96">
        <f>COUNT(R109:EY109,FE109:FM109)</f>
        <v>0</v>
      </c>
      <c r="C109" s="96">
        <f>IF(COUNT(R109:EY109,FE109:FM109)&gt;0,COUNT(R109:EY109,FE109:FM109),"")</f>
      </c>
      <c r="D109" s="96">
        <f>IF(COUNT(T109:BJ109,BL109:BT109,BV109:CB109,CD109:EY109,FE109:FM109)&gt;0,COUNT(T109:BJ109,BL109:BT109,BV109:CB109,CD109:EY109,FE109:FM109),"")</f>
      </c>
      <c r="E109" s="96">
        <f>IF(H109=1,COUNT(R109:EY109,FE109:FM109),"")</f>
        <v>0</v>
      </c>
      <c r="F109" s="96">
        <f>IF(H109=1,COUNT(T109:BJ109,BL109:BT109,BV109:CB109,CD109:EY109,FE109:FM109),"")</f>
        <v>0</v>
      </c>
      <c r="G109" s="96">
        <f>IF($B109&gt;=1,$M109,"")</f>
      </c>
      <c r="H109" s="149">
        <f>IF(AND(M109&gt;0,M109&lt;=STATS!$C$22),1,"")</f>
        <v>1</v>
      </c>
      <c r="J109" s="34">
        <v>108</v>
      </c>
      <c r="K109" s="165">
        <v>46.11899</v>
      </c>
      <c r="L109" s="165">
        <v>-91.21156</v>
      </c>
      <c r="M109" s="10">
        <v>11</v>
      </c>
      <c r="N109" s="10" t="s">
        <v>563</v>
      </c>
      <c r="O109" s="190" t="s">
        <v>648</v>
      </c>
      <c r="R109" s="17"/>
      <c r="S109" s="17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EZ109" s="146"/>
      <c r="FA109" s="146"/>
      <c r="FB109" s="146"/>
      <c r="FC109" s="146"/>
      <c r="FD109" s="146"/>
    </row>
    <row r="110" spans="2:160" ht="12.75">
      <c r="B110" s="96">
        <f>COUNT(R110:EY110,FE110:FM110)</f>
        <v>0</v>
      </c>
      <c r="C110" s="96">
        <f>IF(COUNT(R110:EY110,FE110:FM110)&gt;0,COUNT(R110:EY110,FE110:FM110),"")</f>
      </c>
      <c r="D110" s="96">
        <f>IF(COUNT(T110:BJ110,BL110:BT110,BV110:CB110,CD110:EY110,FE110:FM110)&gt;0,COUNT(T110:BJ110,BL110:BT110,BV110:CB110,CD110:EY110,FE110:FM110),"")</f>
      </c>
      <c r="E110" s="96">
        <f>IF(H110=1,COUNT(R110:EY110,FE110:FM110),"")</f>
        <v>0</v>
      </c>
      <c r="F110" s="96">
        <f>IF(H110=1,COUNT(T110:BJ110,BL110:BT110,BV110:CB110,CD110:EY110,FE110:FM110),"")</f>
        <v>0</v>
      </c>
      <c r="G110" s="96">
        <f>IF($B110&gt;=1,$M110,"")</f>
      </c>
      <c r="H110" s="149">
        <f>IF(AND(M110&gt;0,M110&lt;=STATS!$C$22),1,"")</f>
        <v>1</v>
      </c>
      <c r="J110" s="34">
        <v>109</v>
      </c>
      <c r="K110" s="165">
        <v>46.11899</v>
      </c>
      <c r="L110" s="165">
        <v>-91.2111</v>
      </c>
      <c r="M110" s="10">
        <v>10</v>
      </c>
      <c r="N110" s="10" t="s">
        <v>563</v>
      </c>
      <c r="O110" s="190" t="s">
        <v>648</v>
      </c>
      <c r="R110" s="17"/>
      <c r="S110" s="17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EZ110" s="146"/>
      <c r="FA110" s="146"/>
      <c r="FB110" s="146"/>
      <c r="FC110" s="146"/>
      <c r="FD110" s="146"/>
    </row>
    <row r="111" spans="2:160" ht="12.75">
      <c r="B111" s="96">
        <f>COUNT(R111:EY111,FE111:FM111)</f>
        <v>3</v>
      </c>
      <c r="C111" s="96">
        <f>IF(COUNT(R111:EY111,FE111:FM111)&gt;0,COUNT(R111:EY111,FE111:FM111),"")</f>
        <v>3</v>
      </c>
      <c r="D111" s="96">
        <f>IF(COUNT(T111:BJ111,BL111:BT111,BV111:CB111,CD111:EY111,FE111:FM111)&gt;0,COUNT(T111:BJ111,BL111:BT111,BV111:CB111,CD111:EY111,FE111:FM111),"")</f>
        <v>3</v>
      </c>
      <c r="E111" s="96">
        <f>IF(H111=1,COUNT(R111:EY111,FE111:FM111),"")</f>
        <v>3</v>
      </c>
      <c r="F111" s="96">
        <f>IF(H111=1,COUNT(T111:BJ111,BL111:BT111,BV111:CB111,CD111:EY111,FE111:FM111),"")</f>
        <v>3</v>
      </c>
      <c r="G111" s="96">
        <f>IF($B111&gt;=1,$M111,"")</f>
        <v>7</v>
      </c>
      <c r="H111" s="149">
        <f>IF(AND(M111&gt;0,M111&lt;=STATS!$C$22),1,"")</f>
        <v>1</v>
      </c>
      <c r="J111" s="34">
        <v>110</v>
      </c>
      <c r="K111" s="165">
        <v>46.119</v>
      </c>
      <c r="L111" s="165">
        <v>-91.21063</v>
      </c>
      <c r="M111" s="10">
        <v>7</v>
      </c>
      <c r="N111" s="10" t="s">
        <v>563</v>
      </c>
      <c r="O111" s="190" t="s">
        <v>648</v>
      </c>
      <c r="Q111" s="10">
        <v>1</v>
      </c>
      <c r="R111" s="17"/>
      <c r="S111" s="17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CW111" s="10">
        <v>1</v>
      </c>
      <c r="CY111" s="10">
        <v>1</v>
      </c>
      <c r="DA111" s="10">
        <v>1</v>
      </c>
      <c r="EZ111" s="146"/>
      <c r="FA111" s="146"/>
      <c r="FB111" s="146"/>
      <c r="FC111" s="146"/>
      <c r="FD111" s="146"/>
    </row>
    <row r="112" spans="2:160" ht="12.75">
      <c r="B112" s="96">
        <f>COUNT(R112:EY112,FE112:FM112)</f>
        <v>0</v>
      </c>
      <c r="C112" s="96">
        <f>IF(COUNT(R112:EY112,FE112:FM112)&gt;0,COUNT(R112:EY112,FE112:FM112),"")</f>
      </c>
      <c r="D112" s="96">
        <f>IF(COUNT(T112:BJ112,BL112:BT112,BV112:CB112,CD112:EY112,FE112:FM112)&gt;0,COUNT(T112:BJ112,BL112:BT112,BV112:CB112,CD112:EY112,FE112:FM112),"")</f>
      </c>
      <c r="E112" s="96">
        <f>IF(H112=1,COUNT(R112:EY112,FE112:FM112),"")</f>
      </c>
      <c r="F112" s="96">
        <f>IF(H112=1,COUNT(T112:BJ112,BL112:BT112,BV112:CB112,CD112:EY112,FE112:FM112),"")</f>
      </c>
      <c r="G112" s="96">
        <f>IF($B112&gt;=1,$M112,"")</f>
      </c>
      <c r="H112" s="149">
        <f>IF(AND(M112&gt;0,M112&lt;=STATS!$C$22),1,"")</f>
      </c>
      <c r="J112" s="34">
        <v>111</v>
      </c>
      <c r="K112" s="165">
        <v>46.11925</v>
      </c>
      <c r="L112" s="165">
        <v>-91.21763</v>
      </c>
      <c r="M112" s="10">
        <v>14.5</v>
      </c>
      <c r="N112" s="10" t="s">
        <v>563</v>
      </c>
      <c r="O112" s="190" t="s">
        <v>648</v>
      </c>
      <c r="R112" s="17"/>
      <c r="S112" s="17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EZ112" s="146"/>
      <c r="FA112" s="146"/>
      <c r="FB112" s="146"/>
      <c r="FC112" s="146"/>
      <c r="FD112" s="146"/>
    </row>
    <row r="113" spans="2:160" ht="12.75">
      <c r="B113" s="96">
        <f>COUNT(R113:EY113,FE113:FM113)</f>
        <v>0</v>
      </c>
      <c r="C113" s="96">
        <f>IF(COUNT(R113:EY113,FE113:FM113)&gt;0,COUNT(R113:EY113,FE113:FM113),"")</f>
      </c>
      <c r="D113" s="96">
        <f>IF(COUNT(T113:BJ113,BL113:BT113,BV113:CB113,CD113:EY113,FE113:FM113)&gt;0,COUNT(T113:BJ113,BL113:BT113,BV113:CB113,CD113:EY113,FE113:FM113),"")</f>
      </c>
      <c r="E113" s="96">
        <f>IF(H113=1,COUNT(R113:EY113,FE113:FM113),"")</f>
      </c>
      <c r="F113" s="96">
        <f>IF(H113=1,COUNT(T113:BJ113,BL113:BT113,BV113:CB113,CD113:EY113,FE113:FM113),"")</f>
      </c>
      <c r="G113" s="96">
        <f>IF($B113&gt;=1,$M113,"")</f>
      </c>
      <c r="H113" s="149">
        <f>IF(AND(M113&gt;0,M113&lt;=STATS!$C$22),1,"")</f>
      </c>
      <c r="J113" s="34">
        <v>112</v>
      </c>
      <c r="K113" s="165">
        <v>46.11925</v>
      </c>
      <c r="L113" s="165">
        <v>-91.21716</v>
      </c>
      <c r="M113" s="10">
        <v>29</v>
      </c>
      <c r="R113" s="17"/>
      <c r="S113" s="17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EZ113" s="146"/>
      <c r="FA113" s="146"/>
      <c r="FB113" s="146"/>
      <c r="FC113" s="146"/>
      <c r="FD113" s="146"/>
    </row>
    <row r="114" spans="2:160" ht="12.75">
      <c r="B114" s="96">
        <f>COUNT(R114:EY114,FE114:FM114)</f>
        <v>0</v>
      </c>
      <c r="C114" s="96">
        <f>IF(COUNT(R114:EY114,FE114:FM114)&gt;0,COUNT(R114:EY114,FE114:FM114),"")</f>
      </c>
      <c r="D114" s="96">
        <f>IF(COUNT(T114:BJ114,BL114:BT114,BV114:CB114,CD114:EY114,FE114:FM114)&gt;0,COUNT(T114:BJ114,BL114:BT114,BV114:CB114,CD114:EY114,FE114:FM114),"")</f>
      </c>
      <c r="E114" s="96">
        <f>IF(H114=1,COUNT(R114:EY114,FE114:FM114),"")</f>
      </c>
      <c r="F114" s="96">
        <f>IF(H114=1,COUNT(T114:BJ114,BL114:BT114,BV114:CB114,CD114:EY114,FE114:FM114),"")</f>
      </c>
      <c r="G114" s="96">
        <f>IF($B114&gt;=1,$M114,"")</f>
      </c>
      <c r="H114" s="149">
        <f>IF(AND(M114&gt;0,M114&lt;=STATS!$C$22),1,"")</f>
      </c>
      <c r="J114" s="34">
        <v>113</v>
      </c>
      <c r="K114" s="165">
        <v>46.11926</v>
      </c>
      <c r="L114" s="165">
        <v>-91.21669</v>
      </c>
      <c r="M114" s="10">
        <v>28.5</v>
      </c>
      <c r="R114" s="17"/>
      <c r="S114" s="17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EZ114" s="146"/>
      <c r="FA114" s="146"/>
      <c r="FB114" s="146"/>
      <c r="FC114" s="146"/>
      <c r="FD114" s="146"/>
    </row>
    <row r="115" spans="2:160" ht="12.75">
      <c r="B115" s="96">
        <f>COUNT(R115:EY115,FE115:FM115)</f>
        <v>0</v>
      </c>
      <c r="C115" s="96">
        <f>IF(COUNT(R115:EY115,FE115:FM115)&gt;0,COUNT(R115:EY115,FE115:FM115),"")</f>
      </c>
      <c r="D115" s="96">
        <f>IF(COUNT(T115:BJ115,BL115:BT115,BV115:CB115,CD115:EY115,FE115:FM115)&gt;0,COUNT(T115:BJ115,BL115:BT115,BV115:CB115,CD115:EY115,FE115:FM115),"")</f>
      </c>
      <c r="E115" s="96">
        <f>IF(H115=1,COUNT(R115:EY115,FE115:FM115),"")</f>
      </c>
      <c r="F115" s="96">
        <f>IF(H115=1,COUNT(T115:BJ115,BL115:BT115,BV115:CB115,CD115:EY115,FE115:FM115),"")</f>
      </c>
      <c r="G115" s="96">
        <f>IF($B115&gt;=1,$M115,"")</f>
      </c>
      <c r="H115" s="149">
        <f>IF(AND(M115&gt;0,M115&lt;=STATS!$C$22),1,"")</f>
      </c>
      <c r="J115" s="34">
        <v>114</v>
      </c>
      <c r="K115" s="165">
        <v>46.11926</v>
      </c>
      <c r="L115" s="165">
        <v>-91.21623</v>
      </c>
      <c r="M115" s="10">
        <v>26.5</v>
      </c>
      <c r="R115" s="17"/>
      <c r="S115" s="17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EZ115" s="146"/>
      <c r="FA115" s="146"/>
      <c r="FB115" s="146"/>
      <c r="FC115" s="146"/>
      <c r="FD115" s="146"/>
    </row>
    <row r="116" spans="2:160" ht="12.75">
      <c r="B116" s="96">
        <f>COUNT(R116:EY116,FE116:FM116)</f>
        <v>0</v>
      </c>
      <c r="C116" s="96">
        <f>IF(COUNT(R116:EY116,FE116:FM116)&gt;0,COUNT(R116:EY116,FE116:FM116),"")</f>
      </c>
      <c r="D116" s="96">
        <f>IF(COUNT(T116:BJ116,BL116:BT116,BV116:CB116,CD116:EY116,FE116:FM116)&gt;0,COUNT(T116:BJ116,BL116:BT116,BV116:CB116,CD116:EY116,FE116:FM116),"")</f>
      </c>
      <c r="E116" s="96">
        <f>IF(H116=1,COUNT(R116:EY116,FE116:FM116),"")</f>
      </c>
      <c r="F116" s="96">
        <f>IF(H116=1,COUNT(T116:BJ116,BL116:BT116,BV116:CB116,CD116:EY116,FE116:FM116),"")</f>
      </c>
      <c r="G116" s="96">
        <f>IF($B116&gt;=1,$M116,"")</f>
      </c>
      <c r="H116" s="149">
        <f>IF(AND(M116&gt;0,M116&lt;=STATS!$C$22),1,"")</f>
      </c>
      <c r="J116" s="34">
        <v>115</v>
      </c>
      <c r="K116" s="165">
        <v>46.11927</v>
      </c>
      <c r="L116" s="165">
        <v>-91.21576</v>
      </c>
      <c r="M116" s="10">
        <v>26</v>
      </c>
      <c r="R116" s="17"/>
      <c r="S116" s="17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EZ116" s="146"/>
      <c r="FA116" s="146"/>
      <c r="FB116" s="146"/>
      <c r="FC116" s="146"/>
      <c r="FD116" s="146"/>
    </row>
    <row r="117" spans="2:160" ht="12.75">
      <c r="B117" s="96">
        <f>COUNT(R117:EY117,FE117:FM117)</f>
        <v>0</v>
      </c>
      <c r="C117" s="96">
        <f>IF(COUNT(R117:EY117,FE117:FM117)&gt;0,COUNT(R117:EY117,FE117:FM117),"")</f>
      </c>
      <c r="D117" s="96">
        <f>IF(COUNT(T117:BJ117,BL117:BT117,BV117:CB117,CD117:EY117,FE117:FM117)&gt;0,COUNT(T117:BJ117,BL117:BT117,BV117:CB117,CD117:EY117,FE117:FM117),"")</f>
      </c>
      <c r="E117" s="96">
        <f>IF(H117=1,COUNT(R117:EY117,FE117:FM117),"")</f>
      </c>
      <c r="F117" s="96">
        <f>IF(H117=1,COUNT(T117:BJ117,BL117:BT117,BV117:CB117,CD117:EY117,FE117:FM117),"")</f>
      </c>
      <c r="G117" s="96">
        <f>IF($B117&gt;=1,$M117,"")</f>
      </c>
      <c r="H117" s="149">
        <f>IF(AND(M117&gt;0,M117&lt;=STATS!$C$22),1,"")</f>
      </c>
      <c r="J117" s="34">
        <v>116</v>
      </c>
      <c r="K117" s="165">
        <v>46.11927</v>
      </c>
      <c r="L117" s="165">
        <v>-91.2153</v>
      </c>
      <c r="M117" s="10">
        <v>25</v>
      </c>
      <c r="R117" s="17"/>
      <c r="S117" s="17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EZ117" s="146"/>
      <c r="FA117" s="146"/>
      <c r="FB117" s="146"/>
      <c r="FC117" s="146"/>
      <c r="FD117" s="146"/>
    </row>
    <row r="118" spans="2:160" ht="12.75">
      <c r="B118" s="96">
        <f>COUNT(R118:EY118,FE118:FM118)</f>
        <v>0</v>
      </c>
      <c r="C118" s="96">
        <f>IF(COUNT(R118:EY118,FE118:FM118)&gt;0,COUNT(R118:EY118,FE118:FM118),"")</f>
      </c>
      <c r="D118" s="96">
        <f>IF(COUNT(T118:BJ118,BL118:BT118,BV118:CB118,CD118:EY118,FE118:FM118)&gt;0,COUNT(T118:BJ118,BL118:BT118,BV118:CB118,CD118:EY118,FE118:FM118),"")</f>
      </c>
      <c r="E118" s="96">
        <f>IF(H118=1,COUNT(R118:EY118,FE118:FM118),"")</f>
      </c>
      <c r="F118" s="96">
        <f>IF(H118=1,COUNT(T118:BJ118,BL118:BT118,BV118:CB118,CD118:EY118,FE118:FM118),"")</f>
      </c>
      <c r="G118" s="96">
        <f>IF($B118&gt;=1,$M118,"")</f>
      </c>
      <c r="H118" s="149">
        <f>IF(AND(M118&gt;0,M118&lt;=STATS!$C$22),1,"")</f>
      </c>
      <c r="J118" s="34">
        <v>117</v>
      </c>
      <c r="K118" s="165">
        <v>46.11928</v>
      </c>
      <c r="L118" s="165">
        <v>-91.21483</v>
      </c>
      <c r="M118" s="10">
        <v>18.5</v>
      </c>
      <c r="R118" s="17"/>
      <c r="S118" s="17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EZ118" s="146"/>
      <c r="FA118" s="146"/>
      <c r="FB118" s="146"/>
      <c r="FC118" s="146"/>
      <c r="FD118" s="146"/>
    </row>
    <row r="119" spans="2:160" ht="12.75">
      <c r="B119" s="96">
        <f>COUNT(R119:EY119,FE119:FM119)</f>
        <v>0</v>
      </c>
      <c r="C119" s="96">
        <f>IF(COUNT(R119:EY119,FE119:FM119)&gt;0,COUNT(R119:EY119,FE119:FM119),"")</f>
      </c>
      <c r="D119" s="96">
        <f>IF(COUNT(T119:BJ119,BL119:BT119,BV119:CB119,CD119:EY119,FE119:FM119)&gt;0,COUNT(T119:BJ119,BL119:BT119,BV119:CB119,CD119:EY119,FE119:FM119),"")</f>
      </c>
      <c r="E119" s="96">
        <f>IF(H119=1,COUNT(R119:EY119,FE119:FM119),"")</f>
        <v>0</v>
      </c>
      <c r="F119" s="96">
        <f>IF(H119=1,COUNT(T119:BJ119,BL119:BT119,BV119:CB119,CD119:EY119,FE119:FM119),"")</f>
        <v>0</v>
      </c>
      <c r="G119" s="96">
        <f>IF($B119&gt;=1,$M119,"")</f>
      </c>
      <c r="H119" s="149">
        <f>IF(AND(M119&gt;0,M119&lt;=STATS!$C$22),1,"")</f>
        <v>1</v>
      </c>
      <c r="J119" s="34">
        <v>118</v>
      </c>
      <c r="K119" s="165">
        <v>46.11928</v>
      </c>
      <c r="L119" s="165">
        <v>-91.21437</v>
      </c>
      <c r="M119" s="10">
        <v>12.5</v>
      </c>
      <c r="N119" s="10" t="s">
        <v>563</v>
      </c>
      <c r="O119" s="190" t="s">
        <v>648</v>
      </c>
      <c r="R119" s="17"/>
      <c r="S119" s="17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EZ119" s="146"/>
      <c r="FA119" s="146"/>
      <c r="FB119" s="146"/>
      <c r="FC119" s="146"/>
      <c r="FD119" s="146"/>
    </row>
    <row r="120" spans="2:160" ht="12.75">
      <c r="B120" s="96">
        <f>COUNT(R120:EY120,FE120:FM120)</f>
        <v>4</v>
      </c>
      <c r="C120" s="96">
        <f>IF(COUNT(R120:EY120,FE120:FM120)&gt;0,COUNT(R120:EY120,FE120:FM120),"")</f>
        <v>4</v>
      </c>
      <c r="D120" s="96">
        <f>IF(COUNT(T120:BJ120,BL120:BT120,BV120:CB120,CD120:EY120,FE120:FM120)&gt;0,COUNT(T120:BJ120,BL120:BT120,BV120:CB120,CD120:EY120,FE120:FM120),"")</f>
        <v>4</v>
      </c>
      <c r="E120" s="96">
        <f>IF(H120=1,COUNT(R120:EY120,FE120:FM120),"")</f>
        <v>4</v>
      </c>
      <c r="F120" s="96">
        <f>IF(H120=1,COUNT(T120:BJ120,BL120:BT120,BV120:CB120,CD120:EY120,FE120:FM120),"")</f>
        <v>4</v>
      </c>
      <c r="G120" s="96">
        <f>IF($B120&gt;=1,$M120,"")</f>
        <v>4.5</v>
      </c>
      <c r="H120" s="149">
        <f>IF(AND(M120&gt;0,M120&lt;=STATS!$C$22),1,"")</f>
        <v>1</v>
      </c>
      <c r="J120" s="34">
        <v>119</v>
      </c>
      <c r="K120" s="165">
        <v>46.11929</v>
      </c>
      <c r="L120" s="165">
        <v>-91.2139</v>
      </c>
      <c r="M120" s="10">
        <v>4.5</v>
      </c>
      <c r="N120" s="10" t="s">
        <v>565</v>
      </c>
      <c r="O120" s="190" t="s">
        <v>648</v>
      </c>
      <c r="Q120" s="10">
        <v>3</v>
      </c>
      <c r="R120" s="17"/>
      <c r="S120" s="17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BO120" s="10">
        <v>2</v>
      </c>
      <c r="CA120" s="10">
        <v>3</v>
      </c>
      <c r="CY120" s="10">
        <v>1</v>
      </c>
      <c r="DE120" s="10">
        <v>1</v>
      </c>
      <c r="EZ120" s="146"/>
      <c r="FA120" s="146"/>
      <c r="FB120" s="146"/>
      <c r="FC120" s="146"/>
      <c r="FD120" s="146"/>
    </row>
    <row r="121" spans="2:160" ht="12.75">
      <c r="B121" s="96">
        <f>COUNT(R121:EY121,FE121:FM121)</f>
        <v>0</v>
      </c>
      <c r="C121" s="96">
        <f>IF(COUNT(R121:EY121,FE121:FM121)&gt;0,COUNT(R121:EY121,FE121:FM121),"")</f>
      </c>
      <c r="D121" s="96">
        <f>IF(COUNT(T121:BJ121,BL121:BT121,BV121:CB121,CD121:EY121,FE121:FM121)&gt;0,COUNT(T121:BJ121,BL121:BT121,BV121:CB121,CD121:EY121,FE121:FM121),"")</f>
      </c>
      <c r="E121" s="96">
        <f>IF(H121=1,COUNT(R121:EY121,FE121:FM121),"")</f>
        <v>0</v>
      </c>
      <c r="F121" s="96">
        <f>IF(H121=1,COUNT(T121:BJ121,BL121:BT121,BV121:CB121,CD121:EY121,FE121:FM121),"")</f>
        <v>0</v>
      </c>
      <c r="G121" s="96">
        <f>IF($B121&gt;=1,$M121,"")</f>
      </c>
      <c r="H121" s="149">
        <f>IF(AND(M121&gt;0,M121&lt;=STATS!$C$22),1,"")</f>
        <v>1</v>
      </c>
      <c r="J121" s="34">
        <v>120</v>
      </c>
      <c r="K121" s="165">
        <v>46.11929</v>
      </c>
      <c r="L121" s="165">
        <v>-91.21343</v>
      </c>
      <c r="M121" s="10">
        <v>13</v>
      </c>
      <c r="N121" s="10" t="s">
        <v>563</v>
      </c>
      <c r="O121" s="190" t="s">
        <v>648</v>
      </c>
      <c r="R121" s="17"/>
      <c r="S121" s="17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EZ121" s="146"/>
      <c r="FA121" s="146"/>
      <c r="FB121" s="146"/>
      <c r="FC121" s="146"/>
      <c r="FD121" s="146"/>
    </row>
    <row r="122" spans="2:160" ht="12.75">
      <c r="B122" s="96">
        <f>COUNT(R122:EY122,FE122:FM122)</f>
        <v>0</v>
      </c>
      <c r="C122" s="96">
        <f>IF(COUNT(R122:EY122,FE122:FM122)&gt;0,COUNT(R122:EY122,FE122:FM122),"")</f>
      </c>
      <c r="D122" s="96">
        <f>IF(COUNT(T122:BJ122,BL122:BT122,BV122:CB122,CD122:EY122,FE122:FM122)&gt;0,COUNT(T122:BJ122,BL122:BT122,BV122:CB122,CD122:EY122,FE122:FM122),"")</f>
      </c>
      <c r="E122" s="96">
        <f>IF(H122=1,COUNT(R122:EY122,FE122:FM122),"")</f>
      </c>
      <c r="F122" s="96">
        <f>IF(H122=1,COUNT(T122:BJ122,BL122:BT122,BV122:CB122,CD122:EY122,FE122:FM122),"")</f>
      </c>
      <c r="G122" s="96">
        <f>IF($B122&gt;=1,$M122,"")</f>
      </c>
      <c r="H122" s="149">
        <f>IF(AND(M122&gt;0,M122&lt;=STATS!$C$22),1,"")</f>
      </c>
      <c r="J122" s="34">
        <v>121</v>
      </c>
      <c r="K122" s="165">
        <v>46.1193</v>
      </c>
      <c r="L122" s="165">
        <v>-91.21297</v>
      </c>
      <c r="M122" s="10">
        <v>16</v>
      </c>
      <c r="R122" s="17"/>
      <c r="S122" s="17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EZ122" s="146"/>
      <c r="FA122" s="146"/>
      <c r="FB122" s="146"/>
      <c r="FC122" s="146"/>
      <c r="FD122" s="146"/>
    </row>
    <row r="123" spans="2:160" ht="12.75">
      <c r="B123" s="96">
        <f>COUNT(R123:EY123,FE123:FM123)</f>
        <v>0</v>
      </c>
      <c r="C123" s="96">
        <f>IF(COUNT(R123:EY123,FE123:FM123)&gt;0,COUNT(R123:EY123,FE123:FM123),"")</f>
      </c>
      <c r="D123" s="96">
        <f>IF(COUNT(T123:BJ123,BL123:BT123,BV123:CB123,CD123:EY123,FE123:FM123)&gt;0,COUNT(T123:BJ123,BL123:BT123,BV123:CB123,CD123:EY123,FE123:FM123),"")</f>
      </c>
      <c r="E123" s="96">
        <f>IF(H123=1,COUNT(R123:EY123,FE123:FM123),"")</f>
      </c>
      <c r="F123" s="96">
        <f>IF(H123=1,COUNT(T123:BJ123,BL123:BT123,BV123:CB123,CD123:EY123,FE123:FM123),"")</f>
      </c>
      <c r="G123" s="96">
        <f>IF($B123&gt;=1,$M123,"")</f>
      </c>
      <c r="H123" s="149">
        <f>IF(AND(M123&gt;0,M123&lt;=STATS!$C$22),1,"")</f>
      </c>
      <c r="J123" s="34">
        <v>122</v>
      </c>
      <c r="K123" s="165">
        <v>46.1193</v>
      </c>
      <c r="L123" s="165">
        <v>-91.2125</v>
      </c>
      <c r="M123" s="10">
        <v>16</v>
      </c>
      <c r="R123" s="17"/>
      <c r="S123" s="17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EZ123" s="146"/>
      <c r="FA123" s="146"/>
      <c r="FB123" s="146"/>
      <c r="FC123" s="146"/>
      <c r="FD123" s="146"/>
    </row>
    <row r="124" spans="2:160" ht="12.75">
      <c r="B124" s="96">
        <f>COUNT(R124:EY124,FE124:FM124)</f>
        <v>0</v>
      </c>
      <c r="C124" s="96">
        <f>IF(COUNT(R124:EY124,FE124:FM124)&gt;0,COUNT(R124:EY124,FE124:FM124),"")</f>
      </c>
      <c r="D124" s="96">
        <f>IF(COUNT(T124:BJ124,BL124:BT124,BV124:CB124,CD124:EY124,FE124:FM124)&gt;0,COUNT(T124:BJ124,BL124:BT124,BV124:CB124,CD124:EY124,FE124:FM124),"")</f>
      </c>
      <c r="E124" s="96">
        <f>IF(H124=1,COUNT(R124:EY124,FE124:FM124),"")</f>
      </c>
      <c r="F124" s="96">
        <f>IF(H124=1,COUNT(T124:BJ124,BL124:BT124,BV124:CB124,CD124:EY124,FE124:FM124),"")</f>
      </c>
      <c r="G124" s="96">
        <f>IF($B124&gt;=1,$M124,"")</f>
      </c>
      <c r="H124" s="149">
        <f>IF(AND(M124&gt;0,M124&lt;=STATS!$C$22),1,"")</f>
      </c>
      <c r="J124" s="34">
        <v>123</v>
      </c>
      <c r="K124" s="165">
        <v>46.11931</v>
      </c>
      <c r="L124" s="165">
        <v>-91.21204</v>
      </c>
      <c r="M124" s="10">
        <v>15.5</v>
      </c>
      <c r="R124" s="17"/>
      <c r="S124" s="17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EZ124" s="146"/>
      <c r="FA124" s="146"/>
      <c r="FB124" s="146"/>
      <c r="FC124" s="146"/>
      <c r="FD124" s="146"/>
    </row>
    <row r="125" spans="2:160" ht="12.75">
      <c r="B125" s="96">
        <f>COUNT(R125:EY125,FE125:FM125)</f>
        <v>0</v>
      </c>
      <c r="C125" s="96">
        <f>IF(COUNT(R125:EY125,FE125:FM125)&gt;0,COUNT(R125:EY125,FE125:FM125),"")</f>
      </c>
      <c r="D125" s="96">
        <f>IF(COUNT(T125:BJ125,BL125:BT125,BV125:CB125,CD125:EY125,FE125:FM125)&gt;0,COUNT(T125:BJ125,BL125:BT125,BV125:CB125,CD125:EY125,FE125:FM125),"")</f>
      </c>
      <c r="E125" s="96">
        <f>IF(H125=1,COUNT(R125:EY125,FE125:FM125),"")</f>
        <v>0</v>
      </c>
      <c r="F125" s="96">
        <f>IF(H125=1,COUNT(T125:BJ125,BL125:BT125,BV125:CB125,CD125:EY125,FE125:FM125),"")</f>
        <v>0</v>
      </c>
      <c r="G125" s="96">
        <f>IF($B125&gt;=1,$M125,"")</f>
      </c>
      <c r="H125" s="149">
        <f>IF(AND(M125&gt;0,M125&lt;=STATS!$C$22),1,"")</f>
        <v>1</v>
      </c>
      <c r="J125" s="34">
        <v>124</v>
      </c>
      <c r="K125" s="165">
        <v>46.11931</v>
      </c>
      <c r="L125" s="165">
        <v>-91.21157</v>
      </c>
      <c r="M125" s="10">
        <v>12</v>
      </c>
      <c r="N125" s="10" t="s">
        <v>563</v>
      </c>
      <c r="O125" s="190" t="s">
        <v>648</v>
      </c>
      <c r="R125" s="17"/>
      <c r="S125" s="17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EZ125" s="146"/>
      <c r="FA125" s="146"/>
      <c r="FB125" s="146"/>
      <c r="FC125" s="146"/>
      <c r="FD125" s="146"/>
    </row>
    <row r="126" spans="2:160" ht="12.75">
      <c r="B126" s="96">
        <f>COUNT(R126:EY126,FE126:FM126)</f>
        <v>1</v>
      </c>
      <c r="C126" s="96">
        <f>IF(COUNT(R126:EY126,FE126:FM126)&gt;0,COUNT(R126:EY126,FE126:FM126),"")</f>
        <v>1</v>
      </c>
      <c r="D126" s="96">
        <f>IF(COUNT(T126:BJ126,BL126:BT126,BV126:CB126,CD126:EY126,FE126:FM126)&gt;0,COUNT(T126:BJ126,BL126:BT126,BV126:CB126,CD126:EY126,FE126:FM126),"")</f>
        <v>1</v>
      </c>
      <c r="E126" s="96">
        <f>IF(H126=1,COUNT(R126:EY126,FE126:FM126),"")</f>
        <v>1</v>
      </c>
      <c r="F126" s="96">
        <f>IF(H126=1,COUNT(T126:BJ126,BL126:BT126,BV126:CB126,CD126:EY126,FE126:FM126),"")</f>
        <v>1</v>
      </c>
      <c r="G126" s="96">
        <f>IF($B126&gt;=1,$M126,"")</f>
        <v>9</v>
      </c>
      <c r="H126" s="149">
        <f>IF(AND(M126&gt;0,M126&lt;=STATS!$C$22),1,"")</f>
        <v>1</v>
      </c>
      <c r="J126" s="34">
        <v>125</v>
      </c>
      <c r="K126" s="165">
        <v>46.11932</v>
      </c>
      <c r="L126" s="165">
        <v>-91.2111</v>
      </c>
      <c r="M126" s="10">
        <v>9</v>
      </c>
      <c r="N126" s="10" t="s">
        <v>563</v>
      </c>
      <c r="O126" s="190" t="s">
        <v>648</v>
      </c>
      <c r="Q126" s="10">
        <v>1</v>
      </c>
      <c r="R126" s="17"/>
      <c r="S126" s="17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>
        <v>1</v>
      </c>
      <c r="AF126" s="36"/>
      <c r="AG126" s="36"/>
      <c r="AH126" s="36"/>
      <c r="EZ126" s="146"/>
      <c r="FA126" s="146"/>
      <c r="FB126" s="146"/>
      <c r="FC126" s="146"/>
      <c r="FD126" s="146"/>
    </row>
    <row r="127" spans="2:160" ht="12.75">
      <c r="B127" s="96">
        <f>COUNT(R127:EY127,FE127:FM127)</f>
        <v>0</v>
      </c>
      <c r="C127" s="96">
        <f>IF(COUNT(R127:EY127,FE127:FM127)&gt;0,COUNT(R127:EY127,FE127:FM127),"")</f>
      </c>
      <c r="D127" s="96">
        <f>IF(COUNT(T127:BJ127,BL127:BT127,BV127:CB127,CD127:EY127,FE127:FM127)&gt;0,COUNT(T127:BJ127,BL127:BT127,BV127:CB127,CD127:EY127,FE127:FM127),"")</f>
      </c>
      <c r="E127" s="96">
        <f>IF(H127=1,COUNT(R127:EY127,FE127:FM127),"")</f>
      </c>
      <c r="F127" s="96">
        <f>IF(H127=1,COUNT(T127:BJ127,BL127:BT127,BV127:CB127,CD127:EY127,FE127:FM127),"")</f>
      </c>
      <c r="G127" s="96">
        <f>IF($B127&gt;=1,$M127,"")</f>
      </c>
      <c r="H127" s="149">
        <f>IF(AND(M127&gt;0,M127&lt;=STATS!$C$22),1,"")</f>
      </c>
      <c r="J127" s="34">
        <v>126</v>
      </c>
      <c r="K127" s="165">
        <v>46.11957</v>
      </c>
      <c r="L127" s="165">
        <v>-91.21763</v>
      </c>
      <c r="M127" s="10">
        <v>16</v>
      </c>
      <c r="R127" s="17"/>
      <c r="S127" s="17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EZ127" s="146"/>
      <c r="FA127" s="146"/>
      <c r="FB127" s="146"/>
      <c r="FC127" s="146"/>
      <c r="FD127" s="146"/>
    </row>
    <row r="128" spans="2:160" ht="12.75">
      <c r="B128" s="96">
        <f>COUNT(R128:EY128,FE128:FM128)</f>
        <v>0</v>
      </c>
      <c r="C128" s="96">
        <f>IF(COUNT(R128:EY128,FE128:FM128)&gt;0,COUNT(R128:EY128,FE128:FM128),"")</f>
      </c>
      <c r="D128" s="96">
        <f>IF(COUNT(T128:BJ128,BL128:BT128,BV128:CB128,CD128:EY128,FE128:FM128)&gt;0,COUNT(T128:BJ128,BL128:BT128,BV128:CB128,CD128:EY128,FE128:FM128),"")</f>
      </c>
      <c r="E128" s="96">
        <f>IF(H128=1,COUNT(R128:EY128,FE128:FM128),"")</f>
      </c>
      <c r="F128" s="96">
        <f>IF(H128=1,COUNT(T128:BJ128,BL128:BT128,BV128:CB128,CD128:EY128,FE128:FM128),"")</f>
      </c>
      <c r="G128" s="96">
        <f>IF($B128&gt;=1,$M128,"")</f>
      </c>
      <c r="H128" s="149">
        <f>IF(AND(M128&gt;0,M128&lt;=STATS!$C$22),1,"")</f>
      </c>
      <c r="J128" s="34">
        <v>127</v>
      </c>
      <c r="K128" s="165">
        <v>46.11958</v>
      </c>
      <c r="L128" s="165">
        <v>-91.21717</v>
      </c>
      <c r="M128" s="10">
        <v>29</v>
      </c>
      <c r="R128" s="17"/>
      <c r="S128" s="17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EZ128" s="146"/>
      <c r="FA128" s="146"/>
      <c r="FB128" s="146"/>
      <c r="FC128" s="146"/>
      <c r="FD128" s="146"/>
    </row>
    <row r="129" spans="2:160" ht="12.75">
      <c r="B129" s="96">
        <f>COUNT(R129:EY129,FE129:FM129)</f>
        <v>0</v>
      </c>
      <c r="C129" s="96">
        <f>IF(COUNT(R129:EY129,FE129:FM129)&gt;0,COUNT(R129:EY129,FE129:FM129),"")</f>
      </c>
      <c r="D129" s="96">
        <f>IF(COUNT(T129:BJ129,BL129:BT129,BV129:CB129,CD129:EY129,FE129:FM129)&gt;0,COUNT(T129:BJ129,BL129:BT129,BV129:CB129,CD129:EY129,FE129:FM129),"")</f>
      </c>
      <c r="E129" s="96">
        <f>IF(H129=1,COUNT(R129:EY129,FE129:FM129),"")</f>
      </c>
      <c r="F129" s="96">
        <f>IF(H129=1,COUNT(T129:BJ129,BL129:BT129,BV129:CB129,CD129:EY129,FE129:FM129),"")</f>
      </c>
      <c r="G129" s="96">
        <f>IF($B129&gt;=1,$M129,"")</f>
      </c>
      <c r="H129" s="149">
        <f>IF(AND(M129&gt;0,M129&lt;=STATS!$C$22),1,"")</f>
      </c>
      <c r="J129" s="34">
        <v>128</v>
      </c>
      <c r="K129" s="165">
        <v>46.11958</v>
      </c>
      <c r="L129" s="165">
        <v>-91.2167</v>
      </c>
      <c r="M129" s="10">
        <v>29</v>
      </c>
      <c r="R129" s="17"/>
      <c r="S129" s="17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EZ129" s="146"/>
      <c r="FA129" s="146"/>
      <c r="FB129" s="146"/>
      <c r="FC129" s="146"/>
      <c r="FD129" s="146"/>
    </row>
    <row r="130" spans="2:160" ht="12.75">
      <c r="B130" s="96">
        <f>COUNT(R130:EY130,FE130:FM130)</f>
        <v>0</v>
      </c>
      <c r="C130" s="96">
        <f>IF(COUNT(R130:EY130,FE130:FM130)&gt;0,COUNT(R130:EY130,FE130:FM130),"")</f>
      </c>
      <c r="D130" s="96">
        <f>IF(COUNT(T130:BJ130,BL130:BT130,BV130:CB130,CD130:EY130,FE130:FM130)&gt;0,COUNT(T130:BJ130,BL130:BT130,BV130:CB130,CD130:EY130,FE130:FM130),"")</f>
      </c>
      <c r="E130" s="96">
        <f>IF(H130=1,COUNT(R130:EY130,FE130:FM130),"")</f>
      </c>
      <c r="F130" s="96">
        <f>IF(H130=1,COUNT(T130:BJ130,BL130:BT130,BV130:CB130,CD130:EY130,FE130:FM130),"")</f>
      </c>
      <c r="G130" s="96">
        <f>IF($B130&gt;=1,$M130,"")</f>
      </c>
      <c r="H130" s="149">
        <f>IF(AND(M130&gt;0,M130&lt;=STATS!$C$22),1,"")</f>
      </c>
      <c r="J130" s="34">
        <v>129</v>
      </c>
      <c r="K130" s="165">
        <v>46.11959</v>
      </c>
      <c r="L130" s="165">
        <v>-91.21624</v>
      </c>
      <c r="M130" s="10">
        <v>29</v>
      </c>
      <c r="R130" s="17"/>
      <c r="S130" s="17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EZ130" s="146"/>
      <c r="FA130" s="146"/>
      <c r="FB130" s="146"/>
      <c r="FC130" s="146"/>
      <c r="FD130" s="146"/>
    </row>
    <row r="131" spans="2:160" ht="12.75">
      <c r="B131" s="96">
        <f>COUNT(R131:EY131,FE131:FM131)</f>
        <v>0</v>
      </c>
      <c r="C131" s="96">
        <f>IF(COUNT(R131:EY131,FE131:FM131)&gt;0,COUNT(R131:EY131,FE131:FM131),"")</f>
      </c>
      <c r="D131" s="96">
        <f>IF(COUNT(T131:BJ131,BL131:BT131,BV131:CB131,CD131:EY131,FE131:FM131)&gt;0,COUNT(T131:BJ131,BL131:BT131,BV131:CB131,CD131:EY131,FE131:FM131),"")</f>
      </c>
      <c r="E131" s="96">
        <f>IF(H131=1,COUNT(R131:EY131,FE131:FM131),"")</f>
      </c>
      <c r="F131" s="96">
        <f>IF(H131=1,COUNT(T131:BJ131,BL131:BT131,BV131:CB131,CD131:EY131,FE131:FM131),"")</f>
      </c>
      <c r="G131" s="96">
        <f>IF($B131&gt;=1,$M131,"")</f>
      </c>
      <c r="H131" s="149">
        <f>IF(AND(M131&gt;0,M131&lt;=STATS!$C$22),1,"")</f>
      </c>
      <c r="J131" s="34">
        <v>130</v>
      </c>
      <c r="K131" s="165">
        <v>46.11959</v>
      </c>
      <c r="L131" s="165">
        <v>-91.21577</v>
      </c>
      <c r="M131" s="10">
        <v>29</v>
      </c>
      <c r="R131" s="17"/>
      <c r="S131" s="17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EZ131" s="146"/>
      <c r="FA131" s="146"/>
      <c r="FB131" s="146"/>
      <c r="FC131" s="146"/>
      <c r="FD131" s="146"/>
    </row>
    <row r="132" spans="2:160" ht="12.75">
      <c r="B132" s="96">
        <f>COUNT(R132:EY132,FE132:FM132)</f>
        <v>0</v>
      </c>
      <c r="C132" s="96">
        <f>IF(COUNT(R132:EY132,FE132:FM132)&gt;0,COUNT(R132:EY132,FE132:FM132),"")</f>
      </c>
      <c r="D132" s="96">
        <f>IF(COUNT(T132:BJ132,BL132:BT132,BV132:CB132,CD132:EY132,FE132:FM132)&gt;0,COUNT(T132:BJ132,BL132:BT132,BV132:CB132,CD132:EY132,FE132:FM132),"")</f>
      </c>
      <c r="E132" s="96">
        <f>IF(H132=1,COUNT(R132:EY132,FE132:FM132),"")</f>
      </c>
      <c r="F132" s="96">
        <f>IF(H132=1,COUNT(T132:BJ132,BL132:BT132,BV132:CB132,CD132:EY132,FE132:FM132),"")</f>
      </c>
      <c r="G132" s="96">
        <f>IF($B132&gt;=1,$M132,"")</f>
      </c>
      <c r="H132" s="149">
        <f>IF(AND(M132&gt;0,M132&lt;=STATS!$C$22),1,"")</f>
      </c>
      <c r="J132" s="34">
        <v>131</v>
      </c>
      <c r="K132" s="165">
        <v>46.1196</v>
      </c>
      <c r="L132" s="165">
        <v>-91.2153</v>
      </c>
      <c r="M132" s="10">
        <v>28.5</v>
      </c>
      <c r="R132" s="17"/>
      <c r="S132" s="17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EZ132" s="146"/>
      <c r="FA132" s="146"/>
      <c r="FB132" s="146"/>
      <c r="FC132" s="146"/>
      <c r="FD132" s="146"/>
    </row>
    <row r="133" spans="2:160" ht="12.75">
      <c r="B133" s="96">
        <f>COUNT(R133:EY133,FE133:FM133)</f>
        <v>0</v>
      </c>
      <c r="C133" s="96">
        <f>IF(COUNT(R133:EY133,FE133:FM133)&gt;0,COUNT(R133:EY133,FE133:FM133),"")</f>
      </c>
      <c r="D133" s="96">
        <f>IF(COUNT(T133:BJ133,BL133:BT133,BV133:CB133,CD133:EY133,FE133:FM133)&gt;0,COUNT(T133:BJ133,BL133:BT133,BV133:CB133,CD133:EY133,FE133:FM133),"")</f>
      </c>
      <c r="E133" s="96">
        <f>IF(H133=1,COUNT(R133:EY133,FE133:FM133),"")</f>
      </c>
      <c r="F133" s="96">
        <f>IF(H133=1,COUNT(T133:BJ133,BL133:BT133,BV133:CB133,CD133:EY133,FE133:FM133),"")</f>
      </c>
      <c r="G133" s="96">
        <f>IF($B133&gt;=1,$M133,"")</f>
      </c>
      <c r="H133" s="149">
        <f>IF(AND(M133&gt;0,M133&lt;=STATS!$C$22),1,"")</f>
      </c>
      <c r="J133" s="34">
        <v>132</v>
      </c>
      <c r="K133" s="165">
        <v>46.1196</v>
      </c>
      <c r="L133" s="165">
        <v>-91.21484</v>
      </c>
      <c r="M133" s="10">
        <v>20</v>
      </c>
      <c r="R133" s="17"/>
      <c r="S133" s="17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EZ133" s="146"/>
      <c r="FA133" s="146"/>
      <c r="FB133" s="146"/>
      <c r="FC133" s="146"/>
      <c r="FD133" s="146"/>
    </row>
    <row r="134" spans="2:160" ht="12.75">
      <c r="B134" s="96">
        <f>COUNT(R134:EY134,FE134:FM134)</f>
        <v>1</v>
      </c>
      <c r="C134" s="96">
        <f>IF(COUNT(R134:EY134,FE134:FM134)&gt;0,COUNT(R134:EY134,FE134:FM134),"")</f>
        <v>1</v>
      </c>
      <c r="D134" s="96">
        <f>IF(COUNT(T134:BJ134,BL134:BT134,BV134:CB134,CD134:EY134,FE134:FM134)&gt;0,COUNT(T134:BJ134,BL134:BT134,BV134:CB134,CD134:EY134,FE134:FM134),"")</f>
        <v>1</v>
      </c>
      <c r="E134" s="96">
        <f>IF(H134=1,COUNT(R134:EY134,FE134:FM134),"")</f>
        <v>1</v>
      </c>
      <c r="F134" s="96">
        <f>IF(H134=1,COUNT(T134:BJ134,BL134:BT134,BV134:CB134,CD134:EY134,FE134:FM134),"")</f>
        <v>1</v>
      </c>
      <c r="G134" s="96">
        <f>IF($B134&gt;=1,$M134,"")</f>
        <v>12</v>
      </c>
      <c r="H134" s="149">
        <f>IF(AND(M134&gt;0,M134&lt;=STATS!$C$22),1,"")</f>
        <v>1</v>
      </c>
      <c r="J134" s="34">
        <v>133</v>
      </c>
      <c r="K134" s="165">
        <v>46.11961</v>
      </c>
      <c r="L134" s="165">
        <v>-91.21437</v>
      </c>
      <c r="M134" s="10">
        <v>12</v>
      </c>
      <c r="N134" s="10" t="s">
        <v>565</v>
      </c>
      <c r="O134" s="190" t="s">
        <v>648</v>
      </c>
      <c r="Q134" s="10">
        <v>1</v>
      </c>
      <c r="R134" s="17"/>
      <c r="S134" s="17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>
        <v>1</v>
      </c>
      <c r="AF134" s="36"/>
      <c r="AG134" s="36"/>
      <c r="AH134" s="36"/>
      <c r="EZ134" s="146"/>
      <c r="FA134" s="146"/>
      <c r="FB134" s="146"/>
      <c r="FC134" s="146"/>
      <c r="FD134" s="146"/>
    </row>
    <row r="135" spans="2:160" ht="12.75">
      <c r="B135" s="96">
        <f>COUNT(R135:EY135,FE135:FM135)</f>
        <v>6</v>
      </c>
      <c r="C135" s="96">
        <f>IF(COUNT(R135:EY135,FE135:FM135)&gt;0,COUNT(R135:EY135,FE135:FM135),"")</f>
        <v>6</v>
      </c>
      <c r="D135" s="96">
        <f>IF(COUNT(T135:BJ135,BL135:BT135,BV135:CB135,CD135:EY135,FE135:FM135)&gt;0,COUNT(T135:BJ135,BL135:BT135,BV135:CB135,CD135:EY135,FE135:FM135),"")</f>
        <v>6</v>
      </c>
      <c r="E135" s="96">
        <f>IF(H135=1,COUNT(R135:EY135,FE135:FM135),"")</f>
        <v>6</v>
      </c>
      <c r="F135" s="96">
        <f>IF(H135=1,COUNT(T135:BJ135,BL135:BT135,BV135:CB135,CD135:EY135,FE135:FM135),"")</f>
        <v>6</v>
      </c>
      <c r="G135" s="96">
        <f>IF($B135&gt;=1,$M135,"")</f>
        <v>3.5</v>
      </c>
      <c r="H135" s="149">
        <f>IF(AND(M135&gt;0,M135&lt;=STATS!$C$22),1,"")</f>
        <v>1</v>
      </c>
      <c r="J135" s="34">
        <v>134</v>
      </c>
      <c r="K135" s="165">
        <v>46.11961</v>
      </c>
      <c r="L135" s="165">
        <v>-91.21391</v>
      </c>
      <c r="M135" s="10">
        <v>3.5</v>
      </c>
      <c r="N135" s="10" t="s">
        <v>565</v>
      </c>
      <c r="O135" s="190" t="s">
        <v>648</v>
      </c>
      <c r="Q135" s="10">
        <v>3</v>
      </c>
      <c r="R135" s="17"/>
      <c r="S135" s="17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>
        <v>1</v>
      </c>
      <c r="AF135" s="36"/>
      <c r="AG135" s="36"/>
      <c r="AH135" s="36"/>
      <c r="AQ135" s="10">
        <v>1</v>
      </c>
      <c r="BO135" s="10">
        <v>1</v>
      </c>
      <c r="CA135" s="10">
        <v>3</v>
      </c>
      <c r="CY135" s="10">
        <v>1</v>
      </c>
      <c r="DE135" s="10">
        <v>1</v>
      </c>
      <c r="EZ135" s="146"/>
      <c r="FA135" s="146"/>
      <c r="FB135" s="146"/>
      <c r="FC135" s="146"/>
      <c r="FD135" s="146"/>
    </row>
    <row r="136" spans="2:160" ht="12.75">
      <c r="B136" s="96">
        <f>COUNT(R136:EY136,FE136:FM136)</f>
        <v>0</v>
      </c>
      <c r="C136" s="96">
        <f>IF(COUNT(R136:EY136,FE136:FM136)&gt;0,COUNT(R136:EY136,FE136:FM136),"")</f>
      </c>
      <c r="D136" s="96">
        <f>IF(COUNT(T136:BJ136,BL136:BT136,BV136:CB136,CD136:EY136,FE136:FM136)&gt;0,COUNT(T136:BJ136,BL136:BT136,BV136:CB136,CD136:EY136,FE136:FM136),"")</f>
      </c>
      <c r="E136" s="96">
        <f>IF(H136=1,COUNT(R136:EY136,FE136:FM136),"")</f>
        <v>0</v>
      </c>
      <c r="F136" s="96">
        <f>IF(H136=1,COUNT(T136:BJ136,BL136:BT136,BV136:CB136,CD136:EY136,FE136:FM136),"")</f>
        <v>0</v>
      </c>
      <c r="G136" s="96">
        <f>IF($B136&gt;=1,$M136,"")</f>
      </c>
      <c r="H136" s="149">
        <f>IF(AND(M136&gt;0,M136&lt;=STATS!$C$22),1,"")</f>
        <v>1</v>
      </c>
      <c r="J136" s="34">
        <v>135</v>
      </c>
      <c r="K136" s="165">
        <v>46.11962</v>
      </c>
      <c r="L136" s="165">
        <v>-91.21344</v>
      </c>
      <c r="M136" s="10">
        <v>8.5</v>
      </c>
      <c r="N136" s="10" t="s">
        <v>563</v>
      </c>
      <c r="O136" s="190" t="s">
        <v>648</v>
      </c>
      <c r="R136" s="17"/>
      <c r="S136" s="17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EZ136" s="146"/>
      <c r="FA136" s="146"/>
      <c r="FB136" s="146"/>
      <c r="FC136" s="146"/>
      <c r="FD136" s="146"/>
    </row>
    <row r="137" spans="2:160" ht="12.75">
      <c r="B137" s="96">
        <f>COUNT(R137:EY137,FE137:FM137)</f>
        <v>0</v>
      </c>
      <c r="C137" s="96">
        <f>IF(COUNT(R137:EY137,FE137:FM137)&gt;0,COUNT(R137:EY137,FE137:FM137),"")</f>
      </c>
      <c r="D137" s="96">
        <f>IF(COUNT(T137:BJ137,BL137:BT137,BV137:CB137,CD137:EY137,FE137:FM137)&gt;0,COUNT(T137:BJ137,BL137:BT137,BV137:CB137,CD137:EY137,FE137:FM137),"")</f>
      </c>
      <c r="E137" s="96">
        <f>IF(H137=1,COUNT(R137:EY137,FE137:FM137),"")</f>
      </c>
      <c r="F137" s="96">
        <f>IF(H137=1,COUNT(T137:BJ137,BL137:BT137,BV137:CB137,CD137:EY137,FE137:FM137),"")</f>
      </c>
      <c r="G137" s="96">
        <f>IF($B137&gt;=1,$M137,"")</f>
      </c>
      <c r="H137" s="149">
        <f>IF(AND(M137&gt;0,M137&lt;=STATS!$C$22),1,"")</f>
      </c>
      <c r="J137" s="34">
        <v>136</v>
      </c>
      <c r="K137" s="165">
        <v>46.11962</v>
      </c>
      <c r="L137" s="165">
        <v>-91.21297</v>
      </c>
      <c r="M137" s="10">
        <v>15.5</v>
      </c>
      <c r="R137" s="17"/>
      <c r="S137" s="17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EZ137" s="146"/>
      <c r="FA137" s="146"/>
      <c r="FB137" s="146"/>
      <c r="FC137" s="146"/>
      <c r="FD137" s="146"/>
    </row>
    <row r="138" spans="2:160" ht="12.75">
      <c r="B138" s="96">
        <f>COUNT(R138:EY138,FE138:FM138)</f>
        <v>0</v>
      </c>
      <c r="C138" s="96">
        <f>IF(COUNT(R138:EY138,FE138:FM138)&gt;0,COUNT(R138:EY138,FE138:FM138),"")</f>
      </c>
      <c r="D138" s="96">
        <f>IF(COUNT(T138:BJ138,BL138:BT138,BV138:CB138,CD138:EY138,FE138:FM138)&gt;0,COUNT(T138:BJ138,BL138:BT138,BV138:CB138,CD138:EY138,FE138:FM138),"")</f>
      </c>
      <c r="E138" s="96">
        <f>IF(H138=1,COUNT(R138:EY138,FE138:FM138),"")</f>
      </c>
      <c r="F138" s="96">
        <f>IF(H138=1,COUNT(T138:BJ138,BL138:BT138,BV138:CB138,CD138:EY138,FE138:FM138),"")</f>
      </c>
      <c r="G138" s="96">
        <f>IF($B138&gt;=1,$M138,"")</f>
      </c>
      <c r="H138" s="149">
        <f>IF(AND(M138&gt;0,M138&lt;=STATS!$C$22),1,"")</f>
      </c>
      <c r="J138" s="34">
        <v>137</v>
      </c>
      <c r="K138" s="165">
        <v>46.11963</v>
      </c>
      <c r="L138" s="165">
        <v>-91.21251</v>
      </c>
      <c r="M138" s="10">
        <v>15.5</v>
      </c>
      <c r="R138" s="17"/>
      <c r="S138" s="17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EZ138" s="146"/>
      <c r="FA138" s="146"/>
      <c r="FB138" s="146"/>
      <c r="FC138" s="146"/>
      <c r="FD138" s="146"/>
    </row>
    <row r="139" spans="2:160" ht="12.75">
      <c r="B139" s="96">
        <f>COUNT(R139:EY139,FE139:FM139)</f>
        <v>0</v>
      </c>
      <c r="C139" s="96">
        <f>IF(COUNT(R139:EY139,FE139:FM139)&gt;0,COUNT(R139:EY139,FE139:FM139),"")</f>
      </c>
      <c r="D139" s="96">
        <f>IF(COUNT(T139:BJ139,BL139:BT139,BV139:CB139,CD139:EY139,FE139:FM139)&gt;0,COUNT(T139:BJ139,BL139:BT139,BV139:CB139,CD139:EY139,FE139:FM139),"")</f>
      </c>
      <c r="E139" s="96">
        <f>IF(H139=1,COUNT(R139:EY139,FE139:FM139),"")</f>
      </c>
      <c r="F139" s="96">
        <f>IF(H139=1,COUNT(T139:BJ139,BL139:BT139,BV139:CB139,CD139:EY139,FE139:FM139),"")</f>
      </c>
      <c r="G139" s="96">
        <f>IF($B139&gt;=1,$M139,"")</f>
      </c>
      <c r="H139" s="149">
        <f>IF(AND(M139&gt;0,M139&lt;=STATS!$C$22),1,"")</f>
      </c>
      <c r="J139" s="34">
        <v>138</v>
      </c>
      <c r="K139" s="165">
        <v>46.11963</v>
      </c>
      <c r="L139" s="165">
        <v>-91.21204</v>
      </c>
      <c r="M139" s="10">
        <v>15.5</v>
      </c>
      <c r="R139" s="17"/>
      <c r="S139" s="17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EZ139" s="146"/>
      <c r="FA139" s="146"/>
      <c r="FB139" s="146"/>
      <c r="FC139" s="146"/>
      <c r="FD139" s="146"/>
    </row>
    <row r="140" spans="2:160" ht="12.75">
      <c r="B140" s="96">
        <f>COUNT(R140:EY140,FE140:FM140)</f>
        <v>3</v>
      </c>
      <c r="C140" s="96">
        <f>IF(COUNT(R140:EY140,FE140:FM140)&gt;0,COUNT(R140:EY140,FE140:FM140),"")</f>
        <v>3</v>
      </c>
      <c r="D140" s="96">
        <f>IF(COUNT(T140:BJ140,BL140:BT140,BV140:CB140,CD140:EY140,FE140:FM140)&gt;0,COUNT(T140:BJ140,BL140:BT140,BV140:CB140,CD140:EY140,FE140:FM140),"")</f>
        <v>3</v>
      </c>
      <c r="E140" s="96">
        <f>IF(H140=1,COUNT(R140:EY140,FE140:FM140),"")</f>
        <v>3</v>
      </c>
      <c r="F140" s="96">
        <f>IF(H140=1,COUNT(T140:BJ140,BL140:BT140,BV140:CB140,CD140:EY140,FE140:FM140),"")</f>
        <v>3</v>
      </c>
      <c r="G140" s="96">
        <f>IF($B140&gt;=1,$M140,"")</f>
        <v>8.5</v>
      </c>
      <c r="H140" s="149">
        <f>IF(AND(M140&gt;0,M140&lt;=STATS!$C$22),1,"")</f>
        <v>1</v>
      </c>
      <c r="J140" s="34">
        <v>139</v>
      </c>
      <c r="K140" s="165">
        <v>46.11964</v>
      </c>
      <c r="L140" s="165">
        <v>-91.21158</v>
      </c>
      <c r="M140" s="10">
        <v>8.5</v>
      </c>
      <c r="N140" s="10" t="s">
        <v>563</v>
      </c>
      <c r="O140" s="190" t="s">
        <v>648</v>
      </c>
      <c r="Q140" s="10">
        <v>3</v>
      </c>
      <c r="R140" s="17"/>
      <c r="S140" s="17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BW140" s="10">
        <v>3</v>
      </c>
      <c r="CW140" s="10">
        <v>1</v>
      </c>
      <c r="DE140" s="10" t="s">
        <v>566</v>
      </c>
      <c r="ER140" s="10">
        <v>2</v>
      </c>
      <c r="EZ140" s="146"/>
      <c r="FA140" s="146"/>
      <c r="FB140" s="146"/>
      <c r="FC140" s="146"/>
      <c r="FD140" s="146"/>
    </row>
    <row r="141" spans="2:160" ht="12.75">
      <c r="B141" s="96">
        <f>COUNT(R141:EY141,FE141:FM141)</f>
        <v>8</v>
      </c>
      <c r="C141" s="96">
        <f>IF(COUNT(R141:EY141,FE141:FM141)&gt;0,COUNT(R141:EY141,FE141:FM141),"")</f>
        <v>8</v>
      </c>
      <c r="D141" s="96">
        <f>IF(COUNT(T141:BJ141,BL141:BT141,BV141:CB141,CD141:EY141,FE141:FM141)&gt;0,COUNT(T141:BJ141,BL141:BT141,BV141:CB141,CD141:EY141,FE141:FM141),"")</f>
        <v>8</v>
      </c>
      <c r="E141" s="96">
        <f>IF(H141=1,COUNT(R141:EY141,FE141:FM141),"")</f>
        <v>8</v>
      </c>
      <c r="F141" s="96">
        <f>IF(H141=1,COUNT(T141:BJ141,BL141:BT141,BV141:CB141,CD141:EY141,FE141:FM141),"")</f>
        <v>8</v>
      </c>
      <c r="G141" s="96">
        <f>IF($B141&gt;=1,$M141,"")</f>
        <v>2.5</v>
      </c>
      <c r="H141" s="149">
        <f>IF(AND(M141&gt;0,M141&lt;=STATS!$C$22),1,"")</f>
        <v>1</v>
      </c>
      <c r="J141" s="34">
        <v>140</v>
      </c>
      <c r="K141" s="165">
        <v>46.11964</v>
      </c>
      <c r="L141" s="165">
        <v>-91.21111</v>
      </c>
      <c r="M141" s="10">
        <v>2.5</v>
      </c>
      <c r="N141" s="10" t="s">
        <v>563</v>
      </c>
      <c r="O141" s="190" t="s">
        <v>648</v>
      </c>
      <c r="Q141" s="10">
        <v>3</v>
      </c>
      <c r="R141" s="17"/>
      <c r="S141" s="17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>
        <v>1</v>
      </c>
      <c r="AF141" s="36"/>
      <c r="AG141" s="36">
        <v>1</v>
      </c>
      <c r="AH141" s="36"/>
      <c r="AW141" s="10">
        <v>1</v>
      </c>
      <c r="CA141" s="10">
        <v>2</v>
      </c>
      <c r="CB141" s="10">
        <v>1</v>
      </c>
      <c r="CG141" s="10">
        <v>3</v>
      </c>
      <c r="DA141" s="10">
        <v>1</v>
      </c>
      <c r="DE141" s="10">
        <v>1</v>
      </c>
      <c r="EZ141" s="146"/>
      <c r="FA141" s="146"/>
      <c r="FB141" s="146"/>
      <c r="FC141" s="146"/>
      <c r="FD141" s="146"/>
    </row>
    <row r="142" spans="2:160" ht="12.75">
      <c r="B142" s="96">
        <f>COUNT(R142:EY142,FE142:FM142)</f>
        <v>0</v>
      </c>
      <c r="C142" s="96">
        <f>IF(COUNT(R142:EY142,FE142:FM142)&gt;0,COUNT(R142:EY142,FE142:FM142),"")</f>
      </c>
      <c r="D142" s="96">
        <f>IF(COUNT(T142:BJ142,BL142:BT142,BV142:CB142,CD142:EY142,FE142:FM142)&gt;0,COUNT(T142:BJ142,BL142:BT142,BV142:CB142,CD142:EY142,FE142:FM142),"")</f>
      </c>
      <c r="E142" s="96">
        <f>IF(H142=1,COUNT(R142:EY142,FE142:FM142),"")</f>
      </c>
      <c r="F142" s="96">
        <f>IF(H142=1,COUNT(T142:BJ142,BL142:BT142,BV142:CB142,CD142:EY142,FE142:FM142),"")</f>
      </c>
      <c r="G142" s="96">
        <f>IF($B142&gt;=1,$M142,"")</f>
      </c>
      <c r="H142" s="149">
        <f>IF(AND(M142&gt;0,M142&lt;=STATS!$C$22),1,"")</f>
      </c>
      <c r="J142" s="34">
        <v>141</v>
      </c>
      <c r="K142" s="165">
        <v>46.1199</v>
      </c>
      <c r="L142" s="165">
        <v>-91.21764</v>
      </c>
      <c r="M142" s="10">
        <v>18.5</v>
      </c>
      <c r="R142" s="17"/>
      <c r="S142" s="17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EZ142" s="146"/>
      <c r="FA142" s="146"/>
      <c r="FB142" s="146"/>
      <c r="FC142" s="146"/>
      <c r="FD142" s="146"/>
    </row>
    <row r="143" spans="2:160" ht="12.75">
      <c r="B143" s="96">
        <f>COUNT(R143:EY143,FE143:FM143)</f>
        <v>0</v>
      </c>
      <c r="C143" s="96">
        <f>IF(COUNT(R143:EY143,FE143:FM143)&gt;0,COUNT(R143:EY143,FE143:FM143),"")</f>
      </c>
      <c r="D143" s="96">
        <f>IF(COUNT(T143:BJ143,BL143:BT143,BV143:CB143,CD143:EY143,FE143:FM143)&gt;0,COUNT(T143:BJ143,BL143:BT143,BV143:CB143,CD143:EY143,FE143:FM143),"")</f>
      </c>
      <c r="E143" s="96">
        <f>IF(H143=1,COUNT(R143:EY143,FE143:FM143),"")</f>
      </c>
      <c r="F143" s="96">
        <f>IF(H143=1,COUNT(T143:BJ143,BL143:BT143,BV143:CB143,CD143:EY143,FE143:FM143),"")</f>
      </c>
      <c r="G143" s="96">
        <f>IF($B143&gt;=1,$M143,"")</f>
      </c>
      <c r="H143" s="149">
        <f>IF(AND(M143&gt;0,M143&lt;=STATS!$C$22),1,"")</f>
      </c>
      <c r="J143" s="34">
        <v>142</v>
      </c>
      <c r="K143" s="165">
        <v>46.1199</v>
      </c>
      <c r="L143" s="165">
        <v>-91.21717</v>
      </c>
      <c r="M143" s="10">
        <v>29</v>
      </c>
      <c r="R143" s="17"/>
      <c r="S143" s="17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EZ143" s="146"/>
      <c r="FA143" s="146"/>
      <c r="FB143" s="146"/>
      <c r="FC143" s="146"/>
      <c r="FD143" s="146"/>
    </row>
    <row r="144" spans="2:160" ht="12.75">
      <c r="B144" s="96">
        <f>COUNT(R144:EY144,FE144:FM144)</f>
        <v>0</v>
      </c>
      <c r="C144" s="96">
        <f>IF(COUNT(R144:EY144,FE144:FM144)&gt;0,COUNT(R144:EY144,FE144:FM144),"")</f>
      </c>
      <c r="D144" s="96">
        <f>IF(COUNT(T144:BJ144,BL144:BT144,BV144:CB144,CD144:EY144,FE144:FM144)&gt;0,COUNT(T144:BJ144,BL144:BT144,BV144:CB144,CD144:EY144,FE144:FM144),"")</f>
      </c>
      <c r="E144" s="96">
        <f>IF(H144=1,COUNT(R144:EY144,FE144:FM144),"")</f>
      </c>
      <c r="F144" s="96">
        <f>IF(H144=1,COUNT(T144:BJ144,BL144:BT144,BV144:CB144,CD144:EY144,FE144:FM144),"")</f>
      </c>
      <c r="G144" s="96">
        <f>IF($B144&gt;=1,$M144,"")</f>
      </c>
      <c r="H144" s="149">
        <f>IF(AND(M144&gt;0,M144&lt;=STATS!$C$22),1,"")</f>
      </c>
      <c r="J144" s="34">
        <v>143</v>
      </c>
      <c r="K144" s="165">
        <v>46.1199</v>
      </c>
      <c r="L144" s="165">
        <v>-91.21671</v>
      </c>
      <c r="M144" s="10">
        <v>29.5</v>
      </c>
      <c r="R144" s="17"/>
      <c r="S144" s="17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EZ144" s="146"/>
      <c r="FA144" s="146"/>
      <c r="FB144" s="146"/>
      <c r="FC144" s="146"/>
      <c r="FD144" s="146"/>
    </row>
    <row r="145" spans="2:160" ht="12.75">
      <c r="B145" s="96">
        <f>COUNT(R145:EY145,FE145:FM145)</f>
        <v>0</v>
      </c>
      <c r="C145" s="96">
        <f>IF(COUNT(R145:EY145,FE145:FM145)&gt;0,COUNT(R145:EY145,FE145:FM145),"")</f>
      </c>
      <c r="D145" s="96">
        <f>IF(COUNT(T145:BJ145,BL145:BT145,BV145:CB145,CD145:EY145,FE145:FM145)&gt;0,COUNT(T145:BJ145,BL145:BT145,BV145:CB145,CD145:EY145,FE145:FM145),"")</f>
      </c>
      <c r="E145" s="96">
        <f>IF(H145=1,COUNT(R145:EY145,FE145:FM145),"")</f>
      </c>
      <c r="F145" s="96">
        <f>IF(H145=1,COUNT(T145:BJ145,BL145:BT145,BV145:CB145,CD145:EY145,FE145:FM145),"")</f>
      </c>
      <c r="G145" s="96">
        <f>IF($B145&gt;=1,$M145,"")</f>
      </c>
      <c r="H145" s="149">
        <f>IF(AND(M145&gt;0,M145&lt;=STATS!$C$22),1,"")</f>
      </c>
      <c r="J145" s="34">
        <v>144</v>
      </c>
      <c r="K145" s="165">
        <v>46.11991</v>
      </c>
      <c r="L145" s="165">
        <v>-91.21624</v>
      </c>
      <c r="M145" s="10">
        <v>29.5</v>
      </c>
      <c r="R145" s="17"/>
      <c r="S145" s="17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EZ145" s="146"/>
      <c r="FA145" s="146"/>
      <c r="FB145" s="146"/>
      <c r="FC145" s="146"/>
      <c r="FD145" s="146"/>
    </row>
    <row r="146" spans="2:160" ht="12.75">
      <c r="B146" s="96">
        <f>COUNT(R146:EY146,FE146:FM146)</f>
        <v>0</v>
      </c>
      <c r="C146" s="96">
        <f>IF(COUNT(R146:EY146,FE146:FM146)&gt;0,COUNT(R146:EY146,FE146:FM146),"")</f>
      </c>
      <c r="D146" s="96">
        <f>IF(COUNT(T146:BJ146,BL146:BT146,BV146:CB146,CD146:EY146,FE146:FM146)&gt;0,COUNT(T146:BJ146,BL146:BT146,BV146:CB146,CD146:EY146,FE146:FM146),"")</f>
      </c>
      <c r="E146" s="96">
        <f>IF(H146=1,COUNT(R146:EY146,FE146:FM146),"")</f>
      </c>
      <c r="F146" s="96">
        <f>IF(H146=1,COUNT(T146:BJ146,BL146:BT146,BV146:CB146,CD146:EY146,FE146:FM146),"")</f>
      </c>
      <c r="G146" s="96">
        <f>IF($B146&gt;=1,$M146,"")</f>
      </c>
      <c r="H146" s="149">
        <f>IF(AND(M146&gt;0,M146&lt;=STATS!$C$22),1,"")</f>
      </c>
      <c r="J146" s="34">
        <v>145</v>
      </c>
      <c r="K146" s="165">
        <v>46.11991</v>
      </c>
      <c r="L146" s="165">
        <v>-91.21578</v>
      </c>
      <c r="M146" s="10">
        <v>27.5</v>
      </c>
      <c r="R146" s="17"/>
      <c r="S146" s="17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EZ146" s="146"/>
      <c r="FA146" s="146"/>
      <c r="FB146" s="146"/>
      <c r="FC146" s="146"/>
      <c r="FD146" s="146"/>
    </row>
    <row r="147" spans="2:160" ht="12.75">
      <c r="B147" s="96">
        <f>COUNT(R147:EY147,FE147:FM147)</f>
        <v>0</v>
      </c>
      <c r="C147" s="96">
        <f>IF(COUNT(R147:EY147,FE147:FM147)&gt;0,COUNT(R147:EY147,FE147:FM147),"")</f>
      </c>
      <c r="D147" s="96">
        <f>IF(COUNT(T147:BJ147,BL147:BT147,BV147:CB147,CD147:EY147,FE147:FM147)&gt;0,COUNT(T147:BJ147,BL147:BT147,BV147:CB147,CD147:EY147,FE147:FM147),"")</f>
      </c>
      <c r="E147" s="96">
        <f>IF(H147=1,COUNT(R147:EY147,FE147:FM147),"")</f>
      </c>
      <c r="F147" s="96">
        <f>IF(H147=1,COUNT(T147:BJ147,BL147:BT147,BV147:CB147,CD147:EY147,FE147:FM147),"")</f>
      </c>
      <c r="G147" s="96">
        <f>IF($B147&gt;=1,$M147,"")</f>
      </c>
      <c r="H147" s="149">
        <f>IF(AND(M147&gt;0,M147&lt;=STATS!$C$22),1,"")</f>
      </c>
      <c r="J147" s="34">
        <v>146</v>
      </c>
      <c r="K147" s="165">
        <v>46.11992</v>
      </c>
      <c r="L147" s="165">
        <v>-91.21531</v>
      </c>
      <c r="M147" s="10">
        <v>20</v>
      </c>
      <c r="R147" s="17"/>
      <c r="S147" s="17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EZ147" s="146"/>
      <c r="FA147" s="146"/>
      <c r="FB147" s="146"/>
      <c r="FC147" s="146"/>
      <c r="FD147" s="146"/>
    </row>
    <row r="148" spans="2:160" ht="12.75">
      <c r="B148" s="96">
        <f>COUNT(R148:EY148,FE148:FM148)</f>
        <v>0</v>
      </c>
      <c r="C148" s="96">
        <f>IF(COUNT(R148:EY148,FE148:FM148)&gt;0,COUNT(R148:EY148,FE148:FM148),"")</f>
      </c>
      <c r="D148" s="96">
        <f>IF(COUNT(T148:BJ148,BL148:BT148,BV148:CB148,CD148:EY148,FE148:FM148)&gt;0,COUNT(T148:BJ148,BL148:BT148,BV148:CB148,CD148:EY148,FE148:FM148),"")</f>
      </c>
      <c r="E148" s="96">
        <f>IF(H148=1,COUNT(R148:EY148,FE148:FM148),"")</f>
      </c>
      <c r="F148" s="96">
        <f>IF(H148=1,COUNT(T148:BJ148,BL148:BT148,BV148:CB148,CD148:EY148,FE148:FM148),"")</f>
      </c>
      <c r="G148" s="96">
        <f>IF($B148&gt;=1,$M148,"")</f>
      </c>
      <c r="H148" s="149">
        <f>IF(AND(M148&gt;0,M148&lt;=STATS!$C$22),1,"")</f>
      </c>
      <c r="J148" s="34">
        <v>147</v>
      </c>
      <c r="K148" s="165">
        <v>46.11993</v>
      </c>
      <c r="L148" s="165">
        <v>-91.21484</v>
      </c>
      <c r="M148" s="10">
        <v>15.5</v>
      </c>
      <c r="R148" s="17"/>
      <c r="S148" s="17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EZ148" s="146"/>
      <c r="FA148" s="146"/>
      <c r="FB148" s="146"/>
      <c r="FC148" s="146"/>
      <c r="FD148" s="146"/>
    </row>
    <row r="149" spans="2:160" ht="12.75">
      <c r="B149" s="96">
        <f>COUNT(R149:EY149,FE149:FM149)</f>
        <v>3</v>
      </c>
      <c r="C149" s="96">
        <f>IF(COUNT(R149:EY149,FE149:FM149)&gt;0,COUNT(R149:EY149,FE149:FM149),"")</f>
        <v>3</v>
      </c>
      <c r="D149" s="96">
        <f>IF(COUNT(T149:BJ149,BL149:BT149,BV149:CB149,CD149:EY149,FE149:FM149)&gt;0,COUNT(T149:BJ149,BL149:BT149,BV149:CB149,CD149:EY149,FE149:FM149),"")</f>
        <v>3</v>
      </c>
      <c r="E149" s="96">
        <f>IF(H149=1,COUNT(R149:EY149,FE149:FM149),"")</f>
        <v>3</v>
      </c>
      <c r="F149" s="96">
        <f>IF(H149=1,COUNT(T149:BJ149,BL149:BT149,BV149:CB149,CD149:EY149,FE149:FM149),"")</f>
        <v>3</v>
      </c>
      <c r="G149" s="96">
        <f>IF($B149&gt;=1,$M149,"")</f>
        <v>7</v>
      </c>
      <c r="H149" s="149">
        <f>IF(AND(M149&gt;0,M149&lt;=STATS!$C$22),1,"")</f>
        <v>1</v>
      </c>
      <c r="J149" s="34">
        <v>148</v>
      </c>
      <c r="K149" s="165">
        <v>46.11993</v>
      </c>
      <c r="L149" s="165">
        <v>-91.21438</v>
      </c>
      <c r="M149" s="10">
        <v>7</v>
      </c>
      <c r="N149" s="10" t="s">
        <v>565</v>
      </c>
      <c r="O149" s="190" t="s">
        <v>648</v>
      </c>
      <c r="Q149" s="10">
        <v>2</v>
      </c>
      <c r="R149" s="17"/>
      <c r="S149" s="17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>
        <v>2</v>
      </c>
      <c r="AF149" s="36"/>
      <c r="AG149" s="36"/>
      <c r="AH149" s="36"/>
      <c r="BR149" s="10">
        <v>1</v>
      </c>
      <c r="DE149" s="10">
        <v>1</v>
      </c>
      <c r="EZ149" s="146"/>
      <c r="FA149" s="146"/>
      <c r="FB149" s="146">
        <v>1</v>
      </c>
      <c r="FC149" s="146"/>
      <c r="FD149" s="146"/>
    </row>
    <row r="150" spans="2:160" ht="12.75">
      <c r="B150" s="96">
        <f>COUNT(R150:EY150,FE150:FM150)</f>
        <v>5</v>
      </c>
      <c r="C150" s="96">
        <f>IF(COUNT(R150:EY150,FE150:FM150)&gt;0,COUNT(R150:EY150,FE150:FM150),"")</f>
        <v>5</v>
      </c>
      <c r="D150" s="96">
        <f>IF(COUNT(T150:BJ150,BL150:BT150,BV150:CB150,CD150:EY150,FE150:FM150)&gt;0,COUNT(T150:BJ150,BL150:BT150,BV150:CB150,CD150:EY150,FE150:FM150),"")</f>
        <v>5</v>
      </c>
      <c r="E150" s="96">
        <f>IF(H150=1,COUNT(R150:EY150,FE150:FM150),"")</f>
        <v>5</v>
      </c>
      <c r="F150" s="96">
        <f>IF(H150=1,COUNT(T150:BJ150,BL150:BT150,BV150:CB150,CD150:EY150,FE150:FM150),"")</f>
        <v>5</v>
      </c>
      <c r="G150" s="96">
        <f>IF($B150&gt;=1,$M150,"")</f>
        <v>4.5</v>
      </c>
      <c r="H150" s="149">
        <f>IF(AND(M150&gt;0,M150&lt;=STATS!$C$22),1,"")</f>
        <v>1</v>
      </c>
      <c r="J150" s="34">
        <v>149</v>
      </c>
      <c r="K150" s="165">
        <v>46.11994</v>
      </c>
      <c r="L150" s="165">
        <v>-91.21391</v>
      </c>
      <c r="M150" s="10">
        <v>4.5</v>
      </c>
      <c r="N150" s="10" t="s">
        <v>564</v>
      </c>
      <c r="O150" s="190" t="s">
        <v>648</v>
      </c>
      <c r="Q150" s="10">
        <v>3</v>
      </c>
      <c r="R150" s="17"/>
      <c r="S150" s="17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>
        <v>2</v>
      </c>
      <c r="AF150" s="36"/>
      <c r="AG150" s="36"/>
      <c r="AH150" s="36"/>
      <c r="AQ150" s="10">
        <v>2</v>
      </c>
      <c r="BO150" s="10" t="s">
        <v>566</v>
      </c>
      <c r="CA150" s="10" t="s">
        <v>566</v>
      </c>
      <c r="CI150" s="10">
        <v>1</v>
      </c>
      <c r="CY150" s="10">
        <v>1</v>
      </c>
      <c r="DE150" s="10">
        <v>2</v>
      </c>
      <c r="EZ150" s="146"/>
      <c r="FA150" s="146"/>
      <c r="FB150" s="146"/>
      <c r="FC150" s="146"/>
      <c r="FD150" s="146"/>
    </row>
    <row r="151" spans="2:160" ht="12.75">
      <c r="B151" s="96">
        <f>COUNT(R151:EY151,FE151:FM151)</f>
        <v>5</v>
      </c>
      <c r="C151" s="96">
        <f>IF(COUNT(R151:EY151,FE151:FM151)&gt;0,COUNT(R151:EY151,FE151:FM151),"")</f>
        <v>5</v>
      </c>
      <c r="D151" s="96">
        <f>IF(COUNT(T151:BJ151,BL151:BT151,BV151:CB151,CD151:EY151,FE151:FM151)&gt;0,COUNT(T151:BJ151,BL151:BT151,BV151:CB151,CD151:EY151,FE151:FM151),"")</f>
        <v>5</v>
      </c>
      <c r="E151" s="96">
        <f>IF(H151=1,COUNT(R151:EY151,FE151:FM151),"")</f>
        <v>5</v>
      </c>
      <c r="F151" s="96">
        <f>IF(H151=1,COUNT(T151:BJ151,BL151:BT151,BV151:CB151,CD151:EY151,FE151:FM151),"")</f>
        <v>5</v>
      </c>
      <c r="G151" s="96">
        <f>IF($B151&gt;=1,$M151,"")</f>
        <v>6.5</v>
      </c>
      <c r="H151" s="149">
        <f>IF(AND(M151&gt;0,M151&lt;=STATS!$C$22),1,"")</f>
        <v>1</v>
      </c>
      <c r="J151" s="34">
        <v>150</v>
      </c>
      <c r="K151" s="165">
        <v>46.11994</v>
      </c>
      <c r="L151" s="165">
        <v>-91.21345</v>
      </c>
      <c r="M151" s="10">
        <v>6.5</v>
      </c>
      <c r="N151" s="10" t="s">
        <v>563</v>
      </c>
      <c r="O151" s="190" t="s">
        <v>648</v>
      </c>
      <c r="Q151" s="10">
        <v>1</v>
      </c>
      <c r="R151" s="17"/>
      <c r="S151" s="17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>
        <v>1</v>
      </c>
      <c r="AF151" s="36"/>
      <c r="AG151" s="36"/>
      <c r="AH151" s="36"/>
      <c r="AQ151" s="10">
        <v>1</v>
      </c>
      <c r="BR151" s="10">
        <v>1</v>
      </c>
      <c r="CY151" s="10">
        <v>1</v>
      </c>
      <c r="DE151" s="10">
        <v>1</v>
      </c>
      <c r="EZ151" s="146"/>
      <c r="FA151" s="146"/>
      <c r="FB151" s="146">
        <v>1</v>
      </c>
      <c r="FC151" s="146"/>
      <c r="FD151" s="146"/>
    </row>
    <row r="152" spans="2:160" ht="12.75">
      <c r="B152" s="96">
        <f>COUNT(R152:EY152,FE152:FM152)</f>
        <v>0</v>
      </c>
      <c r="C152" s="96">
        <f>IF(COUNT(R152:EY152,FE152:FM152)&gt;0,COUNT(R152:EY152,FE152:FM152),"")</f>
      </c>
      <c r="D152" s="96">
        <f>IF(COUNT(T152:BJ152,BL152:BT152,BV152:CB152,CD152:EY152,FE152:FM152)&gt;0,COUNT(T152:BJ152,BL152:BT152,BV152:CB152,CD152:EY152,FE152:FM152),"")</f>
      </c>
      <c r="E152" s="96">
        <f>IF(H152=1,COUNT(R152:EY152,FE152:FM152),"")</f>
        <v>0</v>
      </c>
      <c r="F152" s="96">
        <f>IF(H152=1,COUNT(T152:BJ152,BL152:BT152,BV152:CB152,CD152:EY152,FE152:FM152),"")</f>
        <v>0</v>
      </c>
      <c r="G152" s="96">
        <f>IF($B152&gt;=1,$M152,"")</f>
      </c>
      <c r="H152" s="149">
        <f>IF(AND(M152&gt;0,M152&lt;=STATS!$C$22),1,"")</f>
        <v>1</v>
      </c>
      <c r="J152" s="34">
        <v>151</v>
      </c>
      <c r="K152" s="165">
        <v>46.11994</v>
      </c>
      <c r="L152" s="165">
        <v>-91.21298</v>
      </c>
      <c r="M152" s="10">
        <v>10.5</v>
      </c>
      <c r="N152" s="10" t="s">
        <v>563</v>
      </c>
      <c r="O152" s="190" t="s">
        <v>648</v>
      </c>
      <c r="R152" s="17"/>
      <c r="S152" s="17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EZ152" s="146"/>
      <c r="FA152" s="146"/>
      <c r="FB152" s="146"/>
      <c r="FC152" s="146"/>
      <c r="FD152" s="146"/>
    </row>
    <row r="153" spans="2:160" ht="12.75">
      <c r="B153" s="96">
        <f>COUNT(R153:EY153,FE153:FM153)</f>
        <v>1</v>
      </c>
      <c r="C153" s="96">
        <f>IF(COUNT(R153:EY153,FE153:FM153)&gt;0,COUNT(R153:EY153,FE153:FM153),"")</f>
        <v>1</v>
      </c>
      <c r="D153" s="96">
        <f>IF(COUNT(T153:BJ153,BL153:BT153,BV153:CB153,CD153:EY153,FE153:FM153)&gt;0,COUNT(T153:BJ153,BL153:BT153,BV153:CB153,CD153:EY153,FE153:FM153),"")</f>
        <v>1</v>
      </c>
      <c r="E153" s="96">
        <f>IF(H153=1,COUNT(R153:EY153,FE153:FM153),"")</f>
        <v>1</v>
      </c>
      <c r="F153" s="96">
        <f>IF(H153=1,COUNT(T153:BJ153,BL153:BT153,BV153:CB153,CD153:EY153,FE153:FM153),"")</f>
        <v>1</v>
      </c>
      <c r="G153" s="96">
        <f>IF($B153&gt;=1,$M153,"")</f>
        <v>9.5</v>
      </c>
      <c r="H153" s="149">
        <f>IF(AND(M153&gt;0,M153&lt;=STATS!$C$22),1,"")</f>
        <v>1</v>
      </c>
      <c r="J153" s="34">
        <v>152</v>
      </c>
      <c r="K153" s="165">
        <v>46.11995</v>
      </c>
      <c r="L153" s="165">
        <v>-91.21252</v>
      </c>
      <c r="M153" s="10">
        <v>9.5</v>
      </c>
      <c r="N153" s="10" t="s">
        <v>563</v>
      </c>
      <c r="O153" s="190" t="s">
        <v>648</v>
      </c>
      <c r="Q153" s="10">
        <v>2</v>
      </c>
      <c r="R153" s="17"/>
      <c r="S153" s="17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>
        <v>2</v>
      </c>
      <c r="AF153" s="36"/>
      <c r="AG153" s="36"/>
      <c r="AH153" s="36"/>
      <c r="EZ153" s="146"/>
      <c r="FA153" s="146"/>
      <c r="FB153" s="146"/>
      <c r="FC153" s="146"/>
      <c r="FD153" s="146"/>
    </row>
    <row r="154" spans="2:160" ht="12.75">
      <c r="B154" s="96">
        <f>COUNT(R154:EY154,FE154:FM154)</f>
        <v>4</v>
      </c>
      <c r="C154" s="96">
        <f>IF(COUNT(R154:EY154,FE154:FM154)&gt;0,COUNT(R154:EY154,FE154:FM154),"")</f>
        <v>4</v>
      </c>
      <c r="D154" s="96">
        <f>IF(COUNT(T154:BJ154,BL154:BT154,BV154:CB154,CD154:EY154,FE154:FM154)&gt;0,COUNT(T154:BJ154,BL154:BT154,BV154:CB154,CD154:EY154,FE154:FM154),"")</f>
        <v>4</v>
      </c>
      <c r="E154" s="96">
        <f>IF(H154=1,COUNT(R154:EY154,FE154:FM154),"")</f>
        <v>4</v>
      </c>
      <c r="F154" s="96">
        <f>IF(H154=1,COUNT(T154:BJ154,BL154:BT154,BV154:CB154,CD154:EY154,FE154:FM154),"")</f>
        <v>4</v>
      </c>
      <c r="G154" s="96">
        <f>IF($B154&gt;=1,$M154,"")</f>
        <v>5.5</v>
      </c>
      <c r="H154" s="149">
        <f>IF(AND(M154&gt;0,M154&lt;=STATS!$C$22),1,"")</f>
        <v>1</v>
      </c>
      <c r="J154" s="34">
        <v>153</v>
      </c>
      <c r="K154" s="165">
        <v>46.11996</v>
      </c>
      <c r="L154" s="165">
        <v>-91.21205</v>
      </c>
      <c r="M154" s="10">
        <v>5.5</v>
      </c>
      <c r="N154" s="10" t="s">
        <v>563</v>
      </c>
      <c r="O154" s="190" t="s">
        <v>648</v>
      </c>
      <c r="Q154" s="10">
        <v>2</v>
      </c>
      <c r="R154" s="17"/>
      <c r="S154" s="17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BO154" s="10" t="s">
        <v>566</v>
      </c>
      <c r="BR154" s="10">
        <v>1</v>
      </c>
      <c r="CB154" s="10">
        <v>2</v>
      </c>
      <c r="CO154" s="10">
        <v>2</v>
      </c>
      <c r="DE154" s="10">
        <v>1</v>
      </c>
      <c r="EZ154" s="146"/>
      <c r="FA154" s="146"/>
      <c r="FB154" s="146"/>
      <c r="FC154" s="146"/>
      <c r="FD154" s="146"/>
    </row>
    <row r="155" spans="2:160" ht="12.75">
      <c r="B155" s="96">
        <f>COUNT(R155:EY155,FE155:FM155)</f>
        <v>6</v>
      </c>
      <c r="C155" s="96">
        <f>IF(COUNT(R155:EY155,FE155:FM155)&gt;0,COUNT(R155:EY155,FE155:FM155),"")</f>
        <v>6</v>
      </c>
      <c r="D155" s="96">
        <f>IF(COUNT(T155:BJ155,BL155:BT155,BV155:CB155,CD155:EY155,FE155:FM155)&gt;0,COUNT(T155:BJ155,BL155:BT155,BV155:CB155,CD155:EY155,FE155:FM155),"")</f>
        <v>6</v>
      </c>
      <c r="E155" s="96">
        <f>IF(H155=1,COUNT(R155:EY155,FE155:FM155),"")</f>
        <v>6</v>
      </c>
      <c r="F155" s="96">
        <f>IF(H155=1,COUNT(T155:BJ155,BL155:BT155,BV155:CB155,CD155:EY155,FE155:FM155),"")</f>
        <v>6</v>
      </c>
      <c r="G155" s="96">
        <f>IF($B155&gt;=1,$M155,"")</f>
        <v>3</v>
      </c>
      <c r="H155" s="149">
        <f>IF(AND(M155&gt;0,M155&lt;=STATS!$C$22),1,"")</f>
        <v>1</v>
      </c>
      <c r="J155" s="34">
        <v>154</v>
      </c>
      <c r="K155" s="165">
        <v>46.11996</v>
      </c>
      <c r="L155" s="165">
        <v>-91.21158</v>
      </c>
      <c r="M155" s="10">
        <v>3</v>
      </c>
      <c r="N155" s="10" t="s">
        <v>563</v>
      </c>
      <c r="O155" s="190" t="s">
        <v>648</v>
      </c>
      <c r="Q155" s="10">
        <v>3</v>
      </c>
      <c r="R155" s="17"/>
      <c r="S155" s="17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>
        <v>2</v>
      </c>
      <c r="AF155" s="36"/>
      <c r="AG155" s="36"/>
      <c r="AH155" s="36"/>
      <c r="BO155" s="10">
        <v>1</v>
      </c>
      <c r="CA155" s="10">
        <v>2</v>
      </c>
      <c r="CB155" s="10">
        <v>3</v>
      </c>
      <c r="CY155" s="10">
        <v>1</v>
      </c>
      <c r="DE155" s="10">
        <v>1</v>
      </c>
      <c r="EZ155" s="146"/>
      <c r="FA155" s="146"/>
      <c r="FB155" s="146"/>
      <c r="FC155" s="146"/>
      <c r="FD155" s="146"/>
    </row>
    <row r="156" spans="2:160" ht="12.75">
      <c r="B156" s="96">
        <f>COUNT(R156:EY156,FE156:FM156)</f>
        <v>0</v>
      </c>
      <c r="C156" s="96">
        <f>IF(COUNT(R156:EY156,FE156:FM156)&gt;0,COUNT(R156:EY156,FE156:FM156),"")</f>
      </c>
      <c r="D156" s="96">
        <f>IF(COUNT(T156:BJ156,BL156:BT156,BV156:CB156,CD156:EY156,FE156:FM156)&gt;0,COUNT(T156:BJ156,BL156:BT156,BV156:CB156,CD156:EY156,FE156:FM156),"")</f>
      </c>
      <c r="E156" s="96">
        <f>IF(H156=1,COUNT(R156:EY156,FE156:FM156),"")</f>
        <v>0</v>
      </c>
      <c r="F156" s="96">
        <f>IF(H156=1,COUNT(T156:BJ156,BL156:BT156,BV156:CB156,CD156:EY156,FE156:FM156),"")</f>
        <v>0</v>
      </c>
      <c r="G156" s="96">
        <f>IF($B156&gt;=1,$M156,"")</f>
      </c>
      <c r="H156" s="149">
        <f>IF(AND(M156&gt;0,M156&lt;=STATS!$C$22),1,"")</f>
        <v>1</v>
      </c>
      <c r="J156" s="34">
        <v>155</v>
      </c>
      <c r="K156" s="165">
        <v>46.12019</v>
      </c>
      <c r="L156" s="165">
        <v>-91.22091</v>
      </c>
      <c r="M156" s="10">
        <v>11</v>
      </c>
      <c r="N156" s="10" t="s">
        <v>563</v>
      </c>
      <c r="O156" s="190" t="s">
        <v>648</v>
      </c>
      <c r="R156" s="17"/>
      <c r="S156" s="17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EZ156" s="146"/>
      <c r="FA156" s="146"/>
      <c r="FB156" s="146"/>
      <c r="FC156" s="146"/>
      <c r="FD156" s="146"/>
    </row>
    <row r="157" spans="2:160" ht="12.75">
      <c r="B157" s="96">
        <f>COUNT(R157:EY157,FE157:FM157)</f>
        <v>0</v>
      </c>
      <c r="C157" s="96">
        <f>IF(COUNT(R157:EY157,FE157:FM157)&gt;0,COUNT(R157:EY157,FE157:FM157),"")</f>
      </c>
      <c r="D157" s="96">
        <f>IF(COUNT(T157:BJ157,BL157:BT157,BV157:CB157,CD157:EY157,FE157:FM157)&gt;0,COUNT(T157:BJ157,BL157:BT157,BV157:CB157,CD157:EY157,FE157:FM157),"")</f>
      </c>
      <c r="E157" s="96">
        <f>IF(H157=1,COUNT(R157:EY157,FE157:FM157),"")</f>
        <v>0</v>
      </c>
      <c r="F157" s="96">
        <f>IF(H157=1,COUNT(T157:BJ157,BL157:BT157,BV157:CB157,CD157:EY157,FE157:FM157),"")</f>
        <v>0</v>
      </c>
      <c r="G157" s="96">
        <f>IF($B157&gt;=1,$M157,"")</f>
      </c>
      <c r="H157" s="149">
        <f>IF(AND(M157&gt;0,M157&lt;=STATS!$C$22),1,"")</f>
        <v>1</v>
      </c>
      <c r="J157" s="34">
        <v>156</v>
      </c>
      <c r="K157" s="165">
        <v>46.12019</v>
      </c>
      <c r="L157" s="165">
        <v>-91.22044</v>
      </c>
      <c r="M157" s="10">
        <v>11</v>
      </c>
      <c r="N157" s="10" t="s">
        <v>563</v>
      </c>
      <c r="O157" s="190" t="s">
        <v>648</v>
      </c>
      <c r="R157" s="17"/>
      <c r="S157" s="17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EZ157" s="146"/>
      <c r="FA157" s="146"/>
      <c r="FB157" s="146"/>
      <c r="FC157" s="146"/>
      <c r="FD157" s="146"/>
    </row>
    <row r="158" spans="2:160" ht="12.75">
      <c r="B158" s="96">
        <f>COUNT(R158:EY158,FE158:FM158)</f>
        <v>0</v>
      </c>
      <c r="C158" s="96">
        <f>IF(COUNT(R158:EY158,FE158:FM158)&gt;0,COUNT(R158:EY158,FE158:FM158),"")</f>
      </c>
      <c r="D158" s="96">
        <f>IF(COUNT(T158:BJ158,BL158:BT158,BV158:CB158,CD158:EY158,FE158:FM158)&gt;0,COUNT(T158:BJ158,BL158:BT158,BV158:CB158,CD158:EY158,FE158:FM158),"")</f>
      </c>
      <c r="E158" s="96">
        <f>IF(H158=1,COUNT(R158:EY158,FE158:FM158),"")</f>
      </c>
      <c r="F158" s="96">
        <f>IF(H158=1,COUNT(T158:BJ158,BL158:BT158,BV158:CB158,CD158:EY158,FE158:FM158),"")</f>
      </c>
      <c r="G158" s="96">
        <f>IF($B158&gt;=1,$M158,"")</f>
      </c>
      <c r="H158" s="149">
        <f>IF(AND(M158&gt;0,M158&lt;=STATS!$C$22),1,"")</f>
      </c>
      <c r="J158" s="34">
        <v>157</v>
      </c>
      <c r="K158" s="165">
        <v>46.12022</v>
      </c>
      <c r="L158" s="165">
        <v>-91.21765</v>
      </c>
      <c r="M158" s="10">
        <v>18.5</v>
      </c>
      <c r="R158" s="17"/>
      <c r="S158" s="17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EZ158" s="146"/>
      <c r="FA158" s="146"/>
      <c r="FB158" s="146"/>
      <c r="FC158" s="146"/>
      <c r="FD158" s="146"/>
    </row>
    <row r="159" spans="2:160" ht="12.75">
      <c r="B159" s="96">
        <f>COUNT(R159:EY159,FE159:FM159)</f>
        <v>0</v>
      </c>
      <c r="C159" s="96">
        <f>IF(COUNT(R159:EY159,FE159:FM159)&gt;0,COUNT(R159:EY159,FE159:FM159),"")</f>
      </c>
      <c r="D159" s="96">
        <f>IF(COUNT(T159:BJ159,BL159:BT159,BV159:CB159,CD159:EY159,FE159:FM159)&gt;0,COUNT(T159:BJ159,BL159:BT159,BV159:CB159,CD159:EY159,FE159:FM159),"")</f>
      </c>
      <c r="E159" s="96">
        <f>IF(H159=1,COUNT(R159:EY159,FE159:FM159),"")</f>
      </c>
      <c r="F159" s="96">
        <f>IF(H159=1,COUNT(T159:BJ159,BL159:BT159,BV159:CB159,CD159:EY159,FE159:FM159),"")</f>
      </c>
      <c r="G159" s="96">
        <f>IF($B159&gt;=1,$M159,"")</f>
      </c>
      <c r="H159" s="149">
        <f>IF(AND(M159&gt;0,M159&lt;=STATS!$C$22),1,"")</f>
      </c>
      <c r="J159" s="34">
        <v>158</v>
      </c>
      <c r="K159" s="165">
        <v>46.12022</v>
      </c>
      <c r="L159" s="165">
        <v>-91.21718</v>
      </c>
      <c r="M159" s="10">
        <v>25</v>
      </c>
      <c r="R159" s="17"/>
      <c r="S159" s="17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EZ159" s="146"/>
      <c r="FA159" s="146"/>
      <c r="FB159" s="146"/>
      <c r="FC159" s="146"/>
      <c r="FD159" s="146"/>
    </row>
    <row r="160" spans="2:160" ht="12.75">
      <c r="B160" s="96">
        <f>COUNT(R160:EY160,FE160:FM160)</f>
        <v>0</v>
      </c>
      <c r="C160" s="96">
        <f>IF(COUNT(R160:EY160,FE160:FM160)&gt;0,COUNT(R160:EY160,FE160:FM160),"")</f>
      </c>
      <c r="D160" s="96">
        <f>IF(COUNT(T160:BJ160,BL160:BT160,BV160:CB160,CD160:EY160,FE160:FM160)&gt;0,COUNT(T160:BJ160,BL160:BT160,BV160:CB160,CD160:EY160,FE160:FM160),"")</f>
      </c>
      <c r="E160" s="96">
        <f>IF(H160=1,COUNT(R160:EY160,FE160:FM160),"")</f>
      </c>
      <c r="F160" s="96">
        <f>IF(H160=1,COUNT(T160:BJ160,BL160:BT160,BV160:CB160,CD160:EY160,FE160:FM160),"")</f>
      </c>
      <c r="G160" s="96">
        <f>IF($B160&gt;=1,$M160,"")</f>
      </c>
      <c r="H160" s="149">
        <f>IF(AND(M160&gt;0,M160&lt;=STATS!$C$22),1,"")</f>
      </c>
      <c r="J160" s="34">
        <v>159</v>
      </c>
      <c r="K160" s="165">
        <v>46.12023</v>
      </c>
      <c r="L160" s="165">
        <v>-91.21672</v>
      </c>
      <c r="M160" s="10">
        <v>29</v>
      </c>
      <c r="R160" s="17"/>
      <c r="S160" s="17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EZ160" s="146"/>
      <c r="FA160" s="146"/>
      <c r="FB160" s="146"/>
      <c r="FC160" s="146"/>
      <c r="FD160" s="146"/>
    </row>
    <row r="161" spans="2:160" ht="12.75">
      <c r="B161" s="96">
        <f>COUNT(R161:EY161,FE161:FM161)</f>
        <v>0</v>
      </c>
      <c r="C161" s="96">
        <f>IF(COUNT(R161:EY161,FE161:FM161)&gt;0,COUNT(R161:EY161,FE161:FM161),"")</f>
      </c>
      <c r="D161" s="96">
        <f>IF(COUNT(T161:BJ161,BL161:BT161,BV161:CB161,CD161:EY161,FE161:FM161)&gt;0,COUNT(T161:BJ161,BL161:BT161,BV161:CB161,CD161:EY161,FE161:FM161),"")</f>
      </c>
      <c r="E161" s="96">
        <f>IF(H161=1,COUNT(R161:EY161,FE161:FM161),"")</f>
      </c>
      <c r="F161" s="96">
        <f>IF(H161=1,COUNT(T161:BJ161,BL161:BT161,BV161:CB161,CD161:EY161,FE161:FM161),"")</f>
      </c>
      <c r="G161" s="96">
        <f>IF($B161&gt;=1,$M161,"")</f>
      </c>
      <c r="H161" s="149">
        <f>IF(AND(M161&gt;0,M161&lt;=STATS!$C$22),1,"")</f>
      </c>
      <c r="J161" s="34">
        <v>160</v>
      </c>
      <c r="K161" s="165">
        <v>46.12023</v>
      </c>
      <c r="L161" s="165">
        <v>-91.21625</v>
      </c>
      <c r="M161" s="10">
        <v>29</v>
      </c>
      <c r="R161" s="17"/>
      <c r="S161" s="17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EZ161" s="146"/>
      <c r="FA161" s="146"/>
      <c r="FB161" s="146"/>
      <c r="FC161" s="146"/>
      <c r="FD161" s="146"/>
    </row>
    <row r="162" spans="2:160" ht="12.75">
      <c r="B162" s="96">
        <f>COUNT(R162:EY162,FE162:FM162)</f>
        <v>0</v>
      </c>
      <c r="C162" s="96">
        <f>IF(COUNT(R162:EY162,FE162:FM162)&gt;0,COUNT(R162:EY162,FE162:FM162),"")</f>
      </c>
      <c r="D162" s="96">
        <f>IF(COUNT(T162:BJ162,BL162:BT162,BV162:CB162,CD162:EY162,FE162:FM162)&gt;0,COUNT(T162:BJ162,BL162:BT162,BV162:CB162,CD162:EY162,FE162:FM162),"")</f>
      </c>
      <c r="E162" s="96">
        <f>IF(H162=1,COUNT(R162:EY162,FE162:FM162),"")</f>
      </c>
      <c r="F162" s="96">
        <f>IF(H162=1,COUNT(T162:BJ162,BL162:BT162,BV162:CB162,CD162:EY162,FE162:FM162),"")</f>
      </c>
      <c r="G162" s="96">
        <f>IF($B162&gt;=1,$M162,"")</f>
      </c>
      <c r="H162" s="149">
        <f>IF(AND(M162&gt;0,M162&lt;=STATS!$C$22),1,"")</f>
      </c>
      <c r="J162" s="34">
        <v>161</v>
      </c>
      <c r="K162" s="165">
        <v>46.12024</v>
      </c>
      <c r="L162" s="165">
        <v>-91.21578</v>
      </c>
      <c r="M162" s="10">
        <v>24.5</v>
      </c>
      <c r="R162" s="17"/>
      <c r="S162" s="17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EZ162" s="146"/>
      <c r="FA162" s="146"/>
      <c r="FB162" s="146"/>
      <c r="FC162" s="146"/>
      <c r="FD162" s="146"/>
    </row>
    <row r="163" spans="2:160" ht="12.75">
      <c r="B163" s="96">
        <f>COUNT(R163:EY163,FE163:FM163)</f>
        <v>0</v>
      </c>
      <c r="C163" s="96">
        <f>IF(COUNT(R163:EY163,FE163:FM163)&gt;0,COUNT(R163:EY163,FE163:FM163),"")</f>
      </c>
      <c r="D163" s="96">
        <f>IF(COUNT(T163:BJ163,BL163:BT163,BV163:CB163,CD163:EY163,FE163:FM163)&gt;0,COUNT(T163:BJ163,BL163:BT163,BV163:CB163,CD163:EY163,FE163:FM163),"")</f>
      </c>
      <c r="E163" s="96">
        <f>IF(H163=1,COUNT(R163:EY163,FE163:FM163),"")</f>
      </c>
      <c r="F163" s="96">
        <f>IF(H163=1,COUNT(T163:BJ163,BL163:BT163,BV163:CB163,CD163:EY163,FE163:FM163),"")</f>
      </c>
      <c r="G163" s="96">
        <f>IF($B163&gt;=1,$M163,"")</f>
      </c>
      <c r="H163" s="149">
        <f>IF(AND(M163&gt;0,M163&lt;=STATS!$C$22),1,"")</f>
      </c>
      <c r="J163" s="34">
        <v>162</v>
      </c>
      <c r="K163" s="165">
        <v>46.12024</v>
      </c>
      <c r="L163" s="165">
        <v>-91.21532</v>
      </c>
      <c r="M163" s="10">
        <v>19</v>
      </c>
      <c r="R163" s="17"/>
      <c r="S163" s="17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EZ163" s="146"/>
      <c r="FA163" s="146"/>
      <c r="FB163" s="146"/>
      <c r="FC163" s="146"/>
      <c r="FD163" s="146"/>
    </row>
    <row r="164" spans="2:160" ht="12.75">
      <c r="B164" s="96">
        <f>COUNT(R164:EY164,FE164:FM164)</f>
        <v>0</v>
      </c>
      <c r="C164" s="96">
        <f>IF(COUNT(R164:EY164,FE164:FM164)&gt;0,COUNT(R164:EY164,FE164:FM164),"")</f>
      </c>
      <c r="D164" s="96">
        <f>IF(COUNT(T164:BJ164,BL164:BT164,BV164:CB164,CD164:EY164,FE164:FM164)&gt;0,COUNT(T164:BJ164,BL164:BT164,BV164:CB164,CD164:EY164,FE164:FM164),"")</f>
      </c>
      <c r="E164" s="96">
        <f>IF(H164=1,COUNT(R164:EY164,FE164:FM164),"")</f>
        <v>0</v>
      </c>
      <c r="F164" s="96">
        <f>IF(H164=1,COUNT(T164:BJ164,BL164:BT164,BV164:CB164,CD164:EY164,FE164:FM164),"")</f>
        <v>0</v>
      </c>
      <c r="G164" s="96">
        <f>IF($B164&gt;=1,$M164,"")</f>
      </c>
      <c r="H164" s="149">
        <f>IF(AND(M164&gt;0,M164&lt;=STATS!$C$22),1,"")</f>
        <v>1</v>
      </c>
      <c r="J164" s="34">
        <v>163</v>
      </c>
      <c r="K164" s="165">
        <v>46.12025</v>
      </c>
      <c r="L164" s="165">
        <v>-91.21485</v>
      </c>
      <c r="M164" s="10">
        <v>14</v>
      </c>
      <c r="N164" s="10" t="s">
        <v>563</v>
      </c>
      <c r="O164" s="190" t="s">
        <v>648</v>
      </c>
      <c r="R164" s="17"/>
      <c r="S164" s="17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EZ164" s="146"/>
      <c r="FA164" s="146"/>
      <c r="FB164" s="146"/>
      <c r="FC164" s="146"/>
      <c r="FD164" s="146"/>
    </row>
    <row r="165" spans="2:160" ht="12.75">
      <c r="B165" s="96">
        <f>COUNT(R165:EY165,FE165:FM165)</f>
        <v>1</v>
      </c>
      <c r="C165" s="96">
        <f>IF(COUNT(R165:EY165,FE165:FM165)&gt;0,COUNT(R165:EY165,FE165:FM165),"")</f>
        <v>1</v>
      </c>
      <c r="D165" s="96">
        <f>IF(COUNT(T165:BJ165,BL165:BT165,BV165:CB165,CD165:EY165,FE165:FM165)&gt;0,COUNT(T165:BJ165,BL165:BT165,BV165:CB165,CD165:EY165,FE165:FM165),"")</f>
        <v>1</v>
      </c>
      <c r="E165" s="96">
        <f>IF(H165=1,COUNT(R165:EY165,FE165:FM165),"")</f>
        <v>1</v>
      </c>
      <c r="F165" s="96">
        <f>IF(H165=1,COUNT(T165:BJ165,BL165:BT165,BV165:CB165,CD165:EY165,FE165:FM165),"")</f>
        <v>1</v>
      </c>
      <c r="G165" s="96">
        <f>IF($B165&gt;=1,$M165,"")</f>
        <v>10</v>
      </c>
      <c r="H165" s="149">
        <f>IF(AND(M165&gt;0,M165&lt;=STATS!$C$22),1,"")</f>
        <v>1</v>
      </c>
      <c r="J165" s="34">
        <v>164</v>
      </c>
      <c r="K165" s="165">
        <v>46.12025</v>
      </c>
      <c r="L165" s="165">
        <v>-91.21439</v>
      </c>
      <c r="M165" s="10">
        <v>10</v>
      </c>
      <c r="N165" s="10" t="s">
        <v>565</v>
      </c>
      <c r="O165" s="190" t="s">
        <v>648</v>
      </c>
      <c r="Q165" s="10">
        <v>1</v>
      </c>
      <c r="R165" s="17"/>
      <c r="S165" s="17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BW165" s="10">
        <v>1</v>
      </c>
      <c r="EZ165" s="146"/>
      <c r="FA165" s="146"/>
      <c r="FB165" s="146"/>
      <c r="FC165" s="146"/>
      <c r="FD165" s="146"/>
    </row>
    <row r="166" spans="2:160" ht="12.75">
      <c r="B166" s="96">
        <f>COUNT(R166:EY166,FE166:FM166)</f>
        <v>0</v>
      </c>
      <c r="C166" s="96">
        <f>IF(COUNT(R166:EY166,FE166:FM166)&gt;0,COUNT(R166:EY166,FE166:FM166),"")</f>
      </c>
      <c r="D166" s="96">
        <f>IF(COUNT(T166:BJ166,BL166:BT166,BV166:CB166,CD166:EY166,FE166:FM166)&gt;0,COUNT(T166:BJ166,BL166:BT166,BV166:CB166,CD166:EY166,FE166:FM166),"")</f>
      </c>
      <c r="E166" s="96">
        <f>IF(H166=1,COUNT(R166:EY166,FE166:FM166),"")</f>
        <v>0</v>
      </c>
      <c r="F166" s="96">
        <f>IF(H166=1,COUNT(T166:BJ166,BL166:BT166,BV166:CB166,CD166:EY166,FE166:FM166),"")</f>
        <v>0</v>
      </c>
      <c r="G166" s="96">
        <f>IF($B166&gt;=1,$M166,"")</f>
      </c>
      <c r="H166" s="149">
        <f>IF(AND(M166&gt;0,M166&lt;=STATS!$C$22),1,"")</f>
        <v>1</v>
      </c>
      <c r="J166" s="34">
        <v>165</v>
      </c>
      <c r="K166" s="165">
        <v>46.12026</v>
      </c>
      <c r="L166" s="165">
        <v>-91.21392</v>
      </c>
      <c r="M166" s="10">
        <v>6.5</v>
      </c>
      <c r="N166" s="10" t="s">
        <v>563</v>
      </c>
      <c r="O166" s="190" t="s">
        <v>648</v>
      </c>
      <c r="R166" s="17"/>
      <c r="S166" s="17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EZ166" s="146"/>
      <c r="FA166" s="146"/>
      <c r="FB166" s="146">
        <v>1</v>
      </c>
      <c r="FC166" s="146"/>
      <c r="FD166" s="146"/>
    </row>
    <row r="167" spans="2:160" ht="12.75">
      <c r="B167" s="96">
        <f>COUNT(R167:EY167,FE167:FM167)</f>
        <v>0</v>
      </c>
      <c r="C167" s="96">
        <f>IF(COUNT(R167:EY167,FE167:FM167)&gt;0,COUNT(R167:EY167,FE167:FM167),"")</f>
      </c>
      <c r="D167" s="96">
        <f>IF(COUNT(T167:BJ167,BL167:BT167,BV167:CB167,CD167:EY167,FE167:FM167)&gt;0,COUNT(T167:BJ167,BL167:BT167,BV167:CB167,CD167:EY167,FE167:FM167),"")</f>
      </c>
      <c r="E167" s="96">
        <f>IF(H167=1,COUNT(R167:EY167,FE167:FM167),"")</f>
        <v>0</v>
      </c>
      <c r="F167" s="96">
        <f>IF(H167=1,COUNT(T167:BJ167,BL167:BT167,BV167:CB167,CD167:EY167,FE167:FM167),"")</f>
        <v>0</v>
      </c>
      <c r="G167" s="96">
        <f>IF($B167&gt;=1,$M167,"")</f>
      </c>
      <c r="H167" s="149">
        <f>IF(AND(M167&gt;0,M167&lt;=STATS!$C$22),1,"")</f>
        <v>1</v>
      </c>
      <c r="J167" s="34">
        <v>166</v>
      </c>
      <c r="K167" s="165">
        <v>46.12026</v>
      </c>
      <c r="L167" s="165">
        <v>-91.21345</v>
      </c>
      <c r="M167" s="10">
        <v>7</v>
      </c>
      <c r="N167" s="10" t="s">
        <v>563</v>
      </c>
      <c r="O167" s="190" t="s">
        <v>648</v>
      </c>
      <c r="R167" s="17"/>
      <c r="S167" s="17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EZ167" s="146"/>
      <c r="FA167" s="146"/>
      <c r="FB167" s="146">
        <v>2</v>
      </c>
      <c r="FC167" s="146"/>
      <c r="FD167" s="146"/>
    </row>
    <row r="168" spans="2:160" ht="12.75">
      <c r="B168" s="96">
        <f>COUNT(R168:EY168,FE168:FM168)</f>
        <v>0</v>
      </c>
      <c r="C168" s="96">
        <f>IF(COUNT(R168:EY168,FE168:FM168)&gt;0,COUNT(R168:EY168,FE168:FM168),"")</f>
      </c>
      <c r="D168" s="96">
        <f>IF(COUNT(T168:BJ168,BL168:BT168,BV168:CB168,CD168:EY168,FE168:FM168)&gt;0,COUNT(T168:BJ168,BL168:BT168,BV168:CB168,CD168:EY168,FE168:FM168),"")</f>
      </c>
      <c r="E168" s="96">
        <f>IF(H168=1,COUNT(R168:EY168,FE168:FM168),"")</f>
        <v>0</v>
      </c>
      <c r="F168" s="96">
        <f>IF(H168=1,COUNT(T168:BJ168,BL168:BT168,BV168:CB168,CD168:EY168,FE168:FM168),"")</f>
        <v>0</v>
      </c>
      <c r="G168" s="96">
        <f>IF($B168&gt;=1,$M168,"")</f>
      </c>
      <c r="H168" s="149">
        <f>IF(AND(M168&gt;0,M168&lt;=STATS!$C$22),1,"")</f>
        <v>1</v>
      </c>
      <c r="J168" s="34">
        <v>167</v>
      </c>
      <c r="K168" s="165">
        <v>46.12051</v>
      </c>
      <c r="L168" s="165">
        <v>-91.22091</v>
      </c>
      <c r="M168" s="10">
        <v>14</v>
      </c>
      <c r="N168" s="10" t="s">
        <v>563</v>
      </c>
      <c r="O168" s="190" t="s">
        <v>648</v>
      </c>
      <c r="R168" s="17"/>
      <c r="S168" s="17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EZ168" s="146"/>
      <c r="FA168" s="146"/>
      <c r="FB168" s="146"/>
      <c r="FC168" s="146"/>
      <c r="FD168" s="146"/>
    </row>
    <row r="169" spans="2:160" ht="12.75">
      <c r="B169" s="96">
        <f>COUNT(R169:EY169,FE169:FM169)</f>
        <v>0</v>
      </c>
      <c r="C169" s="96">
        <f>IF(COUNT(R169:EY169,FE169:FM169)&gt;0,COUNT(R169:EY169,FE169:FM169),"")</f>
      </c>
      <c r="D169" s="96">
        <f>IF(COUNT(T169:BJ169,BL169:BT169,BV169:CB169,CD169:EY169,FE169:FM169)&gt;0,COUNT(T169:BJ169,BL169:BT169,BV169:CB169,CD169:EY169,FE169:FM169),"")</f>
      </c>
      <c r="E169" s="96">
        <f>IF(H169=1,COUNT(R169:EY169,FE169:FM169),"")</f>
      </c>
      <c r="F169" s="96">
        <f>IF(H169=1,COUNT(T169:BJ169,BL169:BT169,BV169:CB169,CD169:EY169,FE169:FM169),"")</f>
      </c>
      <c r="G169" s="96">
        <f>IF($B169&gt;=1,$M169,"")</f>
      </c>
      <c r="H169" s="149">
        <f>IF(AND(M169&gt;0,M169&lt;=STATS!$C$22),1,"")</f>
      </c>
      <c r="J169" s="34">
        <v>168</v>
      </c>
      <c r="K169" s="165">
        <v>46.12051</v>
      </c>
      <c r="L169" s="165">
        <v>-91.22045</v>
      </c>
      <c r="M169" s="10">
        <v>20</v>
      </c>
      <c r="R169" s="17"/>
      <c r="S169" s="17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EZ169" s="146"/>
      <c r="FA169" s="146"/>
      <c r="FB169" s="146"/>
      <c r="FC169" s="146"/>
      <c r="FD169" s="146"/>
    </row>
    <row r="170" spans="2:160" ht="12.75">
      <c r="B170" s="96">
        <f>COUNT(R170:EY170,FE170:FM170)</f>
        <v>0</v>
      </c>
      <c r="C170" s="96">
        <f>IF(COUNT(R170:EY170,FE170:FM170)&gt;0,COUNT(R170:EY170,FE170:FM170),"")</f>
      </c>
      <c r="D170" s="96">
        <f>IF(COUNT(T170:BJ170,BL170:BT170,BV170:CB170,CD170:EY170,FE170:FM170)&gt;0,COUNT(T170:BJ170,BL170:BT170,BV170:CB170,CD170:EY170,FE170:FM170),"")</f>
      </c>
      <c r="E170" s="96">
        <f>IF(H170=1,COUNT(R170:EY170,FE170:FM170),"")</f>
        <v>0</v>
      </c>
      <c r="F170" s="96">
        <f>IF(H170=1,COUNT(T170:BJ170,BL170:BT170,BV170:CB170,CD170:EY170,FE170:FM170),"")</f>
        <v>0</v>
      </c>
      <c r="G170" s="96">
        <f>IF($B170&gt;=1,$M170,"")</f>
      </c>
      <c r="H170" s="149">
        <f>IF(AND(M170&gt;0,M170&lt;=STATS!$C$22),1,"")</f>
        <v>1</v>
      </c>
      <c r="J170" s="34">
        <v>169</v>
      </c>
      <c r="K170" s="165">
        <v>46.12052</v>
      </c>
      <c r="L170" s="165">
        <v>-91.21998</v>
      </c>
      <c r="M170" s="10">
        <v>10</v>
      </c>
      <c r="N170" s="10" t="s">
        <v>563</v>
      </c>
      <c r="O170" s="190" t="s">
        <v>648</v>
      </c>
      <c r="R170" s="17"/>
      <c r="S170" s="17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EZ170" s="146"/>
      <c r="FA170" s="146"/>
      <c r="FB170" s="146"/>
      <c r="FC170" s="146"/>
      <c r="FD170" s="146"/>
    </row>
    <row r="171" spans="2:160" ht="12.75">
      <c r="B171" s="96">
        <f>COUNT(R171:EY171,FE171:FM171)</f>
        <v>0</v>
      </c>
      <c r="C171" s="96">
        <f>IF(COUNT(R171:EY171,FE171:FM171)&gt;0,COUNT(R171:EY171,FE171:FM171),"")</f>
      </c>
      <c r="D171" s="96">
        <f>IF(COUNT(T171:BJ171,BL171:BT171,BV171:CB171,CD171:EY171,FE171:FM171)&gt;0,COUNT(T171:BJ171,BL171:BT171,BV171:CB171,CD171:EY171,FE171:FM171),"")</f>
      </c>
      <c r="E171" s="96">
        <f>IF(H171=1,COUNT(R171:EY171,FE171:FM171),"")</f>
      </c>
      <c r="F171" s="96">
        <f>IF(H171=1,COUNT(T171:BJ171,BL171:BT171,BV171:CB171,CD171:EY171,FE171:FM171),"")</f>
      </c>
      <c r="G171" s="96">
        <f>IF($B171&gt;=1,$M171,"")</f>
      </c>
      <c r="H171" s="149">
        <f>IF(AND(M171&gt;0,M171&lt;=STATS!$C$22),1,"")</f>
      </c>
      <c r="J171" s="34">
        <v>170</v>
      </c>
      <c r="K171" s="165">
        <v>46.12054</v>
      </c>
      <c r="L171" s="165">
        <v>-91.21765</v>
      </c>
      <c r="M171" s="10">
        <v>21</v>
      </c>
      <c r="R171" s="17"/>
      <c r="S171" s="17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EZ171" s="146"/>
      <c r="FA171" s="146"/>
      <c r="FB171" s="146"/>
      <c r="FC171" s="146"/>
      <c r="FD171" s="146"/>
    </row>
    <row r="172" spans="2:160" ht="12.75">
      <c r="B172" s="96">
        <f>COUNT(R172:EY172,FE172:FM172)</f>
        <v>0</v>
      </c>
      <c r="C172" s="96">
        <f>IF(COUNT(R172:EY172,FE172:FM172)&gt;0,COUNT(R172:EY172,FE172:FM172),"")</f>
      </c>
      <c r="D172" s="96">
        <f>IF(COUNT(T172:BJ172,BL172:BT172,BV172:CB172,CD172:EY172,FE172:FM172)&gt;0,COUNT(T172:BJ172,BL172:BT172,BV172:CB172,CD172:EY172,FE172:FM172),"")</f>
      </c>
      <c r="E172" s="96">
        <f>IF(H172=1,COUNT(R172:EY172,FE172:FM172),"")</f>
      </c>
      <c r="F172" s="96">
        <f>IF(H172=1,COUNT(T172:BJ172,BL172:BT172,BV172:CB172,CD172:EY172,FE172:FM172),"")</f>
      </c>
      <c r="G172" s="96">
        <f>IF($B172&gt;=1,$M172,"")</f>
      </c>
      <c r="H172" s="149">
        <f>IF(AND(M172&gt;0,M172&lt;=STATS!$C$22),1,"")</f>
      </c>
      <c r="J172" s="34">
        <v>171</v>
      </c>
      <c r="K172" s="165">
        <v>46.12055</v>
      </c>
      <c r="L172" s="165">
        <v>-91.21719</v>
      </c>
      <c r="M172" s="10">
        <v>24.5</v>
      </c>
      <c r="R172" s="17"/>
      <c r="S172" s="17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EZ172" s="146"/>
      <c r="FA172" s="146"/>
      <c r="FB172" s="146"/>
      <c r="FC172" s="146"/>
      <c r="FD172" s="146"/>
    </row>
    <row r="173" spans="2:160" ht="12.75">
      <c r="B173" s="96">
        <f>COUNT(R173:EY173,FE173:FM173)</f>
        <v>0</v>
      </c>
      <c r="C173" s="96">
        <f>IF(COUNT(R173:EY173,FE173:FM173)&gt;0,COUNT(R173:EY173,FE173:FM173),"")</f>
      </c>
      <c r="D173" s="96">
        <f>IF(COUNT(T173:BJ173,BL173:BT173,BV173:CB173,CD173:EY173,FE173:FM173)&gt;0,COUNT(T173:BJ173,BL173:BT173,BV173:CB173,CD173:EY173,FE173:FM173),"")</f>
      </c>
      <c r="E173" s="96">
        <f>IF(H173=1,COUNT(R173:EY173,FE173:FM173),"")</f>
      </c>
      <c r="F173" s="96">
        <f>IF(H173=1,COUNT(T173:BJ173,BL173:BT173,BV173:CB173,CD173:EY173,FE173:FM173),"")</f>
      </c>
      <c r="G173" s="96">
        <f>IF($B173&gt;=1,$M173,"")</f>
      </c>
      <c r="H173" s="149">
        <f>IF(AND(M173&gt;0,M173&lt;=STATS!$C$22),1,"")</f>
      </c>
      <c r="J173" s="34">
        <v>172</v>
      </c>
      <c r="K173" s="165">
        <v>46.12055</v>
      </c>
      <c r="L173" s="165">
        <v>-91.21672</v>
      </c>
      <c r="M173" s="10">
        <v>26.5</v>
      </c>
      <c r="R173" s="17"/>
      <c r="S173" s="17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EZ173" s="146"/>
      <c r="FA173" s="146"/>
      <c r="FB173" s="146"/>
      <c r="FC173" s="146"/>
      <c r="FD173" s="146"/>
    </row>
    <row r="174" spans="2:160" ht="12.75">
      <c r="B174" s="96">
        <f>COUNT(R174:EY174,FE174:FM174)</f>
        <v>0</v>
      </c>
      <c r="C174" s="96">
        <f>IF(COUNT(R174:EY174,FE174:FM174)&gt;0,COUNT(R174:EY174,FE174:FM174),"")</f>
      </c>
      <c r="D174" s="96">
        <f>IF(COUNT(T174:BJ174,BL174:BT174,BV174:CB174,CD174:EY174,FE174:FM174)&gt;0,COUNT(T174:BJ174,BL174:BT174,BV174:CB174,CD174:EY174,FE174:FM174),"")</f>
      </c>
      <c r="E174" s="96">
        <f>IF(H174=1,COUNT(R174:EY174,FE174:FM174),"")</f>
      </c>
      <c r="F174" s="96">
        <f>IF(H174=1,COUNT(T174:BJ174,BL174:BT174,BV174:CB174,CD174:EY174,FE174:FM174),"")</f>
      </c>
      <c r="G174" s="96">
        <f>IF($B174&gt;=1,$M174,"")</f>
      </c>
      <c r="H174" s="149">
        <f>IF(AND(M174&gt;0,M174&lt;=STATS!$C$22),1,"")</f>
      </c>
      <c r="J174" s="34">
        <v>173</v>
      </c>
      <c r="K174" s="165">
        <v>46.12056</v>
      </c>
      <c r="L174" s="165">
        <v>-91.21626</v>
      </c>
      <c r="M174" s="10">
        <v>28</v>
      </c>
      <c r="R174" s="17"/>
      <c r="S174" s="17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EZ174" s="146"/>
      <c r="FA174" s="146"/>
      <c r="FB174" s="146"/>
      <c r="FC174" s="146"/>
      <c r="FD174" s="146"/>
    </row>
    <row r="175" spans="2:160" ht="12.75">
      <c r="B175" s="96">
        <f>COUNT(R175:EY175,FE175:FM175)</f>
        <v>0</v>
      </c>
      <c r="C175" s="96">
        <f>IF(COUNT(R175:EY175,FE175:FM175)&gt;0,COUNT(R175:EY175,FE175:FM175),"")</f>
      </c>
      <c r="D175" s="96">
        <f>IF(COUNT(T175:BJ175,BL175:BT175,BV175:CB175,CD175:EY175,FE175:FM175)&gt;0,COUNT(T175:BJ175,BL175:BT175,BV175:CB175,CD175:EY175,FE175:FM175),"")</f>
      </c>
      <c r="E175" s="96">
        <f>IF(H175=1,COUNT(R175:EY175,FE175:FM175),"")</f>
      </c>
      <c r="F175" s="96">
        <f>IF(H175=1,COUNT(T175:BJ175,BL175:BT175,BV175:CB175,CD175:EY175,FE175:FM175),"")</f>
      </c>
      <c r="G175" s="96">
        <f>IF($B175&gt;=1,$M175,"")</f>
      </c>
      <c r="H175" s="149">
        <f>IF(AND(M175&gt;0,M175&lt;=STATS!$C$22),1,"")</f>
      </c>
      <c r="J175" s="34">
        <v>174</v>
      </c>
      <c r="K175" s="165">
        <v>46.12056</v>
      </c>
      <c r="L175" s="165">
        <v>-91.21579</v>
      </c>
      <c r="M175" s="10">
        <v>26</v>
      </c>
      <c r="R175" s="17"/>
      <c r="S175" s="17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EZ175" s="146"/>
      <c r="FA175" s="146"/>
      <c r="FB175" s="146"/>
      <c r="FC175" s="146"/>
      <c r="FD175" s="146"/>
    </row>
    <row r="176" spans="2:160" ht="12.75">
      <c r="B176" s="96">
        <f>COUNT(R176:EY176,FE176:FM176)</f>
        <v>0</v>
      </c>
      <c r="C176" s="96">
        <f>IF(COUNT(R176:EY176,FE176:FM176)&gt;0,COUNT(R176:EY176,FE176:FM176),"")</f>
      </c>
      <c r="D176" s="96">
        <f>IF(COUNT(T176:BJ176,BL176:BT176,BV176:CB176,CD176:EY176,FE176:FM176)&gt;0,COUNT(T176:BJ176,BL176:BT176,BV176:CB176,CD176:EY176,FE176:FM176),"")</f>
      </c>
      <c r="E176" s="96">
        <f>IF(H176=1,COUNT(R176:EY176,FE176:FM176),"")</f>
      </c>
      <c r="F176" s="96">
        <f>IF(H176=1,COUNT(T176:BJ176,BL176:BT176,BV176:CB176,CD176:EY176,FE176:FM176),"")</f>
      </c>
      <c r="G176" s="96">
        <f>IF($B176&gt;=1,$M176,"")</f>
      </c>
      <c r="H176" s="149">
        <f>IF(AND(M176&gt;0,M176&lt;=STATS!$C$22),1,"")</f>
      </c>
      <c r="J176" s="34">
        <v>175</v>
      </c>
      <c r="K176" s="165">
        <v>46.12057</v>
      </c>
      <c r="L176" s="165">
        <v>-91.21532</v>
      </c>
      <c r="M176" s="10">
        <v>24.5</v>
      </c>
      <c r="R176" s="17"/>
      <c r="S176" s="17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EZ176" s="146"/>
      <c r="FA176" s="146"/>
      <c r="FB176" s="146"/>
      <c r="FC176" s="146"/>
      <c r="FD176" s="146"/>
    </row>
    <row r="177" spans="2:160" ht="12.75">
      <c r="B177" s="96">
        <f>COUNT(R177:EY177,FE177:FM177)</f>
        <v>0</v>
      </c>
      <c r="C177" s="96">
        <f>IF(COUNT(R177:EY177,FE177:FM177)&gt;0,COUNT(R177:EY177,FE177:FM177),"")</f>
      </c>
      <c r="D177" s="96">
        <f>IF(COUNT(T177:BJ177,BL177:BT177,BV177:CB177,CD177:EY177,FE177:FM177)&gt;0,COUNT(T177:BJ177,BL177:BT177,BV177:CB177,CD177:EY177,FE177:FM177),"")</f>
      </c>
      <c r="E177" s="96">
        <f>IF(H177=1,COUNT(R177:EY177,FE177:FM177),"")</f>
      </c>
      <c r="F177" s="96">
        <f>IF(H177=1,COUNT(T177:BJ177,BL177:BT177,BV177:CB177,CD177:EY177,FE177:FM177),"")</f>
      </c>
      <c r="G177" s="96">
        <f>IF($B177&gt;=1,$M177,"")</f>
      </c>
      <c r="H177" s="149">
        <f>IF(AND(M177&gt;0,M177&lt;=STATS!$C$22),1,"")</f>
      </c>
      <c r="J177" s="34">
        <v>176</v>
      </c>
      <c r="K177" s="165">
        <v>46.12057</v>
      </c>
      <c r="L177" s="165">
        <v>-91.21486</v>
      </c>
      <c r="M177" s="10">
        <v>20</v>
      </c>
      <c r="R177" s="17"/>
      <c r="S177" s="17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EZ177" s="146"/>
      <c r="FA177" s="146"/>
      <c r="FB177" s="146"/>
      <c r="FC177" s="146"/>
      <c r="FD177" s="146"/>
    </row>
    <row r="178" spans="2:160" ht="12.75">
      <c r="B178" s="96">
        <f>COUNT(R178:EY178,FE178:FM178)</f>
        <v>0</v>
      </c>
      <c r="C178" s="96">
        <f>IF(COUNT(R178:EY178,FE178:FM178)&gt;0,COUNT(R178:EY178,FE178:FM178),"")</f>
      </c>
      <c r="D178" s="96">
        <f>IF(COUNT(T178:BJ178,BL178:BT178,BV178:CB178,CD178:EY178,FE178:FM178)&gt;0,COUNT(T178:BJ178,BL178:BT178,BV178:CB178,CD178:EY178,FE178:FM178),"")</f>
      </c>
      <c r="E178" s="96">
        <f>IF(H178=1,COUNT(R178:EY178,FE178:FM178),"")</f>
      </c>
      <c r="F178" s="96">
        <f>IF(H178=1,COUNT(T178:BJ178,BL178:BT178,BV178:CB178,CD178:EY178,FE178:FM178),"")</f>
      </c>
      <c r="G178" s="96">
        <f>IF($B178&gt;=1,$M178,"")</f>
      </c>
      <c r="H178" s="149">
        <f>IF(AND(M178&gt;0,M178&lt;=STATS!$C$22),1,"")</f>
      </c>
      <c r="J178" s="34">
        <v>177</v>
      </c>
      <c r="K178" s="165">
        <v>46.12058</v>
      </c>
      <c r="L178" s="165">
        <v>-91.21439</v>
      </c>
      <c r="M178" s="10">
        <v>18.5</v>
      </c>
      <c r="R178" s="17"/>
      <c r="S178" s="17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EZ178" s="146"/>
      <c r="FA178" s="146"/>
      <c r="FB178" s="146"/>
      <c r="FC178" s="146"/>
      <c r="FD178" s="146"/>
    </row>
    <row r="179" spans="2:160" ht="12.75">
      <c r="B179" s="96">
        <f>COUNT(R179:EY179,FE179:FM179)</f>
        <v>0</v>
      </c>
      <c r="C179" s="96">
        <f>IF(COUNT(R179:EY179,FE179:FM179)&gt;0,COUNT(R179:EY179,FE179:FM179),"")</f>
      </c>
      <c r="D179" s="96">
        <f>IF(COUNT(T179:BJ179,BL179:BT179,BV179:CB179,CD179:EY179,FE179:FM179)&gt;0,COUNT(T179:BJ179,BL179:BT179,BV179:CB179,CD179:EY179,FE179:FM179),"")</f>
      </c>
      <c r="E179" s="96">
        <f>IF(H179=1,COUNT(R179:EY179,FE179:FM179),"")</f>
      </c>
      <c r="F179" s="96">
        <f>IF(H179=1,COUNT(T179:BJ179,BL179:BT179,BV179:CB179,CD179:EY179,FE179:FM179),"")</f>
      </c>
      <c r="G179" s="96">
        <f>IF($B179&gt;=1,$M179,"")</f>
      </c>
      <c r="H179" s="149">
        <f>IF(AND(M179&gt;0,M179&lt;=STATS!$C$22),1,"")</f>
      </c>
      <c r="J179" s="34">
        <v>178</v>
      </c>
      <c r="K179" s="165">
        <v>46.12058</v>
      </c>
      <c r="L179" s="165">
        <v>-91.21393</v>
      </c>
      <c r="M179" s="10">
        <v>14.5</v>
      </c>
      <c r="N179" s="10" t="s">
        <v>563</v>
      </c>
      <c r="O179" s="190" t="s">
        <v>648</v>
      </c>
      <c r="R179" s="17"/>
      <c r="S179" s="17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EZ179" s="146"/>
      <c r="FA179" s="146"/>
      <c r="FB179" s="146"/>
      <c r="FC179" s="146"/>
      <c r="FD179" s="146"/>
    </row>
    <row r="180" spans="2:160" ht="12.75">
      <c r="B180" s="96">
        <f>COUNT(R180:EY180,FE180:FM180)</f>
        <v>5</v>
      </c>
      <c r="C180" s="96">
        <f>IF(COUNT(R180:EY180,FE180:FM180)&gt;0,COUNT(R180:EY180,FE180:FM180),"")</f>
        <v>5</v>
      </c>
      <c r="D180" s="96">
        <f>IF(COUNT(T180:BJ180,BL180:BT180,BV180:CB180,CD180:EY180,FE180:FM180)&gt;0,COUNT(T180:BJ180,BL180:BT180,BV180:CB180,CD180:EY180,FE180:FM180),"")</f>
        <v>5</v>
      </c>
      <c r="E180" s="96">
        <f>IF(H180=1,COUNT(R180:EY180,FE180:FM180),"")</f>
        <v>5</v>
      </c>
      <c r="F180" s="96">
        <f>IF(H180=1,COUNT(T180:BJ180,BL180:BT180,BV180:CB180,CD180:EY180,FE180:FM180),"")</f>
        <v>5</v>
      </c>
      <c r="G180" s="96">
        <f>IF($B180&gt;=1,$M180,"")</f>
        <v>5</v>
      </c>
      <c r="H180" s="149">
        <f>IF(AND(M180&gt;0,M180&lt;=STATS!$C$22),1,"")</f>
        <v>1</v>
      </c>
      <c r="J180" s="34">
        <v>179</v>
      </c>
      <c r="K180" s="165">
        <v>46.1206</v>
      </c>
      <c r="L180" s="165">
        <v>-91.21253</v>
      </c>
      <c r="M180" s="10">
        <v>5</v>
      </c>
      <c r="N180" s="10" t="s">
        <v>563</v>
      </c>
      <c r="O180" s="190" t="s">
        <v>648</v>
      </c>
      <c r="Q180" s="10">
        <v>3</v>
      </c>
      <c r="R180" s="17"/>
      <c r="S180" s="17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>
        <v>1</v>
      </c>
      <c r="AF180" s="36"/>
      <c r="AG180" s="36"/>
      <c r="AH180" s="36"/>
      <c r="AQ180" s="10">
        <v>3</v>
      </c>
      <c r="CR180" s="10">
        <v>1</v>
      </c>
      <c r="CY180" s="10" t="s">
        <v>566</v>
      </c>
      <c r="DA180" s="10">
        <v>1</v>
      </c>
      <c r="DE180" s="10">
        <v>2</v>
      </c>
      <c r="EZ180" s="146"/>
      <c r="FA180" s="146"/>
      <c r="FB180" s="146"/>
      <c r="FC180" s="146"/>
      <c r="FD180" s="146"/>
    </row>
    <row r="181" spans="2:160" ht="12.75">
      <c r="B181" s="96">
        <f>COUNT(R181:EY181,FE181:FM181)</f>
        <v>4</v>
      </c>
      <c r="C181" s="96">
        <f>IF(COUNT(R181:EY181,FE181:FM181)&gt;0,COUNT(R181:EY181,FE181:FM181),"")</f>
        <v>4</v>
      </c>
      <c r="D181" s="96">
        <f>IF(COUNT(T181:BJ181,BL181:BT181,BV181:CB181,CD181:EY181,FE181:FM181)&gt;0,COUNT(T181:BJ181,BL181:BT181,BV181:CB181,CD181:EY181,FE181:FM181),"")</f>
        <v>4</v>
      </c>
      <c r="E181" s="96">
        <f>IF(H181=1,COUNT(R181:EY181,FE181:FM181),"")</f>
        <v>4</v>
      </c>
      <c r="F181" s="96">
        <f>IF(H181=1,COUNT(T181:BJ181,BL181:BT181,BV181:CB181,CD181:EY181,FE181:FM181),"")</f>
        <v>4</v>
      </c>
      <c r="G181" s="96">
        <f>IF($B181&gt;=1,$M181,"")</f>
        <v>6.5</v>
      </c>
      <c r="H181" s="149">
        <f>IF(AND(M181&gt;0,M181&lt;=STATS!$C$22),1,"")</f>
        <v>1</v>
      </c>
      <c r="J181" s="34">
        <v>180</v>
      </c>
      <c r="K181" s="165">
        <v>46.1206</v>
      </c>
      <c r="L181" s="165">
        <v>-91.21206</v>
      </c>
      <c r="M181" s="10">
        <v>6.5</v>
      </c>
      <c r="N181" s="10" t="s">
        <v>563</v>
      </c>
      <c r="O181" s="190" t="s">
        <v>648</v>
      </c>
      <c r="Q181" s="10">
        <v>1</v>
      </c>
      <c r="R181" s="17"/>
      <c r="S181" s="17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>
        <v>1</v>
      </c>
      <c r="AF181" s="36"/>
      <c r="AG181" s="36"/>
      <c r="AH181" s="36"/>
      <c r="AQ181" s="10">
        <v>1</v>
      </c>
      <c r="CI181" s="10">
        <v>1</v>
      </c>
      <c r="DE181" s="10">
        <v>1</v>
      </c>
      <c r="EZ181" s="146"/>
      <c r="FA181" s="146"/>
      <c r="FB181" s="146">
        <v>1</v>
      </c>
      <c r="FC181" s="146"/>
      <c r="FD181" s="146"/>
    </row>
    <row r="182" spans="2:160" ht="12.75">
      <c r="B182" s="96">
        <f>COUNT(R182:EY182,FE182:FM182)</f>
        <v>2</v>
      </c>
      <c r="C182" s="96">
        <f>IF(COUNT(R182:EY182,FE182:FM182)&gt;0,COUNT(R182:EY182,FE182:FM182),"")</f>
        <v>2</v>
      </c>
      <c r="D182" s="96">
        <f>IF(COUNT(T182:BJ182,BL182:BT182,BV182:CB182,CD182:EY182,FE182:FM182)&gt;0,COUNT(T182:BJ182,BL182:BT182,BV182:CB182,CD182:EY182,FE182:FM182),"")</f>
        <v>2</v>
      </c>
      <c r="E182" s="96">
        <f>IF(H182=1,COUNT(R182:EY182,FE182:FM182),"")</f>
        <v>2</v>
      </c>
      <c r="F182" s="96">
        <f>IF(H182=1,COUNT(T182:BJ182,BL182:BT182,BV182:CB182,CD182:EY182,FE182:FM182),"")</f>
        <v>2</v>
      </c>
      <c r="G182" s="96">
        <f>IF($B182&gt;=1,$M182,"")</f>
        <v>6.5</v>
      </c>
      <c r="H182" s="149">
        <f>IF(AND(M182&gt;0,M182&lt;=STATS!$C$22),1,"")</f>
        <v>1</v>
      </c>
      <c r="J182" s="34">
        <v>181</v>
      </c>
      <c r="K182" s="165">
        <v>46.12083</v>
      </c>
      <c r="L182" s="165">
        <v>-91.22092</v>
      </c>
      <c r="M182" s="10">
        <v>6.5</v>
      </c>
      <c r="N182" s="10" t="s">
        <v>563</v>
      </c>
      <c r="O182" s="190" t="s">
        <v>648</v>
      </c>
      <c r="Q182" s="10">
        <v>1</v>
      </c>
      <c r="R182" s="17"/>
      <c r="S182" s="17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>
        <v>1</v>
      </c>
      <c r="AF182" s="36"/>
      <c r="AG182" s="36"/>
      <c r="AH182" s="36"/>
      <c r="BW182" s="10">
        <v>1</v>
      </c>
      <c r="CB182" s="10" t="s">
        <v>566</v>
      </c>
      <c r="DE182" s="10" t="s">
        <v>566</v>
      </c>
      <c r="EZ182" s="146"/>
      <c r="FA182" s="146"/>
      <c r="FB182" s="146"/>
      <c r="FC182" s="146"/>
      <c r="FD182" s="146"/>
    </row>
    <row r="183" spans="2:160" ht="12.75">
      <c r="B183" s="96">
        <f>COUNT(R183:EY183,FE183:FM183)</f>
        <v>0</v>
      </c>
      <c r="C183" s="96">
        <f>IF(COUNT(R183:EY183,FE183:FM183)&gt;0,COUNT(R183:EY183,FE183:FM183),"")</f>
      </c>
      <c r="D183" s="96">
        <f>IF(COUNT(T183:BJ183,BL183:BT183,BV183:CB183,CD183:EY183,FE183:FM183)&gt;0,COUNT(T183:BJ183,BL183:BT183,BV183:CB183,CD183:EY183,FE183:FM183),"")</f>
      </c>
      <c r="E183" s="96">
        <f>IF(H183=1,COUNT(R183:EY183,FE183:FM183),"")</f>
      </c>
      <c r="F183" s="96">
        <f>IF(H183=1,COUNT(T183:BJ183,BL183:BT183,BV183:CB183,CD183:EY183,FE183:FM183),"")</f>
      </c>
      <c r="G183" s="96">
        <f>IF($B183&gt;=1,$M183,"")</f>
      </c>
      <c r="H183" s="149">
        <f>IF(AND(M183&gt;0,M183&lt;=STATS!$C$22),1,"")</f>
      </c>
      <c r="J183" s="34">
        <v>182</v>
      </c>
      <c r="K183" s="165">
        <v>46.12084</v>
      </c>
      <c r="L183" s="165">
        <v>-91.22046</v>
      </c>
      <c r="M183" s="10">
        <v>19.5</v>
      </c>
      <c r="R183" s="17"/>
      <c r="S183" s="17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EZ183" s="146"/>
      <c r="FA183" s="146"/>
      <c r="FB183" s="146"/>
      <c r="FC183" s="146"/>
      <c r="FD183" s="146"/>
    </row>
    <row r="184" spans="2:160" ht="12.75">
      <c r="B184" s="96">
        <f>COUNT(R184:EY184,FE184:FM184)</f>
        <v>0</v>
      </c>
      <c r="C184" s="96">
        <f>IF(COUNT(R184:EY184,FE184:FM184)&gt;0,COUNT(R184:EY184,FE184:FM184),"")</f>
      </c>
      <c r="D184" s="96">
        <f>IF(COUNT(T184:BJ184,BL184:BT184,BV184:CB184,CD184:EY184,FE184:FM184)&gt;0,COUNT(T184:BJ184,BL184:BT184,BV184:CB184,CD184:EY184,FE184:FM184),"")</f>
      </c>
      <c r="E184" s="96">
        <f>IF(H184=1,COUNT(R184:EY184,FE184:FM184),"")</f>
      </c>
      <c r="F184" s="96">
        <f>IF(H184=1,COUNT(T184:BJ184,BL184:BT184,BV184:CB184,CD184:EY184,FE184:FM184),"")</f>
      </c>
      <c r="G184" s="96">
        <f>IF($B184&gt;=1,$M184,"")</f>
      </c>
      <c r="H184" s="149">
        <f>IF(AND(M184&gt;0,M184&lt;=STATS!$C$22),1,"")</f>
      </c>
      <c r="J184" s="34">
        <v>183</v>
      </c>
      <c r="K184" s="165">
        <v>46.12084</v>
      </c>
      <c r="L184" s="165">
        <v>-91.21999</v>
      </c>
      <c r="M184" s="10">
        <v>17</v>
      </c>
      <c r="R184" s="17"/>
      <c r="S184" s="17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EZ184" s="146"/>
      <c r="FA184" s="146"/>
      <c r="FB184" s="146"/>
      <c r="FC184" s="146"/>
      <c r="FD184" s="146"/>
    </row>
    <row r="185" spans="2:160" ht="12.75">
      <c r="B185" s="96">
        <f>COUNT(R185:EY185,FE185:FM185)</f>
        <v>4</v>
      </c>
      <c r="C185" s="96">
        <f>IF(COUNT(R185:EY185,FE185:FM185)&gt;0,COUNT(R185:EY185,FE185:FM185),"")</f>
        <v>4</v>
      </c>
      <c r="D185" s="96">
        <f>IF(COUNT(T185:BJ185,BL185:BT185,BV185:CB185,CD185:EY185,FE185:FM185)&gt;0,COUNT(T185:BJ185,BL185:BT185,BV185:CB185,CD185:EY185,FE185:FM185),"")</f>
        <v>4</v>
      </c>
      <c r="E185" s="96">
        <f>IF(H185=1,COUNT(R185:EY185,FE185:FM185),"")</f>
        <v>4</v>
      </c>
      <c r="F185" s="96">
        <f>IF(H185=1,COUNT(T185:BJ185,BL185:BT185,BV185:CB185,CD185:EY185,FE185:FM185),"")</f>
        <v>4</v>
      </c>
      <c r="G185" s="96">
        <f>IF($B185&gt;=1,$M185,"")</f>
        <v>2.5</v>
      </c>
      <c r="H185" s="149">
        <f>IF(AND(M185&gt;0,M185&lt;=STATS!$C$22),1,"")</f>
        <v>1</v>
      </c>
      <c r="J185" s="34">
        <v>184</v>
      </c>
      <c r="K185" s="165">
        <v>46.12086</v>
      </c>
      <c r="L185" s="165">
        <v>-91.21813</v>
      </c>
      <c r="M185" s="10">
        <v>2.5</v>
      </c>
      <c r="N185" s="10" t="s">
        <v>564</v>
      </c>
      <c r="O185" s="190" t="s">
        <v>648</v>
      </c>
      <c r="Q185" s="10">
        <v>1</v>
      </c>
      <c r="R185" s="17"/>
      <c r="S185" s="17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>
        <v>1</v>
      </c>
      <c r="AF185" s="36"/>
      <c r="AG185" s="36"/>
      <c r="AH185" s="36"/>
      <c r="AO185" s="10">
        <v>1</v>
      </c>
      <c r="AW185" s="10">
        <v>1</v>
      </c>
      <c r="CB185" s="10" t="s">
        <v>566</v>
      </c>
      <c r="CY185" s="10">
        <v>1</v>
      </c>
      <c r="EZ185" s="146"/>
      <c r="FA185" s="146"/>
      <c r="FB185" s="146"/>
      <c r="FC185" s="146"/>
      <c r="FD185" s="146"/>
    </row>
    <row r="186" spans="2:160" ht="12.75">
      <c r="B186" s="96">
        <f>COUNT(R186:EY186,FE186:FM186)</f>
        <v>0</v>
      </c>
      <c r="C186" s="96">
        <f>IF(COUNT(R186:EY186,FE186:FM186)&gt;0,COUNT(R186:EY186,FE186:FM186),"")</f>
      </c>
      <c r="D186" s="96">
        <f>IF(COUNT(T186:BJ186,BL186:BT186,BV186:CB186,CD186:EY186,FE186:FM186)&gt;0,COUNT(T186:BJ186,BL186:BT186,BV186:CB186,CD186:EY186,FE186:FM186),"")</f>
      </c>
      <c r="E186" s="96">
        <f>IF(H186=1,COUNT(R186:EY186,FE186:FM186),"")</f>
      </c>
      <c r="F186" s="96">
        <f>IF(H186=1,COUNT(T186:BJ186,BL186:BT186,BV186:CB186,CD186:EY186,FE186:FM186),"")</f>
      </c>
      <c r="G186" s="96">
        <f>IF($B186&gt;=1,$M186,"")</f>
      </c>
      <c r="H186" s="149">
        <f>IF(AND(M186&gt;0,M186&lt;=STATS!$C$22),1,"")</f>
      </c>
      <c r="J186" s="34">
        <v>185</v>
      </c>
      <c r="K186" s="165">
        <v>46.12087</v>
      </c>
      <c r="L186" s="165">
        <v>-91.21766</v>
      </c>
      <c r="M186" s="10">
        <v>24</v>
      </c>
      <c r="R186" s="17"/>
      <c r="S186" s="17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EZ186" s="146"/>
      <c r="FA186" s="146"/>
      <c r="FB186" s="146"/>
      <c r="FC186" s="146"/>
      <c r="FD186" s="146"/>
    </row>
    <row r="187" spans="2:160" ht="12.75">
      <c r="B187" s="96">
        <f>COUNT(R187:EY187,FE187:FM187)</f>
        <v>0</v>
      </c>
      <c r="C187" s="96">
        <f>IF(COUNT(R187:EY187,FE187:FM187)&gt;0,COUNT(R187:EY187,FE187:FM187),"")</f>
      </c>
      <c r="D187" s="96">
        <f>IF(COUNT(T187:BJ187,BL187:BT187,BV187:CB187,CD187:EY187,FE187:FM187)&gt;0,COUNT(T187:BJ187,BL187:BT187,BV187:CB187,CD187:EY187,FE187:FM187),"")</f>
      </c>
      <c r="E187" s="96">
        <f>IF(H187=1,COUNT(R187:EY187,FE187:FM187),"")</f>
      </c>
      <c r="F187" s="96">
        <f>IF(H187=1,COUNT(T187:BJ187,BL187:BT187,BV187:CB187,CD187:EY187,FE187:FM187),"")</f>
      </c>
      <c r="G187" s="96">
        <f>IF($B187&gt;=1,$M187,"")</f>
      </c>
      <c r="H187" s="149">
        <f>IF(AND(M187&gt;0,M187&lt;=STATS!$C$22),1,"")</f>
      </c>
      <c r="J187" s="34">
        <v>186</v>
      </c>
      <c r="K187" s="165">
        <v>46.12087</v>
      </c>
      <c r="L187" s="165">
        <v>-91.2172</v>
      </c>
      <c r="M187" s="10">
        <v>24</v>
      </c>
      <c r="R187" s="17"/>
      <c r="S187" s="17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EZ187" s="146"/>
      <c r="FA187" s="146"/>
      <c r="FB187" s="146"/>
      <c r="FC187" s="146"/>
      <c r="FD187" s="146"/>
    </row>
    <row r="188" spans="2:160" ht="12.75">
      <c r="B188" s="96">
        <f>COUNT(R188:EY188,FE188:FM188)</f>
        <v>0</v>
      </c>
      <c r="C188" s="96">
        <f>IF(COUNT(R188:EY188,FE188:FM188)&gt;0,COUNT(R188:EY188,FE188:FM188),"")</f>
      </c>
      <c r="D188" s="96">
        <f>IF(COUNT(T188:BJ188,BL188:BT188,BV188:CB188,CD188:EY188,FE188:FM188)&gt;0,COUNT(T188:BJ188,BL188:BT188,BV188:CB188,CD188:EY188,FE188:FM188),"")</f>
      </c>
      <c r="E188" s="96">
        <f>IF(H188=1,COUNT(R188:EY188,FE188:FM188),"")</f>
      </c>
      <c r="F188" s="96">
        <f>IF(H188=1,COUNT(T188:BJ188,BL188:BT188,BV188:CB188,CD188:EY188,FE188:FM188),"")</f>
      </c>
      <c r="G188" s="96">
        <f>IF($B188&gt;=1,$M188,"")</f>
      </c>
      <c r="H188" s="149">
        <f>IF(AND(M188&gt;0,M188&lt;=STATS!$C$22),1,"")</f>
      </c>
      <c r="J188" s="34">
        <v>187</v>
      </c>
      <c r="K188" s="165">
        <v>46.12088</v>
      </c>
      <c r="L188" s="165">
        <v>-91.21673</v>
      </c>
      <c r="M188" s="10">
        <v>24.5</v>
      </c>
      <c r="R188" s="17"/>
      <c r="S188" s="17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EZ188" s="146"/>
      <c r="FA188" s="146"/>
      <c r="FB188" s="146"/>
      <c r="FC188" s="146"/>
      <c r="FD188" s="146"/>
    </row>
    <row r="189" spans="2:160" ht="12.75">
      <c r="B189" s="96">
        <f>COUNT(R189:EY189,FE189:FM189)</f>
        <v>0</v>
      </c>
      <c r="C189" s="96">
        <f>IF(COUNT(R189:EY189,FE189:FM189)&gt;0,COUNT(R189:EY189,FE189:FM189),"")</f>
      </c>
      <c r="D189" s="96">
        <f>IF(COUNT(T189:BJ189,BL189:BT189,BV189:CB189,CD189:EY189,FE189:FM189)&gt;0,COUNT(T189:BJ189,BL189:BT189,BV189:CB189,CD189:EY189,FE189:FM189),"")</f>
      </c>
      <c r="E189" s="96">
        <f>IF(H189=1,COUNT(R189:EY189,FE189:FM189),"")</f>
      </c>
      <c r="F189" s="96">
        <f>IF(H189=1,COUNT(T189:BJ189,BL189:BT189,BV189:CB189,CD189:EY189,FE189:FM189),"")</f>
      </c>
      <c r="G189" s="96">
        <f>IF($B189&gt;=1,$M189,"")</f>
      </c>
      <c r="H189" s="149">
        <f>IF(AND(M189&gt;0,M189&lt;=STATS!$C$22),1,"")</f>
      </c>
      <c r="J189" s="34">
        <v>188</v>
      </c>
      <c r="K189" s="165">
        <v>46.12088</v>
      </c>
      <c r="L189" s="165">
        <v>-91.21626</v>
      </c>
      <c r="M189" s="10">
        <v>25</v>
      </c>
      <c r="R189" s="17"/>
      <c r="S189" s="17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EZ189" s="146"/>
      <c r="FA189" s="146"/>
      <c r="FB189" s="146"/>
      <c r="FC189" s="146"/>
      <c r="FD189" s="146"/>
    </row>
    <row r="190" spans="2:160" ht="12.75">
      <c r="B190" s="96">
        <f>COUNT(R190:EY190,FE190:FM190)</f>
        <v>0</v>
      </c>
      <c r="C190" s="96">
        <f>IF(COUNT(R190:EY190,FE190:FM190)&gt;0,COUNT(R190:EY190,FE190:FM190),"")</f>
      </c>
      <c r="D190" s="96">
        <f>IF(COUNT(T190:BJ190,BL190:BT190,BV190:CB190,CD190:EY190,FE190:FM190)&gt;0,COUNT(T190:BJ190,BL190:BT190,BV190:CB190,CD190:EY190,FE190:FM190),"")</f>
      </c>
      <c r="E190" s="96">
        <f>IF(H190=1,COUNT(R190:EY190,FE190:FM190),"")</f>
      </c>
      <c r="F190" s="96">
        <f>IF(H190=1,COUNT(T190:BJ190,BL190:BT190,BV190:CB190,CD190:EY190,FE190:FM190),"")</f>
      </c>
      <c r="G190" s="96">
        <f>IF($B190&gt;=1,$M190,"")</f>
      </c>
      <c r="H190" s="149">
        <f>IF(AND(M190&gt;0,M190&lt;=STATS!$C$22),1,"")</f>
      </c>
      <c r="J190" s="34">
        <v>189</v>
      </c>
      <c r="K190" s="165">
        <v>46.12089</v>
      </c>
      <c r="L190" s="165">
        <v>-91.2158</v>
      </c>
      <c r="M190" s="10">
        <v>25</v>
      </c>
      <c r="R190" s="17"/>
      <c r="S190" s="17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EZ190" s="146"/>
      <c r="FA190" s="146"/>
      <c r="FB190" s="146"/>
      <c r="FC190" s="146"/>
      <c r="FD190" s="146"/>
    </row>
    <row r="191" spans="2:160" ht="12.75">
      <c r="B191" s="96">
        <f>COUNT(R191:EY191,FE191:FM191)</f>
        <v>0</v>
      </c>
      <c r="C191" s="96">
        <f>IF(COUNT(R191:EY191,FE191:FM191)&gt;0,COUNT(R191:EY191,FE191:FM191),"")</f>
      </c>
      <c r="D191" s="96">
        <f>IF(COUNT(T191:BJ191,BL191:BT191,BV191:CB191,CD191:EY191,FE191:FM191)&gt;0,COUNT(T191:BJ191,BL191:BT191,BV191:CB191,CD191:EY191,FE191:FM191),"")</f>
      </c>
      <c r="E191" s="96">
        <f>IF(H191=1,COUNT(R191:EY191,FE191:FM191),"")</f>
      </c>
      <c r="F191" s="96">
        <f>IF(H191=1,COUNT(T191:BJ191,BL191:BT191,BV191:CB191,CD191:EY191,FE191:FM191),"")</f>
      </c>
      <c r="G191" s="96">
        <f>IF($B191&gt;=1,$M191,"")</f>
      </c>
      <c r="H191" s="149">
        <f>IF(AND(M191&gt;0,M191&lt;=STATS!$C$22),1,"")</f>
      </c>
      <c r="J191" s="34">
        <v>190</v>
      </c>
      <c r="K191" s="165">
        <v>46.12089</v>
      </c>
      <c r="L191" s="165">
        <v>-91.21533</v>
      </c>
      <c r="M191" s="10">
        <v>26.5</v>
      </c>
      <c r="R191" s="17"/>
      <c r="S191" s="17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EZ191" s="146"/>
      <c r="FA191" s="146"/>
      <c r="FB191" s="146"/>
      <c r="FC191" s="146"/>
      <c r="FD191" s="146"/>
    </row>
    <row r="192" spans="2:160" ht="12.75">
      <c r="B192" s="96">
        <f>COUNT(R192:EY192,FE192:FM192)</f>
        <v>0</v>
      </c>
      <c r="C192" s="96">
        <f>IF(COUNT(R192:EY192,FE192:FM192)&gt;0,COUNT(R192:EY192,FE192:FM192),"")</f>
      </c>
      <c r="D192" s="96">
        <f>IF(COUNT(T192:BJ192,BL192:BT192,BV192:CB192,CD192:EY192,FE192:FM192)&gt;0,COUNT(T192:BJ192,BL192:BT192,BV192:CB192,CD192:EY192,FE192:FM192),"")</f>
      </c>
      <c r="E192" s="96">
        <f>IF(H192=1,COUNT(R192:EY192,FE192:FM192),"")</f>
      </c>
      <c r="F192" s="96">
        <f>IF(H192=1,COUNT(T192:BJ192,BL192:BT192,BV192:CB192,CD192:EY192,FE192:FM192),"")</f>
      </c>
      <c r="G192" s="96">
        <f>IF($B192&gt;=1,$M192,"")</f>
      </c>
      <c r="H192" s="149">
        <f>IF(AND(M192&gt;0,M192&lt;=STATS!$C$22),1,"")</f>
      </c>
      <c r="J192" s="34">
        <v>191</v>
      </c>
      <c r="K192" s="165">
        <v>46.1209</v>
      </c>
      <c r="L192" s="165">
        <v>-91.21487</v>
      </c>
      <c r="M192" s="10">
        <v>25.5</v>
      </c>
      <c r="R192" s="17"/>
      <c r="S192" s="17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EZ192" s="146"/>
      <c r="FA192" s="146"/>
      <c r="FB192" s="146"/>
      <c r="FC192" s="146"/>
      <c r="FD192" s="146"/>
    </row>
    <row r="193" spans="2:160" ht="12.75">
      <c r="B193" s="96">
        <f>COUNT(R193:EY193,FE193:FM193)</f>
        <v>0</v>
      </c>
      <c r="C193" s="96">
        <f>IF(COUNT(R193:EY193,FE193:FM193)&gt;0,COUNT(R193:EY193,FE193:FM193),"")</f>
      </c>
      <c r="D193" s="96">
        <f>IF(COUNT(T193:BJ193,BL193:BT193,BV193:CB193,CD193:EY193,FE193:FM193)&gt;0,COUNT(T193:BJ193,BL193:BT193,BV193:CB193,CD193:EY193,FE193:FM193),"")</f>
      </c>
      <c r="E193" s="96">
        <f>IF(H193=1,COUNT(R193:EY193,FE193:FM193),"")</f>
      </c>
      <c r="F193" s="96">
        <f>IF(H193=1,COUNT(T193:BJ193,BL193:BT193,BV193:CB193,CD193:EY193,FE193:FM193),"")</f>
      </c>
      <c r="G193" s="96">
        <f>IF($B193&gt;=1,$M193,"")</f>
      </c>
      <c r="H193" s="149">
        <f>IF(AND(M193&gt;0,M193&lt;=STATS!$C$22),1,"")</f>
      </c>
      <c r="J193" s="34">
        <v>192</v>
      </c>
      <c r="K193" s="165">
        <v>46.1209</v>
      </c>
      <c r="L193" s="165">
        <v>-91.2144</v>
      </c>
      <c r="M193" s="10">
        <v>24</v>
      </c>
      <c r="R193" s="17"/>
      <c r="S193" s="17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EZ193" s="146"/>
      <c r="FA193" s="146"/>
      <c r="FB193" s="146"/>
      <c r="FC193" s="146"/>
      <c r="FD193" s="146"/>
    </row>
    <row r="194" spans="2:160" ht="12.75">
      <c r="B194" s="96">
        <f>COUNT(R194:EY194,FE194:FM194)</f>
        <v>0</v>
      </c>
      <c r="C194" s="96">
        <f>IF(COUNT(R194:EY194,FE194:FM194)&gt;0,COUNT(R194:EY194,FE194:FM194),"")</f>
      </c>
      <c r="D194" s="96">
        <f>IF(COUNT(T194:BJ194,BL194:BT194,BV194:CB194,CD194:EY194,FE194:FM194)&gt;0,COUNT(T194:BJ194,BL194:BT194,BV194:CB194,CD194:EY194,FE194:FM194),"")</f>
      </c>
      <c r="E194" s="96">
        <f>IF(H194=1,COUNT(R194:EY194,FE194:FM194),"")</f>
      </c>
      <c r="F194" s="96">
        <f>IF(H194=1,COUNT(T194:BJ194,BL194:BT194,BV194:CB194,CD194:EY194,FE194:FM194),"")</f>
      </c>
      <c r="G194" s="96">
        <f>IF($B194&gt;=1,$M194,"")</f>
      </c>
      <c r="H194" s="149">
        <f>IF(AND(M194&gt;0,M194&lt;=STATS!$C$22),1,"")</f>
      </c>
      <c r="J194" s="34">
        <v>193</v>
      </c>
      <c r="K194" s="165">
        <v>46.12091</v>
      </c>
      <c r="L194" s="165">
        <v>-91.21394</v>
      </c>
      <c r="M194" s="10">
        <v>19.5</v>
      </c>
      <c r="R194" s="17"/>
      <c r="S194" s="17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EZ194" s="146"/>
      <c r="FA194" s="146"/>
      <c r="FB194" s="146"/>
      <c r="FC194" s="146"/>
      <c r="FD194" s="146"/>
    </row>
    <row r="195" spans="2:160" ht="12.75">
      <c r="B195" s="96">
        <f>COUNT(R195:EY195,FE195:FM195)</f>
        <v>0</v>
      </c>
      <c r="C195" s="96">
        <f>IF(COUNT(R195:EY195,FE195:FM195)&gt;0,COUNT(R195:EY195,FE195:FM195),"")</f>
      </c>
      <c r="D195" s="96">
        <f>IF(COUNT(T195:BJ195,BL195:BT195,BV195:CB195,CD195:EY195,FE195:FM195)&gt;0,COUNT(T195:BJ195,BL195:BT195,BV195:CB195,CD195:EY195,FE195:FM195),"")</f>
      </c>
      <c r="E195" s="96">
        <f>IF(H195=1,COUNT(R195:EY195,FE195:FM195),"")</f>
      </c>
      <c r="F195" s="96">
        <f>IF(H195=1,COUNT(T195:BJ195,BL195:BT195,BV195:CB195,CD195:EY195,FE195:FM195),"")</f>
      </c>
      <c r="G195" s="96">
        <f>IF($B195&gt;=1,$M195,"")</f>
      </c>
      <c r="H195" s="149">
        <f>IF(AND(M195&gt;0,M195&lt;=STATS!$C$22),1,"")</f>
      </c>
      <c r="J195" s="34">
        <v>194</v>
      </c>
      <c r="K195" s="165">
        <v>46.12091</v>
      </c>
      <c r="L195" s="165">
        <v>-91.21347</v>
      </c>
      <c r="M195" s="10">
        <v>14.5</v>
      </c>
      <c r="N195" s="10" t="s">
        <v>563</v>
      </c>
      <c r="O195" s="190" t="s">
        <v>648</v>
      </c>
      <c r="R195" s="17"/>
      <c r="S195" s="17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EZ195" s="146"/>
      <c r="FA195" s="146"/>
      <c r="FB195" s="146"/>
      <c r="FC195" s="146"/>
      <c r="FD195" s="146"/>
    </row>
    <row r="196" spans="2:160" ht="12.75">
      <c r="B196" s="96">
        <f>COUNT(R196:EY196,FE196:FM196)</f>
        <v>0</v>
      </c>
      <c r="C196" s="96">
        <f>IF(COUNT(R196:EY196,FE196:FM196)&gt;0,COUNT(R196:EY196,FE196:FM196),"")</f>
      </c>
      <c r="D196" s="96">
        <f>IF(COUNT(T196:BJ196,BL196:BT196,BV196:CB196,CD196:EY196,FE196:FM196)&gt;0,COUNT(T196:BJ196,BL196:BT196,BV196:CB196,CD196:EY196,FE196:FM196),"")</f>
      </c>
      <c r="E196" s="96">
        <f>IF(H196=1,COUNT(R196:EY196,FE196:FM196),"")</f>
      </c>
      <c r="F196" s="96">
        <f>IF(H196=1,COUNT(T196:BJ196,BL196:BT196,BV196:CB196,CD196:EY196,FE196:FM196),"")</f>
      </c>
      <c r="G196" s="96">
        <f>IF($B196&gt;=1,$M196,"")</f>
      </c>
      <c r="H196" s="149">
        <f>IF(AND(M196&gt;0,M196&lt;=STATS!$C$22),1,"")</f>
      </c>
      <c r="J196" s="34">
        <v>195</v>
      </c>
      <c r="K196" s="165">
        <v>46.12092</v>
      </c>
      <c r="L196" s="165">
        <v>-91.213</v>
      </c>
      <c r="M196" s="10">
        <v>15</v>
      </c>
      <c r="N196" s="10" t="s">
        <v>563</v>
      </c>
      <c r="O196" s="190" t="s">
        <v>648</v>
      </c>
      <c r="R196" s="17"/>
      <c r="S196" s="17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EZ196" s="146"/>
      <c r="FA196" s="146"/>
      <c r="FB196" s="146"/>
      <c r="FC196" s="146"/>
      <c r="FD196" s="146"/>
    </row>
    <row r="197" spans="2:160" ht="12.75">
      <c r="B197" s="96">
        <f>COUNT(R197:EY197,FE197:FM197)</f>
        <v>0</v>
      </c>
      <c r="C197" s="96">
        <f>IF(COUNT(R197:EY197,FE197:FM197)&gt;0,COUNT(R197:EY197,FE197:FM197),"")</f>
      </c>
      <c r="D197" s="96">
        <f>IF(COUNT(T197:BJ197,BL197:BT197,BV197:CB197,CD197:EY197,FE197:FM197)&gt;0,COUNT(T197:BJ197,BL197:BT197,BV197:CB197,CD197:EY197,FE197:FM197),"")</f>
      </c>
      <c r="E197" s="96">
        <f>IF(H197=1,COUNT(R197:EY197,FE197:FM197),"")</f>
        <v>0</v>
      </c>
      <c r="F197" s="96">
        <f>IF(H197=1,COUNT(T197:BJ197,BL197:BT197,BV197:CB197,CD197:EY197,FE197:FM197),"")</f>
        <v>0</v>
      </c>
      <c r="G197" s="96">
        <f>IF($B197&gt;=1,$M197,"")</f>
      </c>
      <c r="H197" s="149">
        <f>IF(AND(M197&gt;0,M197&lt;=STATS!$C$22),1,"")</f>
        <v>1</v>
      </c>
      <c r="J197" s="34">
        <v>196</v>
      </c>
      <c r="K197" s="165">
        <v>46.12092</v>
      </c>
      <c r="L197" s="165">
        <v>-91.21254</v>
      </c>
      <c r="M197" s="10">
        <v>14</v>
      </c>
      <c r="N197" s="10" t="s">
        <v>563</v>
      </c>
      <c r="O197" s="190" t="s">
        <v>648</v>
      </c>
      <c r="R197" s="17"/>
      <c r="S197" s="17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EZ197" s="146"/>
      <c r="FA197" s="146"/>
      <c r="FB197" s="146"/>
      <c r="FC197" s="146"/>
      <c r="FD197" s="146"/>
    </row>
    <row r="198" spans="2:160" ht="12.75">
      <c r="B198" s="96">
        <f>COUNT(R198:EY198,FE198:FM198)</f>
        <v>0</v>
      </c>
      <c r="C198" s="96">
        <f>IF(COUNT(R198:EY198,FE198:FM198)&gt;0,COUNT(R198:EY198,FE198:FM198),"")</f>
      </c>
      <c r="D198" s="96">
        <f>IF(COUNT(T198:BJ198,BL198:BT198,BV198:CB198,CD198:EY198,FE198:FM198)&gt;0,COUNT(T198:BJ198,BL198:BT198,BV198:CB198,CD198:EY198,FE198:FM198),"")</f>
      </c>
      <c r="E198" s="96">
        <f>IF(H198=1,COUNT(R198:EY198,FE198:FM198),"")</f>
      </c>
      <c r="F198" s="96">
        <f>IF(H198=1,COUNT(T198:BJ198,BL198:BT198,BV198:CB198,CD198:EY198,FE198:FM198),"")</f>
      </c>
      <c r="G198" s="96">
        <f>IF($B198&gt;=1,$M198,"")</f>
      </c>
      <c r="H198" s="149">
        <f>IF(AND(M198&gt;0,M198&lt;=STATS!$C$22),1,"")</f>
      </c>
      <c r="J198" s="34">
        <v>197</v>
      </c>
      <c r="K198" s="165">
        <v>46.12093</v>
      </c>
      <c r="L198" s="165">
        <v>-91.21207</v>
      </c>
      <c r="M198" s="10">
        <v>15</v>
      </c>
      <c r="N198" s="10" t="s">
        <v>563</v>
      </c>
      <c r="O198" s="190" t="s">
        <v>648</v>
      </c>
      <c r="R198" s="17"/>
      <c r="S198" s="17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EZ198" s="146"/>
      <c r="FA198" s="146"/>
      <c r="FB198" s="146"/>
      <c r="FC198" s="146"/>
      <c r="FD198" s="146"/>
    </row>
    <row r="199" spans="2:160" ht="12.75">
      <c r="B199" s="96">
        <f>COUNT(R199:EY199,FE199:FM199)</f>
        <v>0</v>
      </c>
      <c r="C199" s="96">
        <f>IF(COUNT(R199:EY199,FE199:FM199)&gt;0,COUNT(R199:EY199,FE199:FM199),"")</f>
      </c>
      <c r="D199" s="96">
        <f>IF(COUNT(T199:BJ199,BL199:BT199,BV199:CB199,CD199:EY199,FE199:FM199)&gt;0,COUNT(T199:BJ199,BL199:BT199,BV199:CB199,CD199:EY199,FE199:FM199),"")</f>
      </c>
      <c r="E199" s="96">
        <f>IF(H199=1,COUNT(R199:EY199,FE199:FM199),"")</f>
        <v>0</v>
      </c>
      <c r="F199" s="96">
        <f>IF(H199=1,COUNT(T199:BJ199,BL199:BT199,BV199:CB199,CD199:EY199,FE199:FM199),"")</f>
        <v>0</v>
      </c>
      <c r="G199" s="96">
        <f>IF($B199&gt;=1,$M199,"")</f>
      </c>
      <c r="H199" s="149">
        <f>IF(AND(M199&gt;0,M199&lt;=STATS!$C$22),1,"")</f>
        <v>1</v>
      </c>
      <c r="J199" s="34">
        <v>198</v>
      </c>
      <c r="K199" s="165">
        <v>46.12093</v>
      </c>
      <c r="L199" s="165">
        <v>-91.21161</v>
      </c>
      <c r="M199" s="10">
        <v>13</v>
      </c>
      <c r="N199" s="10" t="s">
        <v>563</v>
      </c>
      <c r="O199" s="190" t="s">
        <v>648</v>
      </c>
      <c r="P199" s="161"/>
      <c r="R199" s="17"/>
      <c r="S199" s="17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EZ199" s="146"/>
      <c r="FA199" s="146"/>
      <c r="FB199" s="146"/>
      <c r="FC199" s="146"/>
      <c r="FD199" s="146"/>
    </row>
    <row r="200" spans="2:160" ht="12.75">
      <c r="B200" s="96">
        <f>COUNT(R200:EY200,FE200:FM200)</f>
        <v>1</v>
      </c>
      <c r="C200" s="96">
        <f>IF(COUNT(R200:EY200,FE200:FM200)&gt;0,COUNT(R200:EY200,FE200:FM200),"")</f>
        <v>1</v>
      </c>
      <c r="D200" s="96">
        <f>IF(COUNT(T200:BJ200,BL200:BT200,BV200:CB200,CD200:EY200,FE200:FM200)&gt;0,COUNT(T200:BJ200,BL200:BT200,BV200:CB200,CD200:EY200,FE200:FM200),"")</f>
        <v>1</v>
      </c>
      <c r="E200" s="96">
        <f>IF(H200=1,COUNT(R200:EY200,FE200:FM200),"")</f>
        <v>1</v>
      </c>
      <c r="F200" s="96">
        <f>IF(H200=1,COUNT(T200:BJ200,BL200:BT200,BV200:CB200,CD200:EY200,FE200:FM200),"")</f>
        <v>1</v>
      </c>
      <c r="G200" s="96">
        <f>IF($B200&gt;=1,$M200,"")</f>
        <v>10.5</v>
      </c>
      <c r="H200" s="149">
        <f>IF(AND(M200&gt;0,M200&lt;=STATS!$C$22),1,"")</f>
        <v>1</v>
      </c>
      <c r="J200" s="34">
        <v>199</v>
      </c>
      <c r="K200" s="165">
        <v>46.12094</v>
      </c>
      <c r="L200" s="165">
        <v>-91.21114</v>
      </c>
      <c r="M200" s="10">
        <v>10.5</v>
      </c>
      <c r="N200" s="10" t="s">
        <v>563</v>
      </c>
      <c r="O200" s="190" t="s">
        <v>648</v>
      </c>
      <c r="Q200" s="10">
        <v>1</v>
      </c>
      <c r="R200" s="17"/>
      <c r="S200" s="17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BW200" s="10">
        <v>1</v>
      </c>
      <c r="EZ200" s="146"/>
      <c r="FA200" s="146"/>
      <c r="FB200" s="146"/>
      <c r="FC200" s="146"/>
      <c r="FD200" s="146"/>
    </row>
    <row r="201" spans="2:160" ht="12.75">
      <c r="B201" s="96">
        <f>COUNT(R201:EY201,FE201:FM201)</f>
        <v>2</v>
      </c>
      <c r="C201" s="96">
        <f>IF(COUNT(R201:EY201,FE201:FM201)&gt;0,COUNT(R201:EY201,FE201:FM201),"")</f>
        <v>2</v>
      </c>
      <c r="D201" s="96">
        <f>IF(COUNT(T201:BJ201,BL201:BT201,BV201:CB201,CD201:EY201,FE201:FM201)&gt;0,COUNT(T201:BJ201,BL201:BT201,BV201:CB201,CD201:EY201,FE201:FM201),"")</f>
        <v>2</v>
      </c>
      <c r="E201" s="96">
        <f>IF(H201=1,COUNT(R201:EY201,FE201:FM201),"")</f>
        <v>2</v>
      </c>
      <c r="F201" s="96">
        <f>IF(H201=1,COUNT(T201:BJ201,BL201:BT201,BV201:CB201,CD201:EY201,FE201:FM201),"")</f>
        <v>2</v>
      </c>
      <c r="G201" s="96">
        <f>IF($B201&gt;=1,$M201,"")</f>
        <v>6</v>
      </c>
      <c r="H201" s="149">
        <f>IF(AND(M201&gt;0,M201&lt;=STATS!$C$22),1,"")</f>
        <v>1</v>
      </c>
      <c r="J201" s="34">
        <v>200</v>
      </c>
      <c r="K201" s="165">
        <v>46.12094</v>
      </c>
      <c r="L201" s="165">
        <v>-91.21067</v>
      </c>
      <c r="M201" s="10">
        <v>6</v>
      </c>
      <c r="N201" s="10" t="s">
        <v>565</v>
      </c>
      <c r="O201" s="190" t="s">
        <v>648</v>
      </c>
      <c r="Q201" s="10">
        <v>1</v>
      </c>
      <c r="R201" s="17"/>
      <c r="S201" s="17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>
        <v>1</v>
      </c>
      <c r="AF201" s="36"/>
      <c r="AG201" s="36"/>
      <c r="AH201" s="36"/>
      <c r="BR201" s="10">
        <v>1</v>
      </c>
      <c r="EZ201" s="146"/>
      <c r="FA201" s="146"/>
      <c r="FB201" s="146">
        <v>1</v>
      </c>
      <c r="FC201" s="146"/>
      <c r="FD201" s="146"/>
    </row>
    <row r="202" spans="2:160" ht="12.75">
      <c r="B202" s="96">
        <f>COUNT(R202:EY202,FE202:FM202)</f>
        <v>8</v>
      </c>
      <c r="C202" s="96">
        <f>IF(COUNT(R202:EY202,FE202:FM202)&gt;0,COUNT(R202:EY202,FE202:FM202),"")</f>
        <v>8</v>
      </c>
      <c r="D202" s="96">
        <f>IF(COUNT(T202:BJ202,BL202:BT202,BV202:CB202,CD202:EY202,FE202:FM202)&gt;0,COUNT(T202:BJ202,BL202:BT202,BV202:CB202,CD202:EY202,FE202:FM202),"")</f>
        <v>8</v>
      </c>
      <c r="E202" s="96">
        <f>IF(H202=1,COUNT(R202:EY202,FE202:FM202),"")</f>
        <v>8</v>
      </c>
      <c r="F202" s="96">
        <f>IF(H202=1,COUNT(T202:BJ202,BL202:BT202,BV202:CB202,CD202:EY202,FE202:FM202),"")</f>
        <v>8</v>
      </c>
      <c r="G202" s="96">
        <f>IF($B202&gt;=1,$M202,"")</f>
        <v>3.5</v>
      </c>
      <c r="H202" s="149">
        <f>IF(AND(M202&gt;0,M202&lt;=STATS!$C$22),1,"")</f>
        <v>1</v>
      </c>
      <c r="J202" s="34">
        <v>201</v>
      </c>
      <c r="K202" s="165">
        <v>46.12116</v>
      </c>
      <c r="L202" s="165">
        <v>-91.22093</v>
      </c>
      <c r="M202" s="10">
        <v>3.5</v>
      </c>
      <c r="N202" s="10" t="s">
        <v>563</v>
      </c>
      <c r="O202" s="190" t="s">
        <v>648</v>
      </c>
      <c r="Q202" s="10">
        <v>3</v>
      </c>
      <c r="R202" s="17"/>
      <c r="S202" s="17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>
        <v>1</v>
      </c>
      <c r="AF202" s="36"/>
      <c r="AG202" s="36">
        <v>2</v>
      </c>
      <c r="AH202" s="36"/>
      <c r="BR202" s="10">
        <v>2</v>
      </c>
      <c r="CB202" s="10">
        <v>1</v>
      </c>
      <c r="CN202" s="10">
        <v>2</v>
      </c>
      <c r="CO202" s="10">
        <v>2</v>
      </c>
      <c r="CY202" s="10">
        <v>1</v>
      </c>
      <c r="DA202" s="10">
        <v>1</v>
      </c>
      <c r="EZ202" s="146"/>
      <c r="FA202" s="146"/>
      <c r="FB202" s="146"/>
      <c r="FC202" s="146"/>
      <c r="FD202" s="146"/>
    </row>
    <row r="203" spans="2:160" ht="12.75">
      <c r="B203" s="96">
        <f>COUNT(R203:EY203,FE203:FM203)</f>
        <v>0</v>
      </c>
      <c r="C203" s="96">
        <f>IF(COUNT(R203:EY203,FE203:FM203)&gt;0,COUNT(R203:EY203,FE203:FM203),"")</f>
      </c>
      <c r="D203" s="96">
        <f>IF(COUNT(T203:BJ203,BL203:BT203,BV203:CB203,CD203:EY203,FE203:FM203)&gt;0,COUNT(T203:BJ203,BL203:BT203,BV203:CB203,CD203:EY203,FE203:FM203),"")</f>
      </c>
      <c r="E203" s="96">
        <f>IF(H203=1,COUNT(R203:EY203,FE203:FM203),"")</f>
        <v>0</v>
      </c>
      <c r="F203" s="96">
        <f>IF(H203=1,COUNT(T203:BJ203,BL203:BT203,BV203:CB203,CD203:EY203,FE203:FM203),"")</f>
        <v>0</v>
      </c>
      <c r="G203" s="96">
        <f>IF($B203&gt;=1,$M203,"")</f>
      </c>
      <c r="H203" s="149">
        <f>IF(AND(M203&gt;0,M203&lt;=STATS!$C$22),1,"")</f>
        <v>1</v>
      </c>
      <c r="J203" s="34">
        <v>202</v>
      </c>
      <c r="K203" s="165">
        <v>46.12116</v>
      </c>
      <c r="L203" s="165">
        <v>-91.22046</v>
      </c>
      <c r="M203" s="10">
        <v>14</v>
      </c>
      <c r="N203" s="10" t="s">
        <v>563</v>
      </c>
      <c r="O203" s="190" t="s">
        <v>648</v>
      </c>
      <c r="R203" s="17"/>
      <c r="S203" s="17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EZ203" s="146"/>
      <c r="FA203" s="146"/>
      <c r="FB203" s="146"/>
      <c r="FC203" s="146"/>
      <c r="FD203" s="146"/>
    </row>
    <row r="204" spans="2:160" ht="12.75">
      <c r="B204" s="96">
        <f>COUNT(R204:EY204,FE204:FM204)</f>
        <v>0</v>
      </c>
      <c r="C204" s="96">
        <f>IF(COUNT(R204:EY204,FE204:FM204)&gt;0,COUNT(R204:EY204,FE204:FM204),"")</f>
      </c>
      <c r="D204" s="96">
        <f>IF(COUNT(T204:BJ204,BL204:BT204,BV204:CB204,CD204:EY204,FE204:FM204)&gt;0,COUNT(T204:BJ204,BL204:BT204,BV204:CB204,CD204:EY204,FE204:FM204),"")</f>
      </c>
      <c r="E204" s="96">
        <f>IF(H204=1,COUNT(R204:EY204,FE204:FM204),"")</f>
      </c>
      <c r="F204" s="96">
        <f>IF(H204=1,COUNT(T204:BJ204,BL204:BT204,BV204:CB204,CD204:EY204,FE204:FM204),"")</f>
      </c>
      <c r="G204" s="96">
        <f>IF($B204&gt;=1,$M204,"")</f>
      </c>
      <c r="H204" s="149">
        <f>IF(AND(M204&gt;0,M204&lt;=STATS!$C$22),1,"")</f>
      </c>
      <c r="J204" s="34">
        <v>203</v>
      </c>
      <c r="K204" s="165">
        <v>46.12117</v>
      </c>
      <c r="L204" s="165">
        <v>-91.22</v>
      </c>
      <c r="M204" s="10">
        <v>19.5</v>
      </c>
      <c r="R204" s="17"/>
      <c r="S204" s="17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EZ204" s="146"/>
      <c r="FA204" s="146"/>
      <c r="FB204" s="146"/>
      <c r="FC204" s="146"/>
      <c r="FD204" s="146"/>
    </row>
    <row r="205" spans="2:160" ht="12.75">
      <c r="B205" s="96">
        <f>COUNT(R205:EY205,FE205:FM205)</f>
        <v>5</v>
      </c>
      <c r="C205" s="96">
        <f>IF(COUNT(R205:EY205,FE205:FM205)&gt;0,COUNT(R205:EY205,FE205:FM205),"")</f>
        <v>5</v>
      </c>
      <c r="D205" s="96">
        <f>IF(COUNT(T205:BJ205,BL205:BT205,BV205:CB205,CD205:EY205,FE205:FM205)&gt;0,COUNT(T205:BJ205,BL205:BT205,BV205:CB205,CD205:EY205,FE205:FM205),"")</f>
        <v>5</v>
      </c>
      <c r="E205" s="96">
        <f>IF(H205=1,COUNT(R205:EY205,FE205:FM205),"")</f>
        <v>5</v>
      </c>
      <c r="F205" s="96">
        <f>IF(H205=1,COUNT(T205:BJ205,BL205:BT205,BV205:CB205,CD205:EY205,FE205:FM205),"")</f>
        <v>5</v>
      </c>
      <c r="G205" s="96">
        <f>IF($B205&gt;=1,$M205,"")</f>
        <v>7.5</v>
      </c>
      <c r="H205" s="149">
        <f>IF(AND(M205&gt;0,M205&lt;=STATS!$C$22),1,"")</f>
        <v>1</v>
      </c>
      <c r="J205" s="34">
        <v>204</v>
      </c>
      <c r="K205" s="165">
        <v>46.12117</v>
      </c>
      <c r="L205" s="165">
        <v>-91.21953</v>
      </c>
      <c r="M205" s="10">
        <v>7.5</v>
      </c>
      <c r="N205" s="10" t="s">
        <v>563</v>
      </c>
      <c r="O205" s="190" t="s">
        <v>648</v>
      </c>
      <c r="P205" s="160"/>
      <c r="Q205" s="10">
        <v>1</v>
      </c>
      <c r="R205" s="17"/>
      <c r="S205" s="17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>
        <v>1</v>
      </c>
      <c r="AF205" s="36"/>
      <c r="AG205" s="36"/>
      <c r="AH205" s="36"/>
      <c r="BR205" s="10">
        <v>1</v>
      </c>
      <c r="BW205" s="10">
        <v>1</v>
      </c>
      <c r="CY205" s="10">
        <v>1</v>
      </c>
      <c r="DE205" s="10">
        <v>1</v>
      </c>
      <c r="EZ205" s="146"/>
      <c r="FA205" s="146"/>
      <c r="FB205" s="146"/>
      <c r="FC205" s="146"/>
      <c r="FD205" s="146"/>
    </row>
    <row r="206" spans="2:160" ht="12.75">
      <c r="B206" s="96">
        <f>COUNT(R206:EY206,FE206:FM206)</f>
        <v>5</v>
      </c>
      <c r="C206" s="96">
        <f>IF(COUNT(R206:EY206,FE206:FM206)&gt;0,COUNT(R206:EY206,FE206:FM206),"")</f>
        <v>5</v>
      </c>
      <c r="D206" s="96">
        <f>IF(COUNT(T206:BJ206,BL206:BT206,BV206:CB206,CD206:EY206,FE206:FM206)&gt;0,COUNT(T206:BJ206,BL206:BT206,BV206:CB206,CD206:EY206,FE206:FM206),"")</f>
        <v>5</v>
      </c>
      <c r="E206" s="96">
        <f>IF(H206=1,COUNT(R206:EY206,FE206:FM206),"")</f>
        <v>5</v>
      </c>
      <c r="F206" s="96">
        <f>IF(H206=1,COUNT(T206:BJ206,BL206:BT206,BV206:CB206,CD206:EY206,FE206:FM206),"")</f>
        <v>5</v>
      </c>
      <c r="G206" s="96">
        <f>IF($B206&gt;=1,$M206,"")</f>
        <v>4.5</v>
      </c>
      <c r="H206" s="149">
        <f>IF(AND(M206&gt;0,M206&lt;=STATS!$C$22),1,"")</f>
        <v>1</v>
      </c>
      <c r="J206" s="34">
        <v>205</v>
      </c>
      <c r="K206" s="165">
        <v>46.12119</v>
      </c>
      <c r="L206" s="165">
        <v>-91.21813</v>
      </c>
      <c r="M206" s="10">
        <v>4.5</v>
      </c>
      <c r="N206" s="10" t="s">
        <v>564</v>
      </c>
      <c r="O206" s="190" t="s">
        <v>648</v>
      </c>
      <c r="Q206" s="10">
        <v>2</v>
      </c>
      <c r="R206" s="17"/>
      <c r="S206" s="17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Q206" s="10">
        <v>1</v>
      </c>
      <c r="BO206" s="10">
        <v>1</v>
      </c>
      <c r="CN206" s="10">
        <v>2</v>
      </c>
      <c r="DE206" s="10">
        <v>2</v>
      </c>
      <c r="ES206" s="10">
        <v>1</v>
      </c>
      <c r="EZ206" s="146"/>
      <c r="FA206" s="146"/>
      <c r="FB206" s="146"/>
      <c r="FC206" s="146"/>
      <c r="FD206" s="146"/>
    </row>
    <row r="207" spans="2:160" ht="12.75">
      <c r="B207" s="96">
        <f>COUNT(R207:EY207,FE207:FM207)</f>
        <v>0</v>
      </c>
      <c r="C207" s="96">
        <f>IF(COUNT(R207:EY207,FE207:FM207)&gt;0,COUNT(R207:EY207,FE207:FM207),"")</f>
      </c>
      <c r="D207" s="96">
        <f>IF(COUNT(T207:BJ207,BL207:BT207,BV207:CB207,CD207:EY207,FE207:FM207)&gt;0,COUNT(T207:BJ207,BL207:BT207,BV207:CB207,CD207:EY207,FE207:FM207),"")</f>
      </c>
      <c r="E207" s="96">
        <f>IF(H207=1,COUNT(R207:EY207,FE207:FM207),"")</f>
      </c>
      <c r="F207" s="96">
        <f>IF(H207=1,COUNT(T207:BJ207,BL207:BT207,BV207:CB207,CD207:EY207,FE207:FM207),"")</f>
      </c>
      <c r="G207" s="96">
        <f>IF($B207&gt;=1,$M207,"")</f>
      </c>
      <c r="H207" s="149">
        <f>IF(AND(M207&gt;0,M207&lt;=STATS!$C$22),1,"")</f>
      </c>
      <c r="J207" s="34">
        <v>206</v>
      </c>
      <c r="K207" s="165">
        <v>46.12119</v>
      </c>
      <c r="L207" s="165">
        <v>-91.21767</v>
      </c>
      <c r="M207" s="10">
        <v>22</v>
      </c>
      <c r="R207" s="17"/>
      <c r="S207" s="17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EZ207" s="146"/>
      <c r="FA207" s="146"/>
      <c r="FB207" s="146"/>
      <c r="FC207" s="146"/>
      <c r="FD207" s="146"/>
    </row>
    <row r="208" spans="2:160" ht="12.75">
      <c r="B208" s="96">
        <f>COUNT(R208:EY208,FE208:FM208)</f>
        <v>0</v>
      </c>
      <c r="C208" s="96">
        <f>IF(COUNT(R208:EY208,FE208:FM208)&gt;0,COUNT(R208:EY208,FE208:FM208),"")</f>
      </c>
      <c r="D208" s="96">
        <f>IF(COUNT(T208:BJ208,BL208:BT208,BV208:CB208,CD208:EY208,FE208:FM208)&gt;0,COUNT(T208:BJ208,BL208:BT208,BV208:CB208,CD208:EY208,FE208:FM208),"")</f>
      </c>
      <c r="E208" s="96">
        <f>IF(H208=1,COUNT(R208:EY208,FE208:FM208),"")</f>
      </c>
      <c r="F208" s="96">
        <f>IF(H208=1,COUNT(T208:BJ208,BL208:BT208,BV208:CB208,CD208:EY208,FE208:FM208),"")</f>
      </c>
      <c r="G208" s="96">
        <f>IF($B208&gt;=1,$M208,"")</f>
      </c>
      <c r="H208" s="149">
        <f>IF(AND(M208&gt;0,M208&lt;=STATS!$C$22),1,"")</f>
      </c>
      <c r="J208" s="34">
        <v>207</v>
      </c>
      <c r="K208" s="165">
        <v>46.1212</v>
      </c>
      <c r="L208" s="165">
        <v>-91.2172</v>
      </c>
      <c r="M208" s="10">
        <v>23</v>
      </c>
      <c r="P208" s="161"/>
      <c r="R208" s="17"/>
      <c r="S208" s="17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EZ208" s="146"/>
      <c r="FA208" s="146"/>
      <c r="FB208" s="146"/>
      <c r="FC208" s="146"/>
      <c r="FD208" s="146"/>
    </row>
    <row r="209" spans="2:160" ht="12.75">
      <c r="B209" s="96">
        <f>COUNT(R209:EY209,FE209:FM209)</f>
        <v>0</v>
      </c>
      <c r="C209" s="96">
        <f>IF(COUNT(R209:EY209,FE209:FM209)&gt;0,COUNT(R209:EY209,FE209:FM209),"")</f>
      </c>
      <c r="D209" s="96">
        <f>IF(COUNT(T209:BJ209,BL209:BT209,BV209:CB209,CD209:EY209,FE209:FM209)&gt;0,COUNT(T209:BJ209,BL209:BT209,BV209:CB209,CD209:EY209,FE209:FM209),"")</f>
      </c>
      <c r="E209" s="96">
        <f>IF(H209=1,COUNT(R209:EY209,FE209:FM209),"")</f>
      </c>
      <c r="F209" s="96">
        <f>IF(H209=1,COUNT(T209:BJ209,BL209:BT209,BV209:CB209,CD209:EY209,FE209:FM209),"")</f>
      </c>
      <c r="G209" s="96">
        <f>IF($B209&gt;=1,$M209,"")</f>
      </c>
      <c r="H209" s="149">
        <f>IF(AND(M209&gt;0,M209&lt;=STATS!$C$22),1,"")</f>
      </c>
      <c r="J209" s="34">
        <v>208</v>
      </c>
      <c r="K209" s="165">
        <v>46.1212</v>
      </c>
      <c r="L209" s="165">
        <v>-91.21674</v>
      </c>
      <c r="M209" s="10">
        <v>18</v>
      </c>
      <c r="R209" s="17"/>
      <c r="S209" s="17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EZ209" s="146"/>
      <c r="FA209" s="146"/>
      <c r="FB209" s="146"/>
      <c r="FC209" s="146"/>
      <c r="FD209" s="146"/>
    </row>
    <row r="210" spans="2:160" ht="12.75">
      <c r="B210" s="96">
        <f>COUNT(R210:EY210,FE210:FM210)</f>
        <v>0</v>
      </c>
      <c r="C210" s="96">
        <f>IF(COUNT(R210:EY210,FE210:FM210)&gt;0,COUNT(R210:EY210,FE210:FM210),"")</f>
      </c>
      <c r="D210" s="96">
        <f>IF(COUNT(T210:BJ210,BL210:BT210,BV210:CB210,CD210:EY210,FE210:FM210)&gt;0,COUNT(T210:BJ210,BL210:BT210,BV210:CB210,CD210:EY210,FE210:FM210),"")</f>
      </c>
      <c r="E210" s="96">
        <f>IF(H210=1,COUNT(R210:EY210,FE210:FM210),"")</f>
      </c>
      <c r="F210" s="96">
        <f>IF(H210=1,COUNT(T210:BJ210,BL210:BT210,BV210:CB210,CD210:EY210,FE210:FM210),"")</f>
      </c>
      <c r="G210" s="96">
        <f>IF($B210&gt;=1,$M210,"")</f>
      </c>
      <c r="H210" s="149">
        <f>IF(AND(M210&gt;0,M210&lt;=STATS!$C$22),1,"")</f>
      </c>
      <c r="J210" s="34">
        <v>209</v>
      </c>
      <c r="K210" s="165">
        <v>46.12121</v>
      </c>
      <c r="L210" s="165">
        <v>-91.21627</v>
      </c>
      <c r="M210" s="10">
        <v>18.5</v>
      </c>
      <c r="R210" s="17"/>
      <c r="S210" s="17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EZ210" s="146"/>
      <c r="FA210" s="146"/>
      <c r="FB210" s="146"/>
      <c r="FC210" s="146"/>
      <c r="FD210" s="146"/>
    </row>
    <row r="211" spans="2:160" ht="12.75">
      <c r="B211" s="96">
        <f>COUNT(R211:EY211,FE211:FM211)</f>
        <v>0</v>
      </c>
      <c r="C211" s="96">
        <f>IF(COUNT(R211:EY211,FE211:FM211)&gt;0,COUNT(R211:EY211,FE211:FM211),"")</f>
      </c>
      <c r="D211" s="96">
        <f>IF(COUNT(T211:BJ211,BL211:BT211,BV211:CB211,CD211:EY211,FE211:FM211)&gt;0,COUNT(T211:BJ211,BL211:BT211,BV211:CB211,CD211:EY211,FE211:FM211),"")</f>
      </c>
      <c r="E211" s="96">
        <f>IF(H211=1,COUNT(R211:EY211,FE211:FM211),"")</f>
      </c>
      <c r="F211" s="96">
        <f>IF(H211=1,COUNT(T211:BJ211,BL211:BT211,BV211:CB211,CD211:EY211,FE211:FM211),"")</f>
      </c>
      <c r="G211" s="96">
        <f>IF($B211&gt;=1,$M211,"")</f>
      </c>
      <c r="H211" s="149">
        <f>IF(AND(M211&gt;0,M211&lt;=STATS!$C$22),1,"")</f>
      </c>
      <c r="J211" s="34">
        <v>210</v>
      </c>
      <c r="K211" s="165">
        <v>46.12121</v>
      </c>
      <c r="L211" s="165">
        <v>-91.21581</v>
      </c>
      <c r="M211" s="10">
        <v>19.5</v>
      </c>
      <c r="R211" s="17"/>
      <c r="S211" s="17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EZ211" s="146"/>
      <c r="FA211" s="146"/>
      <c r="FB211" s="146"/>
      <c r="FC211" s="146"/>
      <c r="FD211" s="146"/>
    </row>
    <row r="212" spans="2:160" ht="12.75">
      <c r="B212" s="96">
        <f>COUNT(R212:EY212,FE212:FM212)</f>
        <v>0</v>
      </c>
      <c r="C212" s="96">
        <f>IF(COUNT(R212:EY212,FE212:FM212)&gt;0,COUNT(R212:EY212,FE212:FM212),"")</f>
      </c>
      <c r="D212" s="96">
        <f>IF(COUNT(T212:BJ212,BL212:BT212,BV212:CB212,CD212:EY212,FE212:FM212)&gt;0,COUNT(T212:BJ212,BL212:BT212,BV212:CB212,CD212:EY212,FE212:FM212),"")</f>
      </c>
      <c r="E212" s="96">
        <f>IF(H212=1,COUNT(R212:EY212,FE212:FM212),"")</f>
      </c>
      <c r="F212" s="96">
        <f>IF(H212=1,COUNT(T212:BJ212,BL212:BT212,BV212:CB212,CD212:EY212,FE212:FM212),"")</f>
      </c>
      <c r="G212" s="96">
        <f>IF($B212&gt;=1,$M212,"")</f>
      </c>
      <c r="H212" s="149">
        <f>IF(AND(M212&gt;0,M212&lt;=STATS!$C$22),1,"")</f>
      </c>
      <c r="J212" s="34">
        <v>211</v>
      </c>
      <c r="K212" s="165">
        <v>46.12122</v>
      </c>
      <c r="L212" s="165">
        <v>-91.21534</v>
      </c>
      <c r="M212" s="10">
        <v>18.5</v>
      </c>
      <c r="R212" s="17"/>
      <c r="S212" s="17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EZ212" s="146"/>
      <c r="FA212" s="146"/>
      <c r="FB212" s="146"/>
      <c r="FC212" s="146"/>
      <c r="FD212" s="146"/>
    </row>
    <row r="213" spans="2:160" ht="12.75">
      <c r="B213" s="96">
        <f>COUNT(R213:EY213,FE213:FM213)</f>
        <v>0</v>
      </c>
      <c r="C213" s="96">
        <f>IF(COUNT(R213:EY213,FE213:FM213)&gt;0,COUNT(R213:EY213,FE213:FM213),"")</f>
      </c>
      <c r="D213" s="96">
        <f>IF(COUNT(T213:BJ213,BL213:BT213,BV213:CB213,CD213:EY213,FE213:FM213)&gt;0,COUNT(T213:BJ213,BL213:BT213,BV213:CB213,CD213:EY213,FE213:FM213),"")</f>
      </c>
      <c r="E213" s="96">
        <f>IF(H213=1,COUNT(R213:EY213,FE213:FM213),"")</f>
      </c>
      <c r="F213" s="96">
        <f>IF(H213=1,COUNT(T213:BJ213,BL213:BT213,BV213:CB213,CD213:EY213,FE213:FM213),"")</f>
      </c>
      <c r="G213" s="96">
        <f>IF($B213&gt;=1,$M213,"")</f>
      </c>
      <c r="H213" s="149">
        <f>IF(AND(M213&gt;0,M213&lt;=STATS!$C$22),1,"")</f>
      </c>
      <c r="J213" s="34">
        <v>212</v>
      </c>
      <c r="K213" s="165">
        <v>46.12122</v>
      </c>
      <c r="L213" s="165">
        <v>-91.21487</v>
      </c>
      <c r="M213" s="10">
        <v>19.5</v>
      </c>
      <c r="R213" s="17"/>
      <c r="S213" s="17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EZ213" s="146"/>
      <c r="FA213" s="146"/>
      <c r="FB213" s="146"/>
      <c r="FC213" s="146"/>
      <c r="FD213" s="146"/>
    </row>
    <row r="214" spans="2:160" ht="12.75">
      <c r="B214" s="96">
        <f>COUNT(R214:EY214,FE214:FM214)</f>
        <v>0</v>
      </c>
      <c r="C214" s="96">
        <f>IF(COUNT(R214:EY214,FE214:FM214)&gt;0,COUNT(R214:EY214,FE214:FM214),"")</f>
      </c>
      <c r="D214" s="96">
        <f>IF(COUNT(T214:BJ214,BL214:BT214,BV214:CB214,CD214:EY214,FE214:FM214)&gt;0,COUNT(T214:BJ214,BL214:BT214,BV214:CB214,CD214:EY214,FE214:FM214),"")</f>
      </c>
      <c r="E214" s="96">
        <f>IF(H214=1,COUNT(R214:EY214,FE214:FM214),"")</f>
      </c>
      <c r="F214" s="96">
        <f>IF(H214=1,COUNT(T214:BJ214,BL214:BT214,BV214:CB214,CD214:EY214,FE214:FM214),"")</f>
      </c>
      <c r="G214" s="96">
        <f>IF($B214&gt;=1,$M214,"")</f>
      </c>
      <c r="H214" s="149">
        <f>IF(AND(M214&gt;0,M214&lt;=STATS!$C$22),1,"")</f>
      </c>
      <c r="J214" s="34">
        <v>213</v>
      </c>
      <c r="K214" s="165">
        <v>46.12123</v>
      </c>
      <c r="L214" s="165">
        <v>-91.21441</v>
      </c>
      <c r="M214" s="10">
        <v>24</v>
      </c>
      <c r="R214" s="17"/>
      <c r="S214" s="17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EZ214" s="146"/>
      <c r="FA214" s="146"/>
      <c r="FB214" s="146"/>
      <c r="FC214" s="146"/>
      <c r="FD214" s="146"/>
    </row>
    <row r="215" spans="2:160" ht="12.75">
      <c r="B215" s="96">
        <f>COUNT(R215:EY215,FE215:FM215)</f>
        <v>0</v>
      </c>
      <c r="C215" s="96">
        <f>IF(COUNT(R215:EY215,FE215:FM215)&gt;0,COUNT(R215:EY215,FE215:FM215),"")</f>
      </c>
      <c r="D215" s="96">
        <f>IF(COUNT(T215:BJ215,BL215:BT215,BV215:CB215,CD215:EY215,FE215:FM215)&gt;0,COUNT(T215:BJ215,BL215:BT215,BV215:CB215,CD215:EY215,FE215:FM215),"")</f>
      </c>
      <c r="E215" s="96">
        <f>IF(H215=1,COUNT(R215:EY215,FE215:FM215),"")</f>
      </c>
      <c r="F215" s="96">
        <f>IF(H215=1,COUNT(T215:BJ215,BL215:BT215,BV215:CB215,CD215:EY215,FE215:FM215),"")</f>
      </c>
      <c r="G215" s="96">
        <f>IF($B215&gt;=1,$M215,"")</f>
      </c>
      <c r="H215" s="149">
        <f>IF(AND(M215&gt;0,M215&lt;=STATS!$C$22),1,"")</f>
      </c>
      <c r="J215" s="34">
        <v>214</v>
      </c>
      <c r="K215" s="165">
        <v>46.12123</v>
      </c>
      <c r="L215" s="165">
        <v>-91.21394</v>
      </c>
      <c r="M215" s="10">
        <v>23.5</v>
      </c>
      <c r="R215" s="17"/>
      <c r="S215" s="17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EZ215" s="146"/>
      <c r="FA215" s="146"/>
      <c r="FB215" s="146"/>
      <c r="FC215" s="146"/>
      <c r="FD215" s="146"/>
    </row>
    <row r="216" spans="2:160" ht="12.75">
      <c r="B216" s="96">
        <f>COUNT(R216:EY216,FE216:FM216)</f>
        <v>0</v>
      </c>
      <c r="C216" s="96">
        <f>IF(COUNT(R216:EY216,FE216:FM216)&gt;0,COUNT(R216:EY216,FE216:FM216),"")</f>
      </c>
      <c r="D216" s="96">
        <f>IF(COUNT(T216:BJ216,BL216:BT216,BV216:CB216,CD216:EY216,FE216:FM216)&gt;0,COUNT(T216:BJ216,BL216:BT216,BV216:CB216,CD216:EY216,FE216:FM216),"")</f>
      </c>
      <c r="E216" s="96">
        <f>IF(H216=1,COUNT(R216:EY216,FE216:FM216),"")</f>
      </c>
      <c r="F216" s="96">
        <f>IF(H216=1,COUNT(T216:BJ216,BL216:BT216,BV216:CB216,CD216:EY216,FE216:FM216),"")</f>
      </c>
      <c r="G216" s="96">
        <f>IF($B216&gt;=1,$M216,"")</f>
      </c>
      <c r="H216" s="149">
        <f>IF(AND(M216&gt;0,M216&lt;=STATS!$C$22),1,"")</f>
      </c>
      <c r="J216" s="34">
        <v>215</v>
      </c>
      <c r="K216" s="165">
        <v>46.12124</v>
      </c>
      <c r="L216" s="165">
        <v>-91.21348</v>
      </c>
      <c r="M216" s="10">
        <v>20</v>
      </c>
      <c r="R216" s="17"/>
      <c r="S216" s="17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EZ216" s="146"/>
      <c r="FA216" s="146"/>
      <c r="FB216" s="146"/>
      <c r="FC216" s="146"/>
      <c r="FD216" s="146"/>
    </row>
    <row r="217" spans="2:160" ht="12.75">
      <c r="B217" s="96">
        <f>COUNT(R217:EY217,FE217:FM217)</f>
        <v>0</v>
      </c>
      <c r="C217" s="96">
        <f>IF(COUNT(R217:EY217,FE217:FM217)&gt;0,COUNT(R217:EY217,FE217:FM217),"")</f>
      </c>
      <c r="D217" s="96">
        <f>IF(COUNT(T217:BJ217,BL217:BT217,BV217:CB217,CD217:EY217,FE217:FM217)&gt;0,COUNT(T217:BJ217,BL217:BT217,BV217:CB217,CD217:EY217,FE217:FM217),"")</f>
      </c>
      <c r="E217" s="96">
        <f>IF(H217=1,COUNT(R217:EY217,FE217:FM217),"")</f>
      </c>
      <c r="F217" s="96">
        <f>IF(H217=1,COUNT(T217:BJ217,BL217:BT217,BV217:CB217,CD217:EY217,FE217:FM217),"")</f>
      </c>
      <c r="G217" s="96">
        <f>IF($B217&gt;=1,$M217,"")</f>
      </c>
      <c r="H217" s="149">
        <f>IF(AND(M217&gt;0,M217&lt;=STATS!$C$22),1,"")</f>
      </c>
      <c r="J217" s="34">
        <v>216</v>
      </c>
      <c r="K217" s="165">
        <v>46.12124</v>
      </c>
      <c r="L217" s="165">
        <v>-91.21301</v>
      </c>
      <c r="M217" s="10">
        <v>20.5</v>
      </c>
      <c r="R217" s="17"/>
      <c r="S217" s="17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EZ217" s="146"/>
      <c r="FA217" s="146"/>
      <c r="FB217" s="146"/>
      <c r="FC217" s="146"/>
      <c r="FD217" s="146"/>
    </row>
    <row r="218" spans="2:160" ht="12.75">
      <c r="B218" s="96">
        <f>COUNT(R218:EY218,FE218:FM218)</f>
        <v>0</v>
      </c>
      <c r="C218" s="96">
        <f>IF(COUNT(R218:EY218,FE218:FM218)&gt;0,COUNT(R218:EY218,FE218:FM218),"")</f>
      </c>
      <c r="D218" s="96">
        <f>IF(COUNT(T218:BJ218,BL218:BT218,BV218:CB218,CD218:EY218,FE218:FM218)&gt;0,COUNT(T218:BJ218,BL218:BT218,BV218:CB218,CD218:EY218,FE218:FM218),"")</f>
      </c>
      <c r="E218" s="96">
        <f>IF(H218=1,COUNT(R218:EY218,FE218:FM218),"")</f>
      </c>
      <c r="F218" s="96">
        <f>IF(H218=1,COUNT(T218:BJ218,BL218:BT218,BV218:CB218,CD218:EY218,FE218:FM218),"")</f>
      </c>
      <c r="G218" s="96">
        <f>IF($B218&gt;=1,$M218,"")</f>
      </c>
      <c r="H218" s="149">
        <f>IF(AND(M218&gt;0,M218&lt;=STATS!$C$22),1,"")</f>
      </c>
      <c r="J218" s="34">
        <v>217</v>
      </c>
      <c r="K218" s="165">
        <v>46.12125</v>
      </c>
      <c r="L218" s="165">
        <v>-91.21254</v>
      </c>
      <c r="M218" s="10">
        <v>19.5</v>
      </c>
      <c r="R218" s="17"/>
      <c r="S218" s="17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EZ218" s="146"/>
      <c r="FA218" s="146"/>
      <c r="FB218" s="146"/>
      <c r="FC218" s="146"/>
      <c r="FD218" s="146"/>
    </row>
    <row r="219" spans="2:160" ht="12.75">
      <c r="B219" s="96">
        <f>COUNT(R219:EY219,FE219:FM219)</f>
        <v>0</v>
      </c>
      <c r="C219" s="96">
        <f>IF(COUNT(R219:EY219,FE219:FM219)&gt;0,COUNT(R219:EY219,FE219:FM219),"")</f>
      </c>
      <c r="D219" s="96">
        <f>IF(COUNT(T219:BJ219,BL219:BT219,BV219:CB219,CD219:EY219,FE219:FM219)&gt;0,COUNT(T219:BJ219,BL219:BT219,BV219:CB219,CD219:EY219,FE219:FM219),"")</f>
      </c>
      <c r="E219" s="96">
        <f>IF(H219=1,COUNT(R219:EY219,FE219:FM219),"")</f>
      </c>
      <c r="F219" s="96">
        <f>IF(H219=1,COUNT(T219:BJ219,BL219:BT219,BV219:CB219,CD219:EY219,FE219:FM219),"")</f>
      </c>
      <c r="G219" s="96">
        <f>IF($B219&gt;=1,$M219,"")</f>
      </c>
      <c r="H219" s="149">
        <f>IF(AND(M219&gt;0,M219&lt;=STATS!$C$22),1,"")</f>
      </c>
      <c r="J219" s="34">
        <v>218</v>
      </c>
      <c r="K219" s="165">
        <v>46.12125</v>
      </c>
      <c r="L219" s="165">
        <v>-91.21208</v>
      </c>
      <c r="M219" s="10">
        <v>19.5</v>
      </c>
      <c r="R219" s="17"/>
      <c r="S219" s="17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EZ219" s="146"/>
      <c r="FA219" s="146"/>
      <c r="FB219" s="146"/>
      <c r="FC219" s="146"/>
      <c r="FD219" s="146"/>
    </row>
    <row r="220" spans="2:160" ht="12.75">
      <c r="B220" s="96">
        <f>COUNT(R220:EY220,FE220:FM220)</f>
        <v>0</v>
      </c>
      <c r="C220" s="96">
        <f>IF(COUNT(R220:EY220,FE220:FM220)&gt;0,COUNT(R220:EY220,FE220:FM220),"")</f>
      </c>
      <c r="D220" s="96">
        <f>IF(COUNT(T220:BJ220,BL220:BT220,BV220:CB220,CD220:EY220,FE220:FM220)&gt;0,COUNT(T220:BJ220,BL220:BT220,BV220:CB220,CD220:EY220,FE220:FM220),"")</f>
      </c>
      <c r="E220" s="96">
        <f>IF(H220=1,COUNT(R220:EY220,FE220:FM220),"")</f>
      </c>
      <c r="F220" s="96">
        <f>IF(H220=1,COUNT(T220:BJ220,BL220:BT220,BV220:CB220,CD220:EY220,FE220:FM220),"")</f>
      </c>
      <c r="G220" s="96">
        <f>IF($B220&gt;=1,$M220,"")</f>
      </c>
      <c r="H220" s="149">
        <f>IF(AND(M220&gt;0,M220&lt;=STATS!$C$22),1,"")</f>
      </c>
      <c r="J220" s="34">
        <v>219</v>
      </c>
      <c r="K220" s="165">
        <v>46.12125</v>
      </c>
      <c r="L220" s="165">
        <v>-91.21161</v>
      </c>
      <c r="M220" s="10">
        <v>17.5</v>
      </c>
      <c r="R220" s="17"/>
      <c r="S220" s="17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EZ220" s="146"/>
      <c r="FA220" s="146"/>
      <c r="FB220" s="146"/>
      <c r="FC220" s="146"/>
      <c r="FD220" s="146"/>
    </row>
    <row r="221" spans="2:160" ht="12.75">
      <c r="B221" s="96">
        <f>COUNT(R221:EY221,FE221:FM221)</f>
        <v>0</v>
      </c>
      <c r="C221" s="96">
        <f>IF(COUNT(R221:EY221,FE221:FM221)&gt;0,COUNT(R221:EY221,FE221:FM221),"")</f>
      </c>
      <c r="D221" s="96">
        <f>IF(COUNT(T221:BJ221,BL221:BT221,BV221:CB221,CD221:EY221,FE221:FM221)&gt;0,COUNT(T221:BJ221,BL221:BT221,BV221:CB221,CD221:EY221,FE221:FM221),"")</f>
      </c>
      <c r="E221" s="96">
        <f>IF(H221=1,COUNT(R221:EY221,FE221:FM221),"")</f>
      </c>
      <c r="F221" s="96">
        <f>IF(H221=1,COUNT(T221:BJ221,BL221:BT221,BV221:CB221,CD221:EY221,FE221:FM221),"")</f>
      </c>
      <c r="G221" s="96">
        <f>IF($B221&gt;=1,$M221,"")</f>
      </c>
      <c r="H221" s="149">
        <f>IF(AND(M221&gt;0,M221&lt;=STATS!$C$22),1,"")</f>
      </c>
      <c r="J221" s="34">
        <v>220</v>
      </c>
      <c r="K221" s="165">
        <v>46.12126</v>
      </c>
      <c r="L221" s="165">
        <v>-91.21115</v>
      </c>
      <c r="M221" s="10">
        <v>16</v>
      </c>
      <c r="R221" s="17"/>
      <c r="S221" s="17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EZ221" s="146"/>
      <c r="FA221" s="146"/>
      <c r="FB221" s="146"/>
      <c r="FC221" s="146"/>
      <c r="FD221" s="146"/>
    </row>
    <row r="222" spans="2:160" ht="12.75">
      <c r="B222" s="96">
        <f>COUNT(R222:EY222,FE222:FM222)</f>
        <v>0</v>
      </c>
      <c r="C222" s="96">
        <f>IF(COUNT(R222:EY222,FE222:FM222)&gt;0,COUNT(R222:EY222,FE222:FM222),"")</f>
      </c>
      <c r="D222" s="96">
        <f>IF(COUNT(T222:BJ222,BL222:BT222,BV222:CB222,CD222:EY222,FE222:FM222)&gt;0,COUNT(T222:BJ222,BL222:BT222,BV222:CB222,CD222:EY222,FE222:FM222),"")</f>
      </c>
      <c r="E222" s="96">
        <f>IF(H222=1,COUNT(R222:EY222,FE222:FM222),"")</f>
        <v>0</v>
      </c>
      <c r="F222" s="96">
        <f>IF(H222=1,COUNT(T222:BJ222,BL222:BT222,BV222:CB222,CD222:EY222,FE222:FM222),"")</f>
        <v>0</v>
      </c>
      <c r="G222" s="96">
        <f>IF($B222&gt;=1,$M222,"")</f>
      </c>
      <c r="H222" s="149">
        <f>IF(AND(M222&gt;0,M222&lt;=STATS!$C$22),1,"")</f>
        <v>1</v>
      </c>
      <c r="J222" s="34">
        <v>221</v>
      </c>
      <c r="K222" s="165">
        <v>46.12127</v>
      </c>
      <c r="L222" s="165">
        <v>-91.21068</v>
      </c>
      <c r="M222" s="10">
        <v>11.5</v>
      </c>
      <c r="N222" s="10" t="s">
        <v>563</v>
      </c>
      <c r="O222" s="190" t="s">
        <v>648</v>
      </c>
      <c r="R222" s="17"/>
      <c r="S222" s="17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EZ222" s="146"/>
      <c r="FA222" s="146"/>
      <c r="FB222" s="146"/>
      <c r="FC222" s="146"/>
      <c r="FD222" s="146"/>
    </row>
    <row r="223" spans="2:160" ht="12.75">
      <c r="B223" s="96">
        <f>COUNT(R223:EY223,FE223:FM223)</f>
        <v>3</v>
      </c>
      <c r="C223" s="96">
        <f>IF(COUNT(R223:EY223,FE223:FM223)&gt;0,COUNT(R223:EY223,FE223:FM223),"")</f>
        <v>3</v>
      </c>
      <c r="D223" s="96">
        <f>IF(COUNT(T223:BJ223,BL223:BT223,BV223:CB223,CD223:EY223,FE223:FM223)&gt;0,COUNT(T223:BJ223,BL223:BT223,BV223:CB223,CD223:EY223,FE223:FM223),"")</f>
        <v>3</v>
      </c>
      <c r="E223" s="96">
        <f>IF(H223=1,COUNT(R223:EY223,FE223:FM223),"")</f>
        <v>3</v>
      </c>
      <c r="F223" s="96">
        <f>IF(H223=1,COUNT(T223:BJ223,BL223:BT223,BV223:CB223,CD223:EY223,FE223:FM223),"")</f>
        <v>3</v>
      </c>
      <c r="G223" s="96">
        <f>IF($B223&gt;=1,$M223,"")</f>
        <v>6.5</v>
      </c>
      <c r="H223" s="149">
        <f>IF(AND(M223&gt;0,M223&lt;=STATS!$C$22),1,"")</f>
        <v>1</v>
      </c>
      <c r="J223" s="34">
        <v>222</v>
      </c>
      <c r="K223" s="165">
        <v>46.12127</v>
      </c>
      <c r="L223" s="165">
        <v>-91.21021</v>
      </c>
      <c r="M223" s="10">
        <v>6.5</v>
      </c>
      <c r="N223" s="10" t="s">
        <v>563</v>
      </c>
      <c r="O223" s="190" t="s">
        <v>648</v>
      </c>
      <c r="Q223" s="10">
        <v>1</v>
      </c>
      <c r="R223" s="17"/>
      <c r="S223" s="17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>
        <v>1</v>
      </c>
      <c r="AF223" s="36"/>
      <c r="AG223" s="36"/>
      <c r="AH223" s="36"/>
      <c r="CW223" s="10">
        <v>1</v>
      </c>
      <c r="DE223" s="10">
        <v>1</v>
      </c>
      <c r="EZ223" s="146"/>
      <c r="FA223" s="146"/>
      <c r="FB223" s="146"/>
      <c r="FC223" s="146"/>
      <c r="FD223" s="146"/>
    </row>
    <row r="224" spans="2:160" ht="12.75">
      <c r="B224" s="96">
        <f>COUNT(R224:EY224,FE224:FM224)</f>
        <v>8</v>
      </c>
      <c r="C224" s="96">
        <f>IF(COUNT(R224:EY224,FE224:FM224)&gt;0,COUNT(R224:EY224,FE224:FM224),"")</f>
        <v>8</v>
      </c>
      <c r="D224" s="96">
        <f>IF(COUNT(T224:BJ224,BL224:BT224,BV224:CB224,CD224:EY224,FE224:FM224)&gt;0,COUNT(T224:BJ224,BL224:BT224,BV224:CB224,CD224:EY224,FE224:FM224),"")</f>
        <v>8</v>
      </c>
      <c r="E224" s="96">
        <f>IF(H224=1,COUNT(R224:EY224,FE224:FM224),"")</f>
        <v>8</v>
      </c>
      <c r="F224" s="96">
        <f>IF(H224=1,COUNT(T224:BJ224,BL224:BT224,BV224:CB224,CD224:EY224,FE224:FM224),"")</f>
        <v>8</v>
      </c>
      <c r="G224" s="96">
        <f>IF($B224&gt;=1,$M224,"")</f>
        <v>1.5</v>
      </c>
      <c r="H224" s="149">
        <f>IF(AND(M224&gt;0,M224&lt;=STATS!$C$22),1,"")</f>
        <v>1</v>
      </c>
      <c r="J224" s="34">
        <v>223</v>
      </c>
      <c r="K224" s="165">
        <v>46.12148</v>
      </c>
      <c r="L224" s="165">
        <v>-91.22094</v>
      </c>
      <c r="M224" s="10">
        <v>1.5</v>
      </c>
      <c r="N224" s="10" t="s">
        <v>563</v>
      </c>
      <c r="O224" s="190" t="s">
        <v>648</v>
      </c>
      <c r="Q224" s="10">
        <v>3</v>
      </c>
      <c r="R224" s="17"/>
      <c r="S224" s="17"/>
      <c r="T224" s="36"/>
      <c r="U224" s="36"/>
      <c r="V224" s="36"/>
      <c r="W224" s="36"/>
      <c r="X224" s="36">
        <v>1</v>
      </c>
      <c r="Y224" s="36"/>
      <c r="Z224" s="36"/>
      <c r="AA224" s="36"/>
      <c r="AB224" s="36"/>
      <c r="AC224" s="36"/>
      <c r="AD224" s="36"/>
      <c r="AE224" s="36">
        <v>1</v>
      </c>
      <c r="AF224" s="36"/>
      <c r="AG224" s="36"/>
      <c r="AH224" s="36"/>
      <c r="AO224" s="10" t="s">
        <v>566</v>
      </c>
      <c r="BO224" s="10">
        <v>1</v>
      </c>
      <c r="BR224" s="10">
        <v>1</v>
      </c>
      <c r="CA224" s="10">
        <v>1</v>
      </c>
      <c r="CB224" s="10" t="s">
        <v>566</v>
      </c>
      <c r="CG224" s="10">
        <v>3</v>
      </c>
      <c r="CS224" s="10">
        <v>1</v>
      </c>
      <c r="CY224" s="10">
        <v>1</v>
      </c>
      <c r="DY224" s="10" t="s">
        <v>566</v>
      </c>
      <c r="EZ224" s="146"/>
      <c r="FA224" s="146"/>
      <c r="FB224" s="146"/>
      <c r="FC224" s="146"/>
      <c r="FD224" s="146"/>
    </row>
    <row r="225" spans="2:160" ht="12.75">
      <c r="B225" s="96">
        <f>COUNT(R225:EY225,FE225:FM225)</f>
        <v>4</v>
      </c>
      <c r="C225" s="96">
        <f>IF(COUNT(R225:EY225,FE225:FM225)&gt;0,COUNT(R225:EY225,FE225:FM225),"")</f>
        <v>4</v>
      </c>
      <c r="D225" s="96">
        <f>IF(COUNT(T225:BJ225,BL225:BT225,BV225:CB225,CD225:EY225,FE225:FM225)&gt;0,COUNT(T225:BJ225,BL225:BT225,BV225:CB225,CD225:EY225,FE225:FM225),"")</f>
        <v>4</v>
      </c>
      <c r="E225" s="96">
        <f>IF(H225=1,COUNT(R225:EY225,FE225:FM225),"")</f>
        <v>4</v>
      </c>
      <c r="F225" s="96">
        <f>IF(H225=1,COUNT(T225:BJ225,BL225:BT225,BV225:CB225,CD225:EY225,FE225:FM225),"")</f>
        <v>4</v>
      </c>
      <c r="G225" s="96">
        <f>IF($B225&gt;=1,$M225,"")</f>
        <v>4.5</v>
      </c>
      <c r="H225" s="149">
        <f>IF(AND(M225&gt;0,M225&lt;=STATS!$C$22),1,"")</f>
        <v>1</v>
      </c>
      <c r="J225" s="34">
        <v>224</v>
      </c>
      <c r="K225" s="165">
        <v>46.12148</v>
      </c>
      <c r="L225" s="165">
        <v>-91.22047</v>
      </c>
      <c r="M225" s="10">
        <v>4.5</v>
      </c>
      <c r="N225" s="10" t="s">
        <v>563</v>
      </c>
      <c r="O225" s="190" t="s">
        <v>648</v>
      </c>
      <c r="Q225" s="10">
        <v>2</v>
      </c>
      <c r="R225" s="17"/>
      <c r="S225" s="17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>
        <v>2</v>
      </c>
      <c r="AF225" s="36"/>
      <c r="AG225" s="36"/>
      <c r="AH225" s="36"/>
      <c r="CB225" s="10">
        <v>1</v>
      </c>
      <c r="CW225" s="10" t="s">
        <v>566</v>
      </c>
      <c r="DA225" s="10">
        <v>1</v>
      </c>
      <c r="DE225" s="10">
        <v>2</v>
      </c>
      <c r="EZ225" s="146"/>
      <c r="FA225" s="146"/>
      <c r="FB225" s="146"/>
      <c r="FC225" s="146"/>
      <c r="FD225" s="146"/>
    </row>
    <row r="226" spans="2:160" ht="12.75">
      <c r="B226" s="96">
        <f>COUNT(R226:EY226,FE226:FM226)</f>
        <v>2</v>
      </c>
      <c r="C226" s="96">
        <f>IF(COUNT(R226:EY226,FE226:FM226)&gt;0,COUNT(R226:EY226,FE226:FM226),"")</f>
        <v>2</v>
      </c>
      <c r="D226" s="96">
        <f>IF(COUNT(T226:BJ226,BL226:BT226,BV226:CB226,CD226:EY226,FE226:FM226)&gt;0,COUNT(T226:BJ226,BL226:BT226,BV226:CB226,CD226:EY226,FE226:FM226),"")</f>
        <v>2</v>
      </c>
      <c r="E226" s="96">
        <f>IF(H226=1,COUNT(R226:EY226,FE226:FM226),"")</f>
        <v>2</v>
      </c>
      <c r="F226" s="96">
        <f>IF(H226=1,COUNT(T226:BJ226,BL226:BT226,BV226:CB226,CD226:EY226,FE226:FM226),"")</f>
        <v>2</v>
      </c>
      <c r="G226" s="96">
        <f>IF($B226&gt;=1,$M226,"")</f>
        <v>12</v>
      </c>
      <c r="H226" s="149">
        <f>IF(AND(M226&gt;0,M226&lt;=STATS!$C$22),1,"")</f>
        <v>1</v>
      </c>
      <c r="J226" s="34">
        <v>225</v>
      </c>
      <c r="K226" s="165">
        <v>46.12149</v>
      </c>
      <c r="L226" s="165">
        <v>-91.22001</v>
      </c>
      <c r="M226" s="10">
        <v>12</v>
      </c>
      <c r="N226" s="10" t="s">
        <v>563</v>
      </c>
      <c r="O226" s="190" t="s">
        <v>648</v>
      </c>
      <c r="Q226" s="10">
        <v>1</v>
      </c>
      <c r="R226" s="17"/>
      <c r="S226" s="17"/>
      <c r="T226" s="36"/>
      <c r="U226" s="36"/>
      <c r="V226" s="36">
        <v>1</v>
      </c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DA226" s="10">
        <v>1</v>
      </c>
      <c r="EZ226" s="146"/>
      <c r="FA226" s="146"/>
      <c r="FB226" s="146"/>
      <c r="FC226" s="146"/>
      <c r="FD226" s="146"/>
    </row>
    <row r="227" spans="2:160" ht="12.75">
      <c r="B227" s="96">
        <f>COUNT(R227:EY227,FE227:FM227)</f>
        <v>0</v>
      </c>
      <c r="C227" s="96">
        <f>IF(COUNT(R227:EY227,FE227:FM227)&gt;0,COUNT(R227:EY227,FE227:FM227),"")</f>
      </c>
      <c r="D227" s="96">
        <f>IF(COUNT(T227:BJ227,BL227:BT227,BV227:CB227,CD227:EY227,FE227:FM227)&gt;0,COUNT(T227:BJ227,BL227:BT227,BV227:CB227,CD227:EY227,FE227:FM227),"")</f>
      </c>
      <c r="E227" s="96">
        <f>IF(H227=1,COUNT(R227:EY227,FE227:FM227),"")</f>
      </c>
      <c r="F227" s="96">
        <f>IF(H227=1,COUNT(T227:BJ227,BL227:BT227,BV227:CB227,CD227:EY227,FE227:FM227),"")</f>
      </c>
      <c r="G227" s="96">
        <f>IF($B227&gt;=1,$M227,"")</f>
      </c>
      <c r="H227" s="149">
        <f>IF(AND(M227&gt;0,M227&lt;=STATS!$C$22),1,"")</f>
      </c>
      <c r="J227" s="34">
        <v>226</v>
      </c>
      <c r="K227" s="165">
        <v>46.1215</v>
      </c>
      <c r="L227" s="165">
        <v>-91.21954</v>
      </c>
      <c r="M227" s="10">
        <v>15.5</v>
      </c>
      <c r="R227" s="17"/>
      <c r="S227" s="17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EZ227" s="146"/>
      <c r="FA227" s="146"/>
      <c r="FB227" s="146"/>
      <c r="FC227" s="146"/>
      <c r="FD227" s="146"/>
    </row>
    <row r="228" spans="2:160" ht="12.75">
      <c r="B228" s="96">
        <f>COUNT(R228:EY228,FE228:FM228)</f>
        <v>0</v>
      </c>
      <c r="C228" s="96">
        <f>IF(COUNT(R228:EY228,FE228:FM228)&gt;0,COUNT(R228:EY228,FE228:FM228),"")</f>
      </c>
      <c r="D228" s="96">
        <f>IF(COUNT(T228:BJ228,BL228:BT228,BV228:CB228,CD228:EY228,FE228:FM228)&gt;0,COUNT(T228:BJ228,BL228:BT228,BV228:CB228,CD228:EY228,FE228:FM228),"")</f>
      </c>
      <c r="E228" s="96">
        <f>IF(H228=1,COUNT(R228:EY228,FE228:FM228),"")</f>
        <v>0</v>
      </c>
      <c r="F228" s="96">
        <f>IF(H228=1,COUNT(T228:BJ228,BL228:BT228,BV228:CB228,CD228:EY228,FE228:FM228),"")</f>
        <v>0</v>
      </c>
      <c r="G228" s="96">
        <f>IF($B228&gt;=1,$M228,"")</f>
      </c>
      <c r="H228" s="149">
        <f>IF(AND(M228&gt;0,M228&lt;=STATS!$C$22),1,"")</f>
        <v>1</v>
      </c>
      <c r="J228" s="34">
        <v>227</v>
      </c>
      <c r="K228" s="165">
        <v>46.12151</v>
      </c>
      <c r="L228" s="165">
        <v>-91.21768</v>
      </c>
      <c r="M228" s="10">
        <v>10</v>
      </c>
      <c r="N228" s="10" t="s">
        <v>563</v>
      </c>
      <c r="O228" s="190" t="s">
        <v>648</v>
      </c>
      <c r="R228" s="17"/>
      <c r="S228" s="17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EZ228" s="146"/>
      <c r="FA228" s="146"/>
      <c r="FB228" s="146"/>
      <c r="FC228" s="146"/>
      <c r="FD228" s="146"/>
    </row>
    <row r="229" spans="2:160" ht="12.75">
      <c r="B229" s="96">
        <f>COUNT(R229:EY229,FE229:FM229)</f>
        <v>3</v>
      </c>
      <c r="C229" s="96">
        <f>IF(COUNT(R229:EY229,FE229:FM229)&gt;0,COUNT(R229:EY229,FE229:FM229),"")</f>
        <v>3</v>
      </c>
      <c r="D229" s="96">
        <f>IF(COUNT(T229:BJ229,BL229:BT229,BV229:CB229,CD229:EY229,FE229:FM229)&gt;0,COUNT(T229:BJ229,BL229:BT229,BV229:CB229,CD229:EY229,FE229:FM229),"")</f>
        <v>3</v>
      </c>
      <c r="E229" s="96">
        <f>IF(H229=1,COUNT(R229:EY229,FE229:FM229),"")</f>
        <v>3</v>
      </c>
      <c r="F229" s="96">
        <f>IF(H229=1,COUNT(T229:BJ229,BL229:BT229,BV229:CB229,CD229:EY229,FE229:FM229),"")</f>
        <v>3</v>
      </c>
      <c r="G229" s="96">
        <f>IF($B229&gt;=1,$M229,"")</f>
        <v>5.5</v>
      </c>
      <c r="H229" s="149">
        <f>IF(AND(M229&gt;0,M229&lt;=STATS!$C$22),1,"")</f>
        <v>1</v>
      </c>
      <c r="J229" s="34">
        <v>228</v>
      </c>
      <c r="K229" s="165">
        <v>46.12152</v>
      </c>
      <c r="L229" s="165">
        <v>-91.21721</v>
      </c>
      <c r="M229" s="10">
        <v>5.5</v>
      </c>
      <c r="N229" s="10" t="s">
        <v>563</v>
      </c>
      <c r="O229" s="190" t="s">
        <v>648</v>
      </c>
      <c r="Q229" s="10">
        <v>2</v>
      </c>
      <c r="R229" s="17"/>
      <c r="S229" s="17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>
        <v>2</v>
      </c>
      <c r="AF229" s="36"/>
      <c r="AG229" s="36"/>
      <c r="AH229" s="36"/>
      <c r="CI229" s="10">
        <v>1</v>
      </c>
      <c r="CW229" s="10">
        <v>1</v>
      </c>
      <c r="DE229" s="10" t="s">
        <v>566</v>
      </c>
      <c r="EZ229" s="146"/>
      <c r="FA229" s="146"/>
      <c r="FB229" s="146"/>
      <c r="FC229" s="146"/>
      <c r="FD229" s="146"/>
    </row>
    <row r="230" spans="2:160" ht="12.75">
      <c r="B230" s="96">
        <f>COUNT(R230:EY230,FE230:FM230)</f>
        <v>1</v>
      </c>
      <c r="C230" s="96">
        <f>IF(COUNT(R230:EY230,FE230:FM230)&gt;0,COUNT(R230:EY230,FE230:FM230),"")</f>
        <v>1</v>
      </c>
      <c r="D230" s="96">
        <f>IF(COUNT(T230:BJ230,BL230:BT230,BV230:CB230,CD230:EY230,FE230:FM230)&gt;0,COUNT(T230:BJ230,BL230:BT230,BV230:CB230,CD230:EY230,FE230:FM230),"")</f>
        <v>1</v>
      </c>
      <c r="E230" s="96">
        <f>IF(H230=1,COUNT(R230:EY230,FE230:FM230),"")</f>
        <v>1</v>
      </c>
      <c r="F230" s="96">
        <f>IF(H230=1,COUNT(T230:BJ230,BL230:BT230,BV230:CB230,CD230:EY230,FE230:FM230),"")</f>
        <v>1</v>
      </c>
      <c r="G230" s="96">
        <f>IF($B230&gt;=1,$M230,"")</f>
        <v>8</v>
      </c>
      <c r="H230" s="149">
        <f>IF(AND(M230&gt;0,M230&lt;=STATS!$C$22),1,"")</f>
        <v>1</v>
      </c>
      <c r="J230" s="34">
        <v>229</v>
      </c>
      <c r="K230" s="165">
        <v>46.12152</v>
      </c>
      <c r="L230" s="165">
        <v>-91.21674</v>
      </c>
      <c r="M230" s="10">
        <v>8</v>
      </c>
      <c r="N230" s="10" t="s">
        <v>563</v>
      </c>
      <c r="O230" s="190" t="s">
        <v>648</v>
      </c>
      <c r="Q230" s="10">
        <v>1</v>
      </c>
      <c r="R230" s="17"/>
      <c r="S230" s="17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>
        <v>1</v>
      </c>
      <c r="AF230" s="36"/>
      <c r="AG230" s="36"/>
      <c r="AH230" s="36"/>
      <c r="EZ230" s="146"/>
      <c r="FA230" s="146"/>
      <c r="FB230" s="146"/>
      <c r="FC230" s="146"/>
      <c r="FD230" s="146"/>
    </row>
    <row r="231" spans="2:160" ht="12.75">
      <c r="B231" s="96">
        <f>COUNT(R231:EY231,FE231:FM231)</f>
        <v>0</v>
      </c>
      <c r="C231" s="96">
        <f>IF(COUNT(R231:EY231,FE231:FM231)&gt;0,COUNT(R231:EY231,FE231:FM231),"")</f>
      </c>
      <c r="D231" s="96">
        <f>IF(COUNT(T231:BJ231,BL231:BT231,BV231:CB231,CD231:EY231,FE231:FM231)&gt;0,COUNT(T231:BJ231,BL231:BT231,BV231:CB231,CD231:EY231,FE231:FM231),"")</f>
      </c>
      <c r="E231" s="96">
        <f>IF(H231=1,COUNT(R231:EY231,FE231:FM231),"")</f>
      </c>
      <c r="F231" s="96">
        <f>IF(H231=1,COUNT(T231:BJ231,BL231:BT231,BV231:CB231,CD231:EY231,FE231:FM231),"")</f>
      </c>
      <c r="G231" s="96">
        <f>IF($B231&gt;=1,$M231,"")</f>
      </c>
      <c r="H231" s="149">
        <f>IF(AND(M231&gt;0,M231&lt;=STATS!$C$22),1,"")</f>
      </c>
      <c r="J231" s="34">
        <v>230</v>
      </c>
      <c r="K231" s="165">
        <v>46.12153</v>
      </c>
      <c r="L231" s="165">
        <v>-91.21628</v>
      </c>
      <c r="M231" s="10">
        <v>15.5</v>
      </c>
      <c r="R231" s="17"/>
      <c r="S231" s="17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EZ231" s="146"/>
      <c r="FA231" s="146"/>
      <c r="FB231" s="146"/>
      <c r="FC231" s="146"/>
      <c r="FD231" s="146"/>
    </row>
    <row r="232" spans="2:160" ht="12.75">
      <c r="B232" s="96">
        <f>COUNT(R232:EY232,FE232:FM232)</f>
        <v>0</v>
      </c>
      <c r="C232" s="96">
        <f>IF(COUNT(R232:EY232,FE232:FM232)&gt;0,COUNT(R232:EY232,FE232:FM232),"")</f>
      </c>
      <c r="D232" s="96">
        <f>IF(COUNT(T232:BJ232,BL232:BT232,BV232:CB232,CD232:EY232,FE232:FM232)&gt;0,COUNT(T232:BJ232,BL232:BT232,BV232:CB232,CD232:EY232,FE232:FM232),"")</f>
      </c>
      <c r="E232" s="96">
        <f>IF(H232=1,COUNT(R232:EY232,FE232:FM232),"")</f>
      </c>
      <c r="F232" s="96">
        <f>IF(H232=1,COUNT(T232:BJ232,BL232:BT232,BV232:CB232,CD232:EY232,FE232:FM232),"")</f>
      </c>
      <c r="G232" s="96">
        <f>IF($B232&gt;=1,$M232,"")</f>
      </c>
      <c r="H232" s="149">
        <f>IF(AND(M232&gt;0,M232&lt;=STATS!$C$22),1,"")</f>
      </c>
      <c r="J232" s="34">
        <v>231</v>
      </c>
      <c r="K232" s="165">
        <v>46.12154</v>
      </c>
      <c r="L232" s="165">
        <v>-91.21581</v>
      </c>
      <c r="M232" s="10">
        <v>18</v>
      </c>
      <c r="R232" s="17"/>
      <c r="S232" s="17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EZ232" s="146"/>
      <c r="FA232" s="146"/>
      <c r="FB232" s="146"/>
      <c r="FC232" s="146"/>
      <c r="FD232" s="146"/>
    </row>
    <row r="233" spans="2:160" ht="12.75">
      <c r="B233" s="96">
        <f>COUNT(R233:EY233,FE233:FM233)</f>
        <v>0</v>
      </c>
      <c r="C233" s="96">
        <f>IF(COUNT(R233:EY233,FE233:FM233)&gt;0,COUNT(R233:EY233,FE233:FM233),"")</f>
      </c>
      <c r="D233" s="96">
        <f>IF(COUNT(T233:BJ233,BL233:BT233,BV233:CB233,CD233:EY233,FE233:FM233)&gt;0,COUNT(T233:BJ233,BL233:BT233,BV233:CB233,CD233:EY233,FE233:FM233),"")</f>
      </c>
      <c r="E233" s="96">
        <f>IF(H233=1,COUNT(R233:EY233,FE233:FM233),"")</f>
      </c>
      <c r="F233" s="96">
        <f>IF(H233=1,COUNT(T233:BJ233,BL233:BT233,BV233:CB233,CD233:EY233,FE233:FM233),"")</f>
      </c>
      <c r="G233" s="96">
        <f>IF($B233&gt;=1,$M233,"")</f>
      </c>
      <c r="H233" s="149">
        <f>IF(AND(M233&gt;0,M233&lt;=STATS!$C$22),1,"")</f>
      </c>
      <c r="J233" s="34">
        <v>232</v>
      </c>
      <c r="K233" s="165">
        <v>46.12154</v>
      </c>
      <c r="L233" s="165">
        <v>-91.21535</v>
      </c>
      <c r="M233" s="10">
        <v>18.5</v>
      </c>
      <c r="R233" s="17"/>
      <c r="S233" s="17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EZ233" s="146"/>
      <c r="FA233" s="146"/>
      <c r="FB233" s="146"/>
      <c r="FC233" s="146"/>
      <c r="FD233" s="146"/>
    </row>
    <row r="234" spans="2:160" ht="12.75">
      <c r="B234" s="96">
        <f>COUNT(R234:EY234,FE234:FM234)</f>
        <v>0</v>
      </c>
      <c r="C234" s="96">
        <f>IF(COUNT(R234:EY234,FE234:FM234)&gt;0,COUNT(R234:EY234,FE234:FM234),"")</f>
      </c>
      <c r="D234" s="96">
        <f>IF(COUNT(T234:BJ234,BL234:BT234,BV234:CB234,CD234:EY234,FE234:FM234)&gt;0,COUNT(T234:BJ234,BL234:BT234,BV234:CB234,CD234:EY234,FE234:FM234),"")</f>
      </c>
      <c r="E234" s="96">
        <f>IF(H234=1,COUNT(R234:EY234,FE234:FM234),"")</f>
      </c>
      <c r="F234" s="96">
        <f>IF(H234=1,COUNT(T234:BJ234,BL234:BT234,BV234:CB234,CD234:EY234,FE234:FM234),"")</f>
      </c>
      <c r="G234" s="96">
        <f>IF($B234&gt;=1,$M234,"")</f>
      </c>
      <c r="H234" s="149">
        <f>IF(AND(M234&gt;0,M234&lt;=STATS!$C$22),1,"")</f>
      </c>
      <c r="J234" s="34">
        <v>233</v>
      </c>
      <c r="K234" s="165">
        <v>46.12154</v>
      </c>
      <c r="L234" s="165">
        <v>-91.21488</v>
      </c>
      <c r="M234" s="10">
        <v>20</v>
      </c>
      <c r="R234" s="17"/>
      <c r="S234" s="17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EZ234" s="146"/>
      <c r="FA234" s="146"/>
      <c r="FB234" s="146"/>
      <c r="FC234" s="146"/>
      <c r="FD234" s="146"/>
    </row>
    <row r="235" spans="2:160" ht="12.75">
      <c r="B235" s="96">
        <f>COUNT(R235:EY235,FE235:FM235)</f>
        <v>0</v>
      </c>
      <c r="C235" s="96">
        <f>IF(COUNT(R235:EY235,FE235:FM235)&gt;0,COUNT(R235:EY235,FE235:FM235),"")</f>
      </c>
      <c r="D235" s="96">
        <f>IF(COUNT(T235:BJ235,BL235:BT235,BV235:CB235,CD235:EY235,FE235:FM235)&gt;0,COUNT(T235:BJ235,BL235:BT235,BV235:CB235,CD235:EY235,FE235:FM235),"")</f>
      </c>
      <c r="E235" s="96">
        <f>IF(H235=1,COUNT(R235:EY235,FE235:FM235),"")</f>
      </c>
      <c r="F235" s="96">
        <f>IF(H235=1,COUNT(T235:BJ235,BL235:BT235,BV235:CB235,CD235:EY235,FE235:FM235),"")</f>
      </c>
      <c r="G235" s="96">
        <f>IF($B235&gt;=1,$M235,"")</f>
      </c>
      <c r="H235" s="149">
        <f>IF(AND(M235&gt;0,M235&lt;=STATS!$C$22),1,"")</f>
      </c>
      <c r="J235" s="34">
        <v>234</v>
      </c>
      <c r="K235" s="165">
        <v>46.12155</v>
      </c>
      <c r="L235" s="165">
        <v>-91.21441</v>
      </c>
      <c r="M235" s="10">
        <v>25</v>
      </c>
      <c r="R235" s="17"/>
      <c r="S235" s="17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EZ235" s="146"/>
      <c r="FA235" s="146"/>
      <c r="FB235" s="146"/>
      <c r="FC235" s="146"/>
      <c r="FD235" s="146"/>
    </row>
    <row r="236" spans="2:160" ht="12.75">
      <c r="B236" s="96">
        <f>COUNT(R236:EY236,FE236:FM236)</f>
        <v>0</v>
      </c>
      <c r="C236" s="96">
        <f>IF(COUNT(R236:EY236,FE236:FM236)&gt;0,COUNT(R236:EY236,FE236:FM236),"")</f>
      </c>
      <c r="D236" s="96">
        <f>IF(COUNT(T236:BJ236,BL236:BT236,BV236:CB236,CD236:EY236,FE236:FM236)&gt;0,COUNT(T236:BJ236,BL236:BT236,BV236:CB236,CD236:EY236,FE236:FM236),"")</f>
      </c>
      <c r="E236" s="96">
        <f>IF(H236=1,COUNT(R236:EY236,FE236:FM236),"")</f>
      </c>
      <c r="F236" s="96">
        <f>IF(H236=1,COUNT(T236:BJ236,BL236:BT236,BV236:CB236,CD236:EY236,FE236:FM236),"")</f>
      </c>
      <c r="G236" s="96">
        <f>IF($B236&gt;=1,$M236,"")</f>
      </c>
      <c r="H236" s="149">
        <f>IF(AND(M236&gt;0,M236&lt;=STATS!$C$22),1,"")</f>
      </c>
      <c r="J236" s="34">
        <v>235</v>
      </c>
      <c r="K236" s="165">
        <v>46.12155</v>
      </c>
      <c r="L236" s="165">
        <v>-91.21395</v>
      </c>
      <c r="M236" s="10">
        <v>25</v>
      </c>
      <c r="R236" s="17"/>
      <c r="S236" s="17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EZ236" s="146"/>
      <c r="FA236" s="146"/>
      <c r="FB236" s="146"/>
      <c r="FC236" s="146"/>
      <c r="FD236" s="146"/>
    </row>
    <row r="237" spans="2:160" ht="12.75">
      <c r="B237" s="96">
        <f>COUNT(R237:EY237,FE237:FM237)</f>
        <v>0</v>
      </c>
      <c r="C237" s="96">
        <f>IF(COUNT(R237:EY237,FE237:FM237)&gt;0,COUNT(R237:EY237,FE237:FM237),"")</f>
      </c>
      <c r="D237" s="96">
        <f>IF(COUNT(T237:BJ237,BL237:BT237,BV237:CB237,CD237:EY237,FE237:FM237)&gt;0,COUNT(T237:BJ237,BL237:BT237,BV237:CB237,CD237:EY237,FE237:FM237),"")</f>
      </c>
      <c r="E237" s="96">
        <f>IF(H237=1,COUNT(R237:EY237,FE237:FM237),"")</f>
      </c>
      <c r="F237" s="96">
        <f>IF(H237=1,COUNT(T237:BJ237,BL237:BT237,BV237:CB237,CD237:EY237,FE237:FM237),"")</f>
      </c>
      <c r="G237" s="96">
        <f>IF($B237&gt;=1,$M237,"")</f>
      </c>
      <c r="H237" s="149">
        <f>IF(AND(M237&gt;0,M237&lt;=STATS!$C$22),1,"")</f>
      </c>
      <c r="J237" s="34">
        <v>236</v>
      </c>
      <c r="K237" s="165">
        <v>46.12156</v>
      </c>
      <c r="L237" s="165">
        <v>-91.21348</v>
      </c>
      <c r="M237" s="10">
        <v>23.5</v>
      </c>
      <c r="R237" s="17"/>
      <c r="S237" s="17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EZ237" s="146"/>
      <c r="FA237" s="146"/>
      <c r="FB237" s="146"/>
      <c r="FC237" s="146"/>
      <c r="FD237" s="146"/>
    </row>
    <row r="238" spans="2:160" ht="12.75">
      <c r="B238" s="96">
        <f>COUNT(R238:EY238,FE238:FM238)</f>
        <v>0</v>
      </c>
      <c r="C238" s="96">
        <f>IF(COUNT(R238:EY238,FE238:FM238)&gt;0,COUNT(R238:EY238,FE238:FM238),"")</f>
      </c>
      <c r="D238" s="96">
        <f>IF(COUNT(T238:BJ238,BL238:BT238,BV238:CB238,CD238:EY238,FE238:FM238)&gt;0,COUNT(T238:BJ238,BL238:BT238,BV238:CB238,CD238:EY238,FE238:FM238),"")</f>
      </c>
      <c r="E238" s="96">
        <f>IF(H238=1,COUNT(R238:EY238,FE238:FM238),"")</f>
      </c>
      <c r="F238" s="96">
        <f>IF(H238=1,COUNT(T238:BJ238,BL238:BT238,BV238:CB238,CD238:EY238,FE238:FM238),"")</f>
      </c>
      <c r="G238" s="96">
        <f>IF($B238&gt;=1,$M238,"")</f>
      </c>
      <c r="H238" s="149">
        <f>IF(AND(M238&gt;0,M238&lt;=STATS!$C$22),1,"")</f>
      </c>
      <c r="J238" s="34">
        <v>237</v>
      </c>
      <c r="K238" s="165">
        <v>46.12157</v>
      </c>
      <c r="L238" s="165">
        <v>-91.21302</v>
      </c>
      <c r="M238" s="10">
        <v>25</v>
      </c>
      <c r="R238" s="17"/>
      <c r="S238" s="17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EZ238" s="146"/>
      <c r="FA238" s="146"/>
      <c r="FB238" s="146"/>
      <c r="FC238" s="146"/>
      <c r="FD238" s="146"/>
    </row>
    <row r="239" spans="2:160" ht="12.75">
      <c r="B239" s="96">
        <f>COUNT(R239:EY239,FE239:FM239)</f>
        <v>0</v>
      </c>
      <c r="C239" s="96">
        <f>IF(COUNT(R239:EY239,FE239:FM239)&gt;0,COUNT(R239:EY239,FE239:FM239),"")</f>
      </c>
      <c r="D239" s="96">
        <f>IF(COUNT(T239:BJ239,BL239:BT239,BV239:CB239,CD239:EY239,FE239:FM239)&gt;0,COUNT(T239:BJ239,BL239:BT239,BV239:CB239,CD239:EY239,FE239:FM239),"")</f>
      </c>
      <c r="E239" s="96">
        <f>IF(H239=1,COUNT(R239:EY239,FE239:FM239),"")</f>
      </c>
      <c r="F239" s="96">
        <f>IF(H239=1,COUNT(T239:BJ239,BL239:BT239,BV239:CB239,CD239:EY239,FE239:FM239),"")</f>
      </c>
      <c r="G239" s="96">
        <f>IF($B239&gt;=1,$M239,"")</f>
      </c>
      <c r="H239" s="149">
        <f>IF(AND(M239&gt;0,M239&lt;=STATS!$C$22),1,"")</f>
      </c>
      <c r="J239" s="34">
        <v>238</v>
      </c>
      <c r="K239" s="165">
        <v>46.12157</v>
      </c>
      <c r="L239" s="165">
        <v>-91.21255</v>
      </c>
      <c r="M239" s="10">
        <v>22</v>
      </c>
      <c r="R239" s="17"/>
      <c r="S239" s="17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EZ239" s="146"/>
      <c r="FA239" s="146"/>
      <c r="FB239" s="146"/>
      <c r="FC239" s="146"/>
      <c r="FD239" s="146"/>
    </row>
    <row r="240" spans="2:160" ht="12.75">
      <c r="B240" s="96">
        <f>COUNT(R240:EY240,FE240:FM240)</f>
        <v>0</v>
      </c>
      <c r="C240" s="96">
        <f>IF(COUNT(R240:EY240,FE240:FM240)&gt;0,COUNT(R240:EY240,FE240:FM240),"")</f>
      </c>
      <c r="D240" s="96">
        <f>IF(COUNT(T240:BJ240,BL240:BT240,BV240:CB240,CD240:EY240,FE240:FM240)&gt;0,COUNT(T240:BJ240,BL240:BT240,BV240:CB240,CD240:EY240,FE240:FM240),"")</f>
      </c>
      <c r="E240" s="96">
        <f>IF(H240=1,COUNT(R240:EY240,FE240:FM240),"")</f>
      </c>
      <c r="F240" s="96">
        <f>IF(H240=1,COUNT(T240:BJ240,BL240:BT240,BV240:CB240,CD240:EY240,FE240:FM240),"")</f>
      </c>
      <c r="G240" s="96">
        <f>IF($B240&gt;=1,$M240,"")</f>
      </c>
      <c r="H240" s="149">
        <f>IF(AND(M240&gt;0,M240&lt;=STATS!$C$22),1,"")</f>
      </c>
      <c r="J240" s="34">
        <v>239</v>
      </c>
      <c r="K240" s="165">
        <v>46.12157</v>
      </c>
      <c r="L240" s="165">
        <v>-91.21209</v>
      </c>
      <c r="M240" s="10">
        <v>21.5</v>
      </c>
      <c r="R240" s="17"/>
      <c r="S240" s="17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EZ240" s="146"/>
      <c r="FA240" s="146"/>
      <c r="FB240" s="146"/>
      <c r="FC240" s="146"/>
      <c r="FD240" s="146"/>
    </row>
    <row r="241" spans="2:160" ht="12.75">
      <c r="B241" s="96">
        <f>COUNT(R241:EY241,FE241:FM241)</f>
        <v>0</v>
      </c>
      <c r="C241" s="96">
        <f>IF(COUNT(R241:EY241,FE241:FM241)&gt;0,COUNT(R241:EY241,FE241:FM241),"")</f>
      </c>
      <c r="D241" s="96">
        <f>IF(COUNT(T241:BJ241,BL241:BT241,BV241:CB241,CD241:EY241,FE241:FM241)&gt;0,COUNT(T241:BJ241,BL241:BT241,BV241:CB241,CD241:EY241,FE241:FM241),"")</f>
      </c>
      <c r="E241" s="96">
        <f>IF(H241=1,COUNT(R241:EY241,FE241:FM241),"")</f>
      </c>
      <c r="F241" s="96">
        <f>IF(H241=1,COUNT(T241:BJ241,BL241:BT241,BV241:CB241,CD241:EY241,FE241:FM241),"")</f>
      </c>
      <c r="G241" s="96">
        <f>IF($B241&gt;=1,$M241,"")</f>
      </c>
      <c r="H241" s="149">
        <f>IF(AND(M241&gt;0,M241&lt;=STATS!$C$22),1,"")</f>
      </c>
      <c r="J241" s="34">
        <v>240</v>
      </c>
      <c r="K241" s="165">
        <v>46.12158</v>
      </c>
      <c r="L241" s="165">
        <v>-91.21162</v>
      </c>
      <c r="M241" s="10">
        <v>20</v>
      </c>
      <c r="R241" s="17"/>
      <c r="S241" s="17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EZ241" s="146"/>
      <c r="FA241" s="146"/>
      <c r="FB241" s="146"/>
      <c r="FC241" s="146"/>
      <c r="FD241" s="146"/>
    </row>
    <row r="242" spans="2:160" ht="12.75">
      <c r="B242" s="96">
        <f>COUNT(R242:EY242,FE242:FM242)</f>
        <v>0</v>
      </c>
      <c r="C242" s="96">
        <f>IF(COUNT(R242:EY242,FE242:FM242)&gt;0,COUNT(R242:EY242,FE242:FM242),"")</f>
      </c>
      <c r="D242" s="96">
        <f>IF(COUNT(T242:BJ242,BL242:BT242,BV242:CB242,CD242:EY242,FE242:FM242)&gt;0,COUNT(T242:BJ242,BL242:BT242,BV242:CB242,CD242:EY242,FE242:FM242),"")</f>
      </c>
      <c r="E242" s="96">
        <f>IF(H242=1,COUNT(R242:EY242,FE242:FM242),"")</f>
      </c>
      <c r="F242" s="96">
        <f>IF(H242=1,COUNT(T242:BJ242,BL242:BT242,BV242:CB242,CD242:EY242,FE242:FM242),"")</f>
      </c>
      <c r="G242" s="96">
        <f>IF($B242&gt;=1,$M242,"")</f>
      </c>
      <c r="H242" s="149">
        <f>IF(AND(M242&gt;0,M242&lt;=STATS!$C$22),1,"")</f>
      </c>
      <c r="J242" s="34">
        <v>241</v>
      </c>
      <c r="K242" s="165">
        <v>46.12158</v>
      </c>
      <c r="L242" s="165">
        <v>-91.21115</v>
      </c>
      <c r="M242" s="10">
        <v>18.5</v>
      </c>
      <c r="R242" s="17"/>
      <c r="S242" s="17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EZ242" s="146"/>
      <c r="FA242" s="146"/>
      <c r="FB242" s="146"/>
      <c r="FC242" s="146"/>
      <c r="FD242" s="146"/>
    </row>
    <row r="243" spans="2:160" ht="12.75">
      <c r="B243" s="96">
        <f>COUNT(R243:EY243,FE243:FM243)</f>
        <v>0</v>
      </c>
      <c r="C243" s="96">
        <f>IF(COUNT(R243:EY243,FE243:FM243)&gt;0,COUNT(R243:EY243,FE243:FM243),"")</f>
      </c>
      <c r="D243" s="96">
        <f>IF(COUNT(T243:BJ243,BL243:BT243,BV243:CB243,CD243:EY243,FE243:FM243)&gt;0,COUNT(T243:BJ243,BL243:BT243,BV243:CB243,CD243:EY243,FE243:FM243),"")</f>
      </c>
      <c r="E243" s="96">
        <f>IF(H243=1,COUNT(R243:EY243,FE243:FM243),"")</f>
      </c>
      <c r="F243" s="96">
        <f>IF(H243=1,COUNT(T243:BJ243,BL243:BT243,BV243:CB243,CD243:EY243,FE243:FM243),"")</f>
      </c>
      <c r="G243" s="96">
        <f>IF($B243&gt;=1,$M243,"")</f>
      </c>
      <c r="H243" s="149">
        <f>IF(AND(M243&gt;0,M243&lt;=STATS!$C$22),1,"")</f>
      </c>
      <c r="J243" s="34">
        <v>242</v>
      </c>
      <c r="K243" s="165">
        <v>46.12159</v>
      </c>
      <c r="L243" s="165">
        <v>-91.21069</v>
      </c>
      <c r="M243" s="10">
        <v>16</v>
      </c>
      <c r="R243" s="17"/>
      <c r="S243" s="17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EZ243" s="146"/>
      <c r="FA243" s="146"/>
      <c r="FB243" s="146"/>
      <c r="FC243" s="146"/>
      <c r="FD243" s="146"/>
    </row>
    <row r="244" spans="2:160" ht="12.75">
      <c r="B244" s="96">
        <f>COUNT(R244:EY244,FE244:FM244)</f>
        <v>0</v>
      </c>
      <c r="C244" s="96">
        <f>IF(COUNT(R244:EY244,FE244:FM244)&gt;0,COUNT(R244:EY244,FE244:FM244),"")</f>
      </c>
      <c r="D244" s="96">
        <f>IF(COUNT(T244:BJ244,BL244:BT244,BV244:CB244,CD244:EY244,FE244:FM244)&gt;0,COUNT(T244:BJ244,BL244:BT244,BV244:CB244,CD244:EY244,FE244:FM244),"")</f>
      </c>
      <c r="E244" s="96">
        <f>IF(H244=1,COUNT(R244:EY244,FE244:FM244),"")</f>
        <v>0</v>
      </c>
      <c r="F244" s="96">
        <f>IF(H244=1,COUNT(T244:BJ244,BL244:BT244,BV244:CB244,CD244:EY244,FE244:FM244),"")</f>
        <v>0</v>
      </c>
      <c r="G244" s="96">
        <f>IF($B244&gt;=1,$M244,"")</f>
      </c>
      <c r="H244" s="149">
        <f>IF(AND(M244&gt;0,M244&lt;=STATS!$C$22),1,"")</f>
        <v>1</v>
      </c>
      <c r="J244" s="34">
        <v>243</v>
      </c>
      <c r="K244" s="165">
        <v>46.12159</v>
      </c>
      <c r="L244" s="165">
        <v>-91.21022</v>
      </c>
      <c r="M244" s="10">
        <v>12.5</v>
      </c>
      <c r="N244" s="10" t="s">
        <v>563</v>
      </c>
      <c r="O244" s="190" t="s">
        <v>648</v>
      </c>
      <c r="R244" s="17"/>
      <c r="S244" s="17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EZ244" s="146"/>
      <c r="FA244" s="146"/>
      <c r="FB244" s="146"/>
      <c r="FC244" s="146"/>
      <c r="FD244" s="146"/>
    </row>
    <row r="245" spans="2:160" ht="12.75">
      <c r="B245" s="96">
        <f>COUNT(R245:EY245,FE245:FM245)</f>
        <v>2</v>
      </c>
      <c r="C245" s="96">
        <f>IF(COUNT(R245:EY245,FE245:FM245)&gt;0,COUNT(R245:EY245,FE245:FM245),"")</f>
        <v>2</v>
      </c>
      <c r="D245" s="96">
        <f>IF(COUNT(T245:BJ245,BL245:BT245,BV245:CB245,CD245:EY245,FE245:FM245)&gt;0,COUNT(T245:BJ245,BL245:BT245,BV245:CB245,CD245:EY245,FE245:FM245),"")</f>
        <v>2</v>
      </c>
      <c r="E245" s="96">
        <f>IF(H245=1,COUNT(R245:EY245,FE245:FM245),"")</f>
        <v>2</v>
      </c>
      <c r="F245" s="96">
        <f>IF(H245=1,COUNT(T245:BJ245,BL245:BT245,BV245:CB245,CD245:EY245,FE245:FM245),"")</f>
        <v>2</v>
      </c>
      <c r="G245" s="96">
        <f>IF($B245&gt;=1,$M245,"")</f>
        <v>7</v>
      </c>
      <c r="H245" s="149">
        <f>IF(AND(M245&gt;0,M245&lt;=STATS!$C$22),1,"")</f>
        <v>1</v>
      </c>
      <c r="J245" s="34">
        <v>244</v>
      </c>
      <c r="K245" s="165">
        <v>46.1216</v>
      </c>
      <c r="L245" s="165">
        <v>-91.20976</v>
      </c>
      <c r="M245" s="10">
        <v>7</v>
      </c>
      <c r="N245" s="10" t="s">
        <v>563</v>
      </c>
      <c r="O245" s="190" t="s">
        <v>648</v>
      </c>
      <c r="Q245" s="10">
        <v>2</v>
      </c>
      <c r="R245" s="17"/>
      <c r="S245" s="17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BR245" s="10">
        <v>1</v>
      </c>
      <c r="BW245" s="10">
        <v>2</v>
      </c>
      <c r="EZ245" s="146"/>
      <c r="FA245" s="146"/>
      <c r="FB245" s="146">
        <v>1</v>
      </c>
      <c r="FC245" s="146"/>
      <c r="FD245" s="146"/>
    </row>
    <row r="246" spans="2:160" ht="12.75">
      <c r="B246" s="96">
        <f>COUNT(R246:EY246,FE246:FM246)</f>
        <v>6</v>
      </c>
      <c r="C246" s="96">
        <f>IF(COUNT(R246:EY246,FE246:FM246)&gt;0,COUNT(R246:EY246,FE246:FM246),"")</f>
        <v>6</v>
      </c>
      <c r="D246" s="96">
        <f>IF(COUNT(T246:BJ246,BL246:BT246,BV246:CB246,CD246:EY246,FE246:FM246)&gt;0,COUNT(T246:BJ246,BL246:BT246,BV246:CB246,CD246:EY246,FE246:FM246),"")</f>
        <v>6</v>
      </c>
      <c r="E246" s="96">
        <f>IF(H246=1,COUNT(R246:EY246,FE246:FM246),"")</f>
        <v>6</v>
      </c>
      <c r="F246" s="96">
        <f>IF(H246=1,COUNT(T246:BJ246,BL246:BT246,BV246:CB246,CD246:EY246,FE246:FM246),"")</f>
        <v>6</v>
      </c>
      <c r="G246" s="96">
        <f>IF($B246&gt;=1,$M246,"")</f>
        <v>3.5</v>
      </c>
      <c r="H246" s="149">
        <f>IF(AND(M246&gt;0,M246&lt;=STATS!$C$22),1,"")</f>
        <v>1</v>
      </c>
      <c r="J246" s="34">
        <v>245</v>
      </c>
      <c r="K246" s="165">
        <v>46.1216</v>
      </c>
      <c r="L246" s="165">
        <v>-91.20929</v>
      </c>
      <c r="M246" s="10">
        <v>3.5</v>
      </c>
      <c r="N246" s="10" t="s">
        <v>563</v>
      </c>
      <c r="O246" s="190" t="s">
        <v>648</v>
      </c>
      <c r="Q246" s="10">
        <v>2</v>
      </c>
      <c r="R246" s="17"/>
      <c r="S246" s="17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>
        <v>1</v>
      </c>
      <c r="AF246" s="36"/>
      <c r="AG246" s="36"/>
      <c r="AH246" s="36"/>
      <c r="AW246" s="10">
        <v>2</v>
      </c>
      <c r="CB246" s="10">
        <v>2</v>
      </c>
      <c r="CO246" s="10">
        <v>1</v>
      </c>
      <c r="DA246" s="10">
        <v>1</v>
      </c>
      <c r="DE246" s="10">
        <v>1</v>
      </c>
      <c r="EZ246" s="146"/>
      <c r="FA246" s="146"/>
      <c r="FB246" s="146"/>
      <c r="FC246" s="146"/>
      <c r="FD246" s="146"/>
    </row>
    <row r="247" spans="2:160" ht="12.75">
      <c r="B247" s="96">
        <f>COUNT(R247:EY247,FE247:FM247)</f>
        <v>6</v>
      </c>
      <c r="C247" s="96">
        <f>IF(COUNT(R247:EY247,FE247:FM247)&gt;0,COUNT(R247:EY247,FE247:FM247),"")</f>
        <v>6</v>
      </c>
      <c r="D247" s="96">
        <f>IF(COUNT(T247:BJ247,BL247:BT247,BV247:CB247,CD247:EY247,FE247:FM247)&gt;0,COUNT(T247:BJ247,BL247:BT247,BV247:CB247,CD247:EY247,FE247:FM247),"")</f>
        <v>6</v>
      </c>
      <c r="E247" s="96">
        <f>IF(H247=1,COUNT(R247:EY247,FE247:FM247),"")</f>
        <v>6</v>
      </c>
      <c r="F247" s="96">
        <f>IF(H247=1,COUNT(T247:BJ247,BL247:BT247,BV247:CB247,CD247:EY247,FE247:FM247),"")</f>
        <v>6</v>
      </c>
      <c r="G247" s="96">
        <f>IF($B247&gt;=1,$M247,"")</f>
        <v>4</v>
      </c>
      <c r="H247" s="149">
        <f>IF(AND(M247&gt;0,M247&lt;=STATS!$C$22),1,"")</f>
        <v>1</v>
      </c>
      <c r="J247" s="34">
        <v>246</v>
      </c>
      <c r="K247" s="165">
        <v>46.12181</v>
      </c>
      <c r="L247" s="165">
        <v>-91.22048</v>
      </c>
      <c r="M247" s="10">
        <v>4</v>
      </c>
      <c r="N247" s="10" t="s">
        <v>563</v>
      </c>
      <c r="O247" s="190" t="s">
        <v>648</v>
      </c>
      <c r="Q247" s="10">
        <v>3</v>
      </c>
      <c r="R247" s="17"/>
      <c r="S247" s="17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>
        <v>3</v>
      </c>
      <c r="AH247" s="36"/>
      <c r="AW247" s="10">
        <v>1</v>
      </c>
      <c r="BO247" s="10">
        <v>1</v>
      </c>
      <c r="BR247" s="10">
        <v>1</v>
      </c>
      <c r="DA247" s="10">
        <v>1</v>
      </c>
      <c r="DE247" s="10">
        <v>1</v>
      </c>
      <c r="EZ247" s="146"/>
      <c r="FA247" s="146"/>
      <c r="FB247" s="146"/>
      <c r="FC247" s="146"/>
      <c r="FD247" s="146"/>
    </row>
    <row r="248" spans="2:160" ht="12.75">
      <c r="B248" s="96">
        <f>COUNT(R248:EY248,FE248:FM248)</f>
        <v>4</v>
      </c>
      <c r="C248" s="96">
        <f>IF(COUNT(R248:EY248,FE248:FM248)&gt;0,COUNT(R248:EY248,FE248:FM248),"")</f>
        <v>4</v>
      </c>
      <c r="D248" s="96">
        <f>IF(COUNT(T248:BJ248,BL248:BT248,BV248:CB248,CD248:EY248,FE248:FM248)&gt;0,COUNT(T248:BJ248,BL248:BT248,BV248:CB248,CD248:EY248,FE248:FM248),"")</f>
        <v>4</v>
      </c>
      <c r="E248" s="96">
        <f>IF(H248=1,COUNT(R248:EY248,FE248:FM248),"")</f>
        <v>4</v>
      </c>
      <c r="F248" s="96">
        <f>IF(H248=1,COUNT(T248:BJ248,BL248:BT248,BV248:CB248,CD248:EY248,FE248:FM248),"")</f>
        <v>4</v>
      </c>
      <c r="G248" s="96">
        <f>IF($B248&gt;=1,$M248,"")</f>
        <v>4.5</v>
      </c>
      <c r="H248" s="149">
        <f>IF(AND(M248&gt;0,M248&lt;=STATS!$C$22),1,"")</f>
        <v>1</v>
      </c>
      <c r="J248" s="34">
        <v>247</v>
      </c>
      <c r="K248" s="165">
        <v>46.12181</v>
      </c>
      <c r="L248" s="165">
        <v>-91.22001</v>
      </c>
      <c r="M248" s="10">
        <v>4.5</v>
      </c>
      <c r="N248" s="10" t="s">
        <v>563</v>
      </c>
      <c r="O248" s="190" t="s">
        <v>648</v>
      </c>
      <c r="Q248" s="10">
        <v>2</v>
      </c>
      <c r="R248" s="17"/>
      <c r="S248" s="17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>
        <v>1</v>
      </c>
      <c r="AF248" s="36"/>
      <c r="AG248" s="36"/>
      <c r="AH248" s="36"/>
      <c r="BO248" s="10">
        <v>1</v>
      </c>
      <c r="BR248" s="10">
        <v>1</v>
      </c>
      <c r="CA248" s="10">
        <v>2</v>
      </c>
      <c r="CB248" s="10" t="s">
        <v>566</v>
      </c>
      <c r="CY248" s="10" t="s">
        <v>566</v>
      </c>
      <c r="DE248" s="10" t="s">
        <v>566</v>
      </c>
      <c r="EZ248" s="146"/>
      <c r="FA248" s="146"/>
      <c r="FB248" s="146"/>
      <c r="FC248" s="146"/>
      <c r="FD248" s="146"/>
    </row>
    <row r="249" spans="2:160" ht="12.75">
      <c r="B249" s="96">
        <f>COUNT(R249:EY249,FE249:FM249)</f>
        <v>0</v>
      </c>
      <c r="C249" s="96">
        <f>IF(COUNT(R249:EY249,FE249:FM249)&gt;0,COUNT(R249:EY249,FE249:FM249),"")</f>
      </c>
      <c r="D249" s="96">
        <f>IF(COUNT(T249:BJ249,BL249:BT249,BV249:CB249,CD249:EY249,FE249:FM249)&gt;0,COUNT(T249:BJ249,BL249:BT249,BV249:CB249,CD249:EY249,FE249:FM249),"")</f>
      </c>
      <c r="E249" s="96">
        <f>IF(H249=1,COUNT(R249:EY249,FE249:FM249),"")</f>
      </c>
      <c r="F249" s="96">
        <f>IF(H249=1,COUNT(T249:BJ249,BL249:BT249,BV249:CB249,CD249:EY249,FE249:FM249),"")</f>
      </c>
      <c r="G249" s="96">
        <f>IF($B249&gt;=1,$M249,"")</f>
      </c>
      <c r="H249" s="149">
        <f>IF(AND(M249&gt;0,M249&lt;=STATS!$C$22),1,"")</f>
      </c>
      <c r="J249" s="34">
        <v>248</v>
      </c>
      <c r="K249" s="165">
        <v>46.12182</v>
      </c>
      <c r="L249" s="165">
        <v>-91.21955</v>
      </c>
      <c r="M249" s="10">
        <v>15</v>
      </c>
      <c r="N249" s="10" t="s">
        <v>563</v>
      </c>
      <c r="O249" s="190" t="s">
        <v>648</v>
      </c>
      <c r="R249" s="17"/>
      <c r="S249" s="17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EZ249" s="146"/>
      <c r="FA249" s="146"/>
      <c r="FB249" s="146"/>
      <c r="FC249" s="146"/>
      <c r="FD249" s="146"/>
    </row>
    <row r="250" spans="2:160" ht="12.75">
      <c r="B250" s="96">
        <f>COUNT(R250:EY250,FE250:FM250)</f>
        <v>0</v>
      </c>
      <c r="C250" s="96">
        <f>IF(COUNT(R250:EY250,FE250:FM250)&gt;0,COUNT(R250:EY250,FE250:FM250),"")</f>
      </c>
      <c r="D250" s="96">
        <f>IF(COUNT(T250:BJ250,BL250:BT250,BV250:CB250,CD250:EY250,FE250:FM250)&gt;0,COUNT(T250:BJ250,BL250:BT250,BV250:CB250,CD250:EY250,FE250:FM250),"")</f>
      </c>
      <c r="E250" s="96">
        <f>IF(H250=1,COUNT(R250:EY250,FE250:FM250),"")</f>
        <v>0</v>
      </c>
      <c r="F250" s="96">
        <f>IF(H250=1,COUNT(T250:BJ250,BL250:BT250,BV250:CB250,CD250:EY250,FE250:FM250),"")</f>
        <v>0</v>
      </c>
      <c r="G250" s="96">
        <f>IF($B250&gt;=1,$M250,"")</f>
      </c>
      <c r="H250" s="149">
        <f>IF(AND(M250&gt;0,M250&lt;=STATS!$C$22),1,"")</f>
        <v>1</v>
      </c>
      <c r="J250" s="34">
        <v>249</v>
      </c>
      <c r="K250" s="165">
        <v>46.12182</v>
      </c>
      <c r="L250" s="165">
        <v>-91.21908</v>
      </c>
      <c r="M250" s="10">
        <v>12</v>
      </c>
      <c r="N250" s="10" t="s">
        <v>563</v>
      </c>
      <c r="O250" s="190" t="s">
        <v>648</v>
      </c>
      <c r="R250" s="17"/>
      <c r="S250" s="17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EZ250" s="146"/>
      <c r="FA250" s="146"/>
      <c r="FB250" s="146"/>
      <c r="FC250" s="146"/>
      <c r="FD250" s="146"/>
    </row>
    <row r="251" spans="2:160" ht="12.75">
      <c r="B251" s="96">
        <f>COUNT(R251:EY251,FE251:FM251)</f>
        <v>3</v>
      </c>
      <c r="C251" s="96">
        <f>IF(COUNT(R251:EY251,FE251:FM251)&gt;0,COUNT(R251:EY251,FE251:FM251),"")</f>
        <v>3</v>
      </c>
      <c r="D251" s="96">
        <f>IF(COUNT(T251:BJ251,BL251:BT251,BV251:CB251,CD251:EY251,FE251:FM251)&gt;0,COUNT(T251:BJ251,BL251:BT251,BV251:CB251,CD251:EY251,FE251:FM251),"")</f>
        <v>3</v>
      </c>
      <c r="E251" s="96">
        <f>IF(H251=1,COUNT(R251:EY251,FE251:FM251),"")</f>
        <v>3</v>
      </c>
      <c r="F251" s="96">
        <f>IF(H251=1,COUNT(T251:BJ251,BL251:BT251,BV251:CB251,CD251:EY251,FE251:FM251),"")</f>
        <v>3</v>
      </c>
      <c r="G251" s="96">
        <f>IF($B251&gt;=1,$M251,"")</f>
        <v>4</v>
      </c>
      <c r="H251" s="149">
        <f>IF(AND(M251&gt;0,M251&lt;=STATS!$C$22),1,"")</f>
        <v>1</v>
      </c>
      <c r="J251" s="34">
        <v>250</v>
      </c>
      <c r="K251" s="165">
        <v>46.12183</v>
      </c>
      <c r="L251" s="165">
        <v>-91.21861</v>
      </c>
      <c r="M251" s="10">
        <v>4</v>
      </c>
      <c r="N251" s="10" t="s">
        <v>564</v>
      </c>
      <c r="O251" s="190" t="s">
        <v>648</v>
      </c>
      <c r="Q251" s="10">
        <v>2</v>
      </c>
      <c r="R251" s="17"/>
      <c r="S251" s="17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>
        <v>1</v>
      </c>
      <c r="AF251" s="36"/>
      <c r="AG251" s="36"/>
      <c r="AH251" s="36"/>
      <c r="CA251" s="10">
        <v>2</v>
      </c>
      <c r="CB251" s="10">
        <v>1</v>
      </c>
      <c r="CO251" s="10" t="s">
        <v>566</v>
      </c>
      <c r="CW251" s="10" t="s">
        <v>566</v>
      </c>
      <c r="CY251" s="10" t="s">
        <v>566</v>
      </c>
      <c r="EZ251" s="146"/>
      <c r="FA251" s="146"/>
      <c r="FB251" s="146">
        <v>1</v>
      </c>
      <c r="FC251" s="146"/>
      <c r="FD251" s="146"/>
    </row>
    <row r="252" spans="2:160" ht="12.75">
      <c r="B252" s="96">
        <f>COUNT(R252:EY252,FE252:FM252)</f>
        <v>4</v>
      </c>
      <c r="C252" s="96">
        <f>IF(COUNT(R252:EY252,FE252:FM252)&gt;0,COUNT(R252:EY252,FE252:FM252),"")</f>
        <v>4</v>
      </c>
      <c r="D252" s="96">
        <f>IF(COUNT(T252:BJ252,BL252:BT252,BV252:CB252,CD252:EY252,FE252:FM252)&gt;0,COUNT(T252:BJ252,BL252:BT252,BV252:CB252,CD252:EY252,FE252:FM252),"")</f>
        <v>4</v>
      </c>
      <c r="E252" s="96">
        <f>IF(H252=1,COUNT(R252:EY252,FE252:FM252),"")</f>
        <v>4</v>
      </c>
      <c r="F252" s="96">
        <f>IF(H252=1,COUNT(T252:BJ252,BL252:BT252,BV252:CB252,CD252:EY252,FE252:FM252),"")</f>
        <v>4</v>
      </c>
      <c r="G252" s="96">
        <f>IF($B252&gt;=1,$M252,"")</f>
        <v>4</v>
      </c>
      <c r="H252" s="149">
        <f>IF(AND(M252&gt;0,M252&lt;=STATS!$C$22),1,"")</f>
        <v>1</v>
      </c>
      <c r="J252" s="34">
        <v>251</v>
      </c>
      <c r="K252" s="165">
        <v>46.12183</v>
      </c>
      <c r="L252" s="165">
        <v>-91.21815</v>
      </c>
      <c r="M252" s="10">
        <v>4</v>
      </c>
      <c r="N252" s="10" t="s">
        <v>563</v>
      </c>
      <c r="O252" s="190" t="s">
        <v>648</v>
      </c>
      <c r="Q252" s="10">
        <v>3</v>
      </c>
      <c r="R252" s="17"/>
      <c r="S252" s="17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>
        <v>1</v>
      </c>
      <c r="AF252" s="36"/>
      <c r="AG252" s="36"/>
      <c r="AH252" s="36"/>
      <c r="BO252" s="10" t="s">
        <v>566</v>
      </c>
      <c r="CA252" s="10">
        <v>3</v>
      </c>
      <c r="CO252" s="10">
        <v>1</v>
      </c>
      <c r="DE252" s="10">
        <v>1</v>
      </c>
      <c r="EZ252" s="146"/>
      <c r="FA252" s="146"/>
      <c r="FB252" s="146">
        <v>2</v>
      </c>
      <c r="FC252" s="146"/>
      <c r="FD252" s="146"/>
    </row>
    <row r="253" spans="2:160" ht="12.75">
      <c r="B253" s="96">
        <f>COUNT(R253:EY253,FE253:FM253)</f>
        <v>0</v>
      </c>
      <c r="C253" s="96">
        <f>IF(COUNT(R253:EY253,FE253:FM253)&gt;0,COUNT(R253:EY253,FE253:FM253),"")</f>
      </c>
      <c r="D253" s="96">
        <f>IF(COUNT(T253:BJ253,BL253:BT253,BV253:CB253,CD253:EY253,FE253:FM253)&gt;0,COUNT(T253:BJ253,BL253:BT253,BV253:CB253,CD253:EY253,FE253:FM253),"")</f>
      </c>
      <c r="E253" s="96">
        <f>IF(H253=1,COUNT(R253:EY253,FE253:FM253),"")</f>
        <v>0</v>
      </c>
      <c r="F253" s="96">
        <f>IF(H253=1,COUNT(T253:BJ253,BL253:BT253,BV253:CB253,CD253:EY253,FE253:FM253),"")</f>
        <v>0</v>
      </c>
      <c r="G253" s="96">
        <f>IF($B253&gt;=1,$M253,"")</f>
      </c>
      <c r="H253" s="149">
        <f>IF(AND(M253&gt;0,M253&lt;=STATS!$C$22),1,"")</f>
        <v>1</v>
      </c>
      <c r="J253" s="34">
        <v>252</v>
      </c>
      <c r="K253" s="165">
        <v>46.12184</v>
      </c>
      <c r="L253" s="165">
        <v>-91.21768</v>
      </c>
      <c r="M253" s="10">
        <v>12.5</v>
      </c>
      <c r="N253" s="10" t="s">
        <v>563</v>
      </c>
      <c r="O253" s="190" t="s">
        <v>648</v>
      </c>
      <c r="R253" s="17"/>
      <c r="S253" s="17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EZ253" s="146"/>
      <c r="FA253" s="146"/>
      <c r="FB253" s="146"/>
      <c r="FC253" s="146"/>
      <c r="FD253" s="146"/>
    </row>
    <row r="254" spans="2:160" ht="12.75">
      <c r="B254" s="96">
        <f>COUNT(R254:EY254,FE254:FM254)</f>
        <v>0</v>
      </c>
      <c r="C254" s="96">
        <f>IF(COUNT(R254:EY254,FE254:FM254)&gt;0,COUNT(R254:EY254,FE254:FM254),"")</f>
      </c>
      <c r="D254" s="96">
        <f>IF(COUNT(T254:BJ254,BL254:BT254,BV254:CB254,CD254:EY254,FE254:FM254)&gt;0,COUNT(T254:BJ254,BL254:BT254,BV254:CB254,CD254:EY254,FE254:FM254),"")</f>
      </c>
      <c r="E254" s="96">
        <f>IF(H254=1,COUNT(R254:EY254,FE254:FM254),"")</f>
        <v>0</v>
      </c>
      <c r="F254" s="96">
        <f>IF(H254=1,COUNT(T254:BJ254,BL254:BT254,BV254:CB254,CD254:EY254,FE254:FM254),"")</f>
        <v>0</v>
      </c>
      <c r="G254" s="96">
        <f>IF($B254&gt;=1,$M254,"")</f>
      </c>
      <c r="H254" s="149">
        <f>IF(AND(M254&gt;0,M254&lt;=STATS!$C$22),1,"")</f>
        <v>1</v>
      </c>
      <c r="J254" s="34">
        <v>253</v>
      </c>
      <c r="K254" s="165">
        <v>46.12184</v>
      </c>
      <c r="L254" s="165">
        <v>-91.21722</v>
      </c>
      <c r="M254" s="10">
        <v>12</v>
      </c>
      <c r="N254" s="10" t="s">
        <v>563</v>
      </c>
      <c r="O254" s="190" t="s">
        <v>648</v>
      </c>
      <c r="R254" s="17"/>
      <c r="S254" s="17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EZ254" s="146"/>
      <c r="FA254" s="146"/>
      <c r="FB254" s="146"/>
      <c r="FC254" s="146"/>
      <c r="FD254" s="146"/>
    </row>
    <row r="255" spans="2:160" ht="12.75">
      <c r="B255" s="96">
        <f>COUNT(R255:EY255,FE255:FM255)</f>
        <v>1</v>
      </c>
      <c r="C255" s="96">
        <f>IF(COUNT(R255:EY255,FE255:FM255)&gt;0,COUNT(R255:EY255,FE255:FM255),"")</f>
        <v>1</v>
      </c>
      <c r="D255" s="96">
        <f>IF(COUNT(T255:BJ255,BL255:BT255,BV255:CB255,CD255:EY255,FE255:FM255)&gt;0,COUNT(T255:BJ255,BL255:BT255,BV255:CB255,CD255:EY255,FE255:FM255),"")</f>
        <v>1</v>
      </c>
      <c r="E255" s="96">
        <f>IF(H255=1,COUNT(R255:EY255,FE255:FM255),"")</f>
        <v>1</v>
      </c>
      <c r="F255" s="96">
        <f>IF(H255=1,COUNT(T255:BJ255,BL255:BT255,BV255:CB255,CD255:EY255,FE255:FM255),"")</f>
        <v>1</v>
      </c>
      <c r="G255" s="96">
        <f>IF($B255&gt;=1,$M255,"")</f>
        <v>14</v>
      </c>
      <c r="H255" s="149">
        <f>IF(AND(M255&gt;0,M255&lt;=STATS!$C$22),1,"")</f>
        <v>1</v>
      </c>
      <c r="J255" s="34">
        <v>254</v>
      </c>
      <c r="K255" s="165">
        <v>46.12185</v>
      </c>
      <c r="L255" s="165">
        <v>-91.21675</v>
      </c>
      <c r="M255" s="10">
        <v>14</v>
      </c>
      <c r="N255" s="10" t="s">
        <v>563</v>
      </c>
      <c r="O255" s="190" t="s">
        <v>648</v>
      </c>
      <c r="Q255" s="10">
        <v>1</v>
      </c>
      <c r="R255" s="17"/>
      <c r="S255" s="17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>
        <v>1</v>
      </c>
      <c r="AF255" s="36"/>
      <c r="AG255" s="36"/>
      <c r="AH255" s="36"/>
      <c r="EZ255" s="146"/>
      <c r="FA255" s="146"/>
      <c r="FB255" s="146"/>
      <c r="FC255" s="146"/>
      <c r="FD255" s="146"/>
    </row>
    <row r="256" spans="2:160" ht="12.75">
      <c r="B256" s="96">
        <f>COUNT(R256:EY256,FE256:FM256)</f>
        <v>0</v>
      </c>
      <c r="C256" s="96">
        <f>IF(COUNT(R256:EY256,FE256:FM256)&gt;0,COUNT(R256:EY256,FE256:FM256),"")</f>
      </c>
      <c r="D256" s="96">
        <f>IF(COUNT(T256:BJ256,BL256:BT256,BV256:CB256,CD256:EY256,FE256:FM256)&gt;0,COUNT(T256:BJ256,BL256:BT256,BV256:CB256,CD256:EY256,FE256:FM256),"")</f>
      </c>
      <c r="E256" s="96">
        <f>IF(H256=1,COUNT(R256:EY256,FE256:FM256),"")</f>
      </c>
      <c r="F256" s="96">
        <f>IF(H256=1,COUNT(T256:BJ256,BL256:BT256,BV256:CB256,CD256:EY256,FE256:FM256),"")</f>
      </c>
      <c r="G256" s="96">
        <f>IF($B256&gt;=1,$M256,"")</f>
      </c>
      <c r="H256" s="149">
        <f>IF(AND(M256&gt;0,M256&lt;=STATS!$C$22),1,"")</f>
      </c>
      <c r="J256" s="34">
        <v>255</v>
      </c>
      <c r="K256" s="165">
        <v>46.12185</v>
      </c>
      <c r="L256" s="165">
        <v>-91.21628</v>
      </c>
      <c r="M256" s="10">
        <v>19</v>
      </c>
      <c r="R256" s="17"/>
      <c r="S256" s="17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EZ256" s="146"/>
      <c r="FA256" s="146"/>
      <c r="FB256" s="146"/>
      <c r="FC256" s="146"/>
      <c r="FD256" s="146"/>
    </row>
    <row r="257" spans="2:160" ht="12.75">
      <c r="B257" s="96">
        <f>COUNT(R257:EY257,FE257:FM257)</f>
        <v>0</v>
      </c>
      <c r="C257" s="96">
        <f>IF(COUNT(R257:EY257,FE257:FM257)&gt;0,COUNT(R257:EY257,FE257:FM257),"")</f>
      </c>
      <c r="D257" s="96">
        <f>IF(COUNT(T257:BJ257,BL257:BT257,BV257:CB257,CD257:EY257,FE257:FM257)&gt;0,COUNT(T257:BJ257,BL257:BT257,BV257:CB257,CD257:EY257,FE257:FM257),"")</f>
      </c>
      <c r="E257" s="96">
        <f>IF(H257=1,COUNT(R257:EY257,FE257:FM257),"")</f>
      </c>
      <c r="F257" s="96">
        <f>IF(H257=1,COUNT(T257:BJ257,BL257:BT257,BV257:CB257,CD257:EY257,FE257:FM257),"")</f>
      </c>
      <c r="G257" s="96">
        <f>IF($B257&gt;=1,$M257,"")</f>
      </c>
      <c r="H257" s="149">
        <f>IF(AND(M257&gt;0,M257&lt;=STATS!$C$22),1,"")</f>
      </c>
      <c r="J257" s="34">
        <v>256</v>
      </c>
      <c r="K257" s="165">
        <v>46.12186</v>
      </c>
      <c r="L257" s="165">
        <v>-91.21582</v>
      </c>
      <c r="M257" s="10">
        <v>18</v>
      </c>
      <c r="R257" s="17"/>
      <c r="S257" s="17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EZ257" s="146"/>
      <c r="FA257" s="146"/>
      <c r="FB257" s="146"/>
      <c r="FC257" s="146"/>
      <c r="FD257" s="146"/>
    </row>
    <row r="258" spans="2:160" ht="12.75">
      <c r="B258" s="96">
        <f>COUNT(R258:EY258,FE258:FM258)</f>
        <v>0</v>
      </c>
      <c r="C258" s="96">
        <f>IF(COUNT(R258:EY258,FE258:FM258)&gt;0,COUNT(R258:EY258,FE258:FM258),"")</f>
      </c>
      <c r="D258" s="96">
        <f>IF(COUNT(T258:BJ258,BL258:BT258,BV258:CB258,CD258:EY258,FE258:FM258)&gt;0,COUNT(T258:BJ258,BL258:BT258,BV258:CB258,CD258:EY258,FE258:FM258),"")</f>
      </c>
      <c r="E258" s="96">
        <f>IF(H258=1,COUNT(R258:EY258,FE258:FM258),"")</f>
      </c>
      <c r="F258" s="96">
        <f>IF(H258=1,COUNT(T258:BJ258,BL258:BT258,BV258:CB258,CD258:EY258,FE258:FM258),"")</f>
      </c>
      <c r="G258" s="96">
        <f>IF($B258&gt;=1,$M258,"")</f>
      </c>
      <c r="H258" s="149">
        <f>IF(AND(M258&gt;0,M258&lt;=STATS!$C$22),1,"")</f>
      </c>
      <c r="J258" s="34">
        <v>257</v>
      </c>
      <c r="K258" s="165">
        <v>46.12186</v>
      </c>
      <c r="L258" s="165">
        <v>-91.21535</v>
      </c>
      <c r="M258" s="10">
        <v>22.5</v>
      </c>
      <c r="R258" s="17"/>
      <c r="S258" s="17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EZ258" s="146"/>
      <c r="FA258" s="146"/>
      <c r="FB258" s="146"/>
      <c r="FC258" s="146"/>
      <c r="FD258" s="146"/>
    </row>
    <row r="259" spans="2:160" ht="12.75">
      <c r="B259" s="96">
        <f>COUNT(R259:EY259,FE259:FM259)</f>
        <v>0</v>
      </c>
      <c r="C259" s="96">
        <f>IF(COUNT(R259:EY259,FE259:FM259)&gt;0,COUNT(R259:EY259,FE259:FM259),"")</f>
      </c>
      <c r="D259" s="96">
        <f>IF(COUNT(T259:BJ259,BL259:BT259,BV259:CB259,CD259:EY259,FE259:FM259)&gt;0,COUNT(T259:BJ259,BL259:BT259,BV259:CB259,CD259:EY259,FE259:FM259),"")</f>
      </c>
      <c r="E259" s="96">
        <f>IF(H259=1,COUNT(R259:EY259,FE259:FM259),"")</f>
      </c>
      <c r="F259" s="96">
        <f>IF(H259=1,COUNT(T259:BJ259,BL259:BT259,BV259:CB259,CD259:EY259,FE259:FM259),"")</f>
      </c>
      <c r="G259" s="96">
        <f>IF($B259&gt;=1,$M259,"")</f>
      </c>
      <c r="H259" s="149">
        <f>IF(AND(M259&gt;0,M259&lt;=STATS!$C$22),1,"")</f>
      </c>
      <c r="J259" s="34">
        <v>258</v>
      </c>
      <c r="K259" s="165">
        <v>46.12187</v>
      </c>
      <c r="L259" s="165">
        <v>-91.21489</v>
      </c>
      <c r="M259" s="10">
        <v>28.5</v>
      </c>
      <c r="R259" s="17"/>
      <c r="S259" s="17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EZ259" s="146"/>
      <c r="FA259" s="146"/>
      <c r="FB259" s="146"/>
      <c r="FC259" s="146"/>
      <c r="FD259" s="146"/>
    </row>
    <row r="260" spans="2:160" ht="12.75">
      <c r="B260" s="96">
        <f>COUNT(R260:EY260,FE260:FM260)</f>
        <v>0</v>
      </c>
      <c r="C260" s="96">
        <f>IF(COUNT(R260:EY260,FE260:FM260)&gt;0,COUNT(R260:EY260,FE260:FM260),"")</f>
      </c>
      <c r="D260" s="96">
        <f>IF(COUNT(T260:BJ260,BL260:BT260,BV260:CB260,CD260:EY260,FE260:FM260)&gt;0,COUNT(T260:BJ260,BL260:BT260,BV260:CB260,CD260:EY260,FE260:FM260),"")</f>
      </c>
      <c r="E260" s="96">
        <f>IF(H260=1,COUNT(R260:EY260,FE260:FM260),"")</f>
      </c>
      <c r="F260" s="96">
        <f>IF(H260=1,COUNT(T260:BJ260,BL260:BT260,BV260:CB260,CD260:EY260,FE260:FM260),"")</f>
      </c>
      <c r="G260" s="96">
        <f>IF($B260&gt;=1,$M260,"")</f>
      </c>
      <c r="H260" s="149">
        <f>IF(AND(M260&gt;0,M260&lt;=STATS!$C$22),1,"")</f>
      </c>
      <c r="J260" s="34">
        <v>259</v>
      </c>
      <c r="K260" s="165">
        <v>46.12187</v>
      </c>
      <c r="L260" s="165">
        <v>-91.21442</v>
      </c>
      <c r="M260" s="10">
        <v>25.5</v>
      </c>
      <c r="R260" s="17"/>
      <c r="S260" s="17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EZ260" s="146"/>
      <c r="FA260" s="146"/>
      <c r="FB260" s="146"/>
      <c r="FC260" s="146"/>
      <c r="FD260" s="146"/>
    </row>
    <row r="261" spans="2:160" ht="12.75">
      <c r="B261" s="96">
        <f>COUNT(R261:EY261,FE261:FM261)</f>
        <v>0</v>
      </c>
      <c r="C261" s="96">
        <f>IF(COUNT(R261:EY261,FE261:FM261)&gt;0,COUNT(R261:EY261,FE261:FM261),"")</f>
      </c>
      <c r="D261" s="96">
        <f>IF(COUNT(T261:BJ261,BL261:BT261,BV261:CB261,CD261:EY261,FE261:FM261)&gt;0,COUNT(T261:BJ261,BL261:BT261,BV261:CB261,CD261:EY261,FE261:FM261),"")</f>
      </c>
      <c r="E261" s="96">
        <f>IF(H261=1,COUNT(R261:EY261,FE261:FM261),"")</f>
      </c>
      <c r="F261" s="96">
        <f>IF(H261=1,COUNT(T261:BJ261,BL261:BT261,BV261:CB261,CD261:EY261,FE261:FM261),"")</f>
      </c>
      <c r="G261" s="96">
        <f>IF($B261&gt;=1,$M261,"")</f>
      </c>
      <c r="H261" s="149">
        <f>IF(AND(M261&gt;0,M261&lt;=STATS!$C$22),1,"")</f>
      </c>
      <c r="J261" s="34">
        <v>260</v>
      </c>
      <c r="K261" s="165">
        <v>46.12188</v>
      </c>
      <c r="L261" s="165">
        <v>-91.21396</v>
      </c>
      <c r="M261" s="10">
        <v>25.5</v>
      </c>
      <c r="R261" s="17"/>
      <c r="S261" s="17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EZ261" s="146"/>
      <c r="FA261" s="146"/>
      <c r="FB261" s="146"/>
      <c r="FC261" s="146"/>
      <c r="FD261" s="146"/>
    </row>
    <row r="262" spans="2:160" ht="12.75">
      <c r="B262" s="96">
        <f>COUNT(R262:EY262,FE262:FM262)</f>
        <v>0</v>
      </c>
      <c r="C262" s="96">
        <f>IF(COUNT(R262:EY262,FE262:FM262)&gt;0,COUNT(R262:EY262,FE262:FM262),"")</f>
      </c>
      <c r="D262" s="96">
        <f>IF(COUNT(T262:BJ262,BL262:BT262,BV262:CB262,CD262:EY262,FE262:FM262)&gt;0,COUNT(T262:BJ262,BL262:BT262,BV262:CB262,CD262:EY262,FE262:FM262),"")</f>
      </c>
      <c r="E262" s="96">
        <f>IF(H262=1,COUNT(R262:EY262,FE262:FM262),"")</f>
      </c>
      <c r="F262" s="96">
        <f>IF(H262=1,COUNT(T262:BJ262,BL262:BT262,BV262:CB262,CD262:EY262,FE262:FM262),"")</f>
      </c>
      <c r="G262" s="96">
        <f>IF($B262&gt;=1,$M262,"")</f>
      </c>
      <c r="H262" s="149">
        <f>IF(AND(M262&gt;0,M262&lt;=STATS!$C$22),1,"")</f>
      </c>
      <c r="J262" s="34">
        <v>261</v>
      </c>
      <c r="K262" s="165">
        <v>46.12188</v>
      </c>
      <c r="L262" s="165">
        <v>-91.21349</v>
      </c>
      <c r="M262" s="10">
        <v>22.5</v>
      </c>
      <c r="R262" s="17"/>
      <c r="S262" s="17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EZ262" s="146"/>
      <c r="FA262" s="146"/>
      <c r="FB262" s="146"/>
      <c r="FC262" s="146"/>
      <c r="FD262" s="146"/>
    </row>
    <row r="263" spans="2:160" ht="12.75">
      <c r="B263" s="96">
        <f>COUNT(R263:EY263,FE263:FM263)</f>
        <v>0</v>
      </c>
      <c r="C263" s="96">
        <f>IF(COUNT(R263:EY263,FE263:FM263)&gt;0,COUNT(R263:EY263,FE263:FM263),"")</f>
      </c>
      <c r="D263" s="96">
        <f>IF(COUNT(T263:BJ263,BL263:BT263,BV263:CB263,CD263:EY263,FE263:FM263)&gt;0,COUNT(T263:BJ263,BL263:BT263,BV263:CB263,CD263:EY263,FE263:FM263),"")</f>
      </c>
      <c r="E263" s="96">
        <f>IF(H263=1,COUNT(R263:EY263,FE263:FM263),"")</f>
      </c>
      <c r="F263" s="96">
        <f>IF(H263=1,COUNT(T263:BJ263,BL263:BT263,BV263:CB263,CD263:EY263,FE263:FM263),"")</f>
      </c>
      <c r="G263" s="96">
        <f>IF($B263&gt;=1,$M263,"")</f>
      </c>
      <c r="H263" s="149">
        <f>IF(AND(M263&gt;0,M263&lt;=STATS!$C$22),1,"")</f>
      </c>
      <c r="J263" s="34">
        <v>262</v>
      </c>
      <c r="K263" s="165">
        <v>46.12189</v>
      </c>
      <c r="L263" s="165">
        <v>-91.21302</v>
      </c>
      <c r="M263" s="10">
        <v>19</v>
      </c>
      <c r="R263" s="17"/>
      <c r="S263" s="17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EZ263" s="146"/>
      <c r="FA263" s="146"/>
      <c r="FB263" s="146"/>
      <c r="FC263" s="146"/>
      <c r="FD263" s="146"/>
    </row>
    <row r="264" spans="2:160" ht="12.75">
      <c r="B264" s="96">
        <f>COUNT(R264:EY264,FE264:FM264)</f>
        <v>0</v>
      </c>
      <c r="C264" s="96">
        <f>IF(COUNT(R264:EY264,FE264:FM264)&gt;0,COUNT(R264:EY264,FE264:FM264),"")</f>
      </c>
      <c r="D264" s="96">
        <f>IF(COUNT(T264:BJ264,BL264:BT264,BV264:CB264,CD264:EY264,FE264:FM264)&gt;0,COUNT(T264:BJ264,BL264:BT264,BV264:CB264,CD264:EY264,FE264:FM264),"")</f>
      </c>
      <c r="E264" s="96">
        <f>IF(H264=1,COUNT(R264:EY264,FE264:FM264),"")</f>
      </c>
      <c r="F264" s="96">
        <f>IF(H264=1,COUNT(T264:BJ264,BL264:BT264,BV264:CB264,CD264:EY264,FE264:FM264),"")</f>
      </c>
      <c r="G264" s="96">
        <f>IF($B264&gt;=1,$M264,"")</f>
      </c>
      <c r="H264" s="149">
        <f>IF(AND(M264&gt;0,M264&lt;=STATS!$C$22),1,"")</f>
      </c>
      <c r="J264" s="34">
        <v>263</v>
      </c>
      <c r="K264" s="165">
        <v>46.12189</v>
      </c>
      <c r="L264" s="165">
        <v>-91.21256</v>
      </c>
      <c r="M264" s="10">
        <v>21.5</v>
      </c>
      <c r="R264" s="17"/>
      <c r="S264" s="17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EZ264" s="146"/>
      <c r="FA264" s="146"/>
      <c r="FB264" s="146"/>
      <c r="FC264" s="146"/>
      <c r="FD264" s="146"/>
    </row>
    <row r="265" spans="2:160" ht="12.75">
      <c r="B265" s="96">
        <f>COUNT(R265:EY265,FE265:FM265)</f>
        <v>0</v>
      </c>
      <c r="C265" s="96">
        <f>IF(COUNT(R265:EY265,FE265:FM265)&gt;0,COUNT(R265:EY265,FE265:FM265),"")</f>
      </c>
      <c r="D265" s="96">
        <f>IF(COUNT(T265:BJ265,BL265:BT265,BV265:CB265,CD265:EY265,FE265:FM265)&gt;0,COUNT(T265:BJ265,BL265:BT265,BV265:CB265,CD265:EY265,FE265:FM265),"")</f>
      </c>
      <c r="E265" s="96">
        <f>IF(H265=1,COUNT(R265:EY265,FE265:FM265),"")</f>
      </c>
      <c r="F265" s="96">
        <f>IF(H265=1,COUNT(T265:BJ265,BL265:BT265,BV265:CB265,CD265:EY265,FE265:FM265),"")</f>
      </c>
      <c r="G265" s="96">
        <f>IF($B265&gt;=1,$M265,"")</f>
      </c>
      <c r="H265" s="149">
        <f>IF(AND(M265&gt;0,M265&lt;=STATS!$C$22),1,"")</f>
      </c>
      <c r="J265" s="34">
        <v>264</v>
      </c>
      <c r="K265" s="165">
        <v>46.1219</v>
      </c>
      <c r="L265" s="165">
        <v>-91.21209</v>
      </c>
      <c r="M265" s="10">
        <v>21.5</v>
      </c>
      <c r="R265" s="17"/>
      <c r="S265" s="17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EZ265" s="146"/>
      <c r="FA265" s="146"/>
      <c r="FB265" s="146"/>
      <c r="FC265" s="146"/>
      <c r="FD265" s="146"/>
    </row>
    <row r="266" spans="2:160" ht="12.75">
      <c r="B266" s="96">
        <f>COUNT(R266:EY266,FE266:FM266)</f>
        <v>0</v>
      </c>
      <c r="C266" s="96">
        <f>IF(COUNT(R266:EY266,FE266:FM266)&gt;0,COUNT(R266:EY266,FE266:FM266),"")</f>
      </c>
      <c r="D266" s="96">
        <f>IF(COUNT(T266:BJ266,BL266:BT266,BV266:CB266,CD266:EY266,FE266:FM266)&gt;0,COUNT(T266:BJ266,BL266:BT266,BV266:CB266,CD266:EY266,FE266:FM266),"")</f>
      </c>
      <c r="E266" s="96">
        <f>IF(H266=1,COUNT(R266:EY266,FE266:FM266),"")</f>
      </c>
      <c r="F266" s="96">
        <f>IF(H266=1,COUNT(T266:BJ266,BL266:BT266,BV266:CB266,CD266:EY266,FE266:FM266),"")</f>
      </c>
      <c r="G266" s="96">
        <f>IF($B266&gt;=1,$M266,"")</f>
      </c>
      <c r="H266" s="149">
        <f>IF(AND(M266&gt;0,M266&lt;=STATS!$C$22),1,"")</f>
      </c>
      <c r="J266" s="34">
        <v>265</v>
      </c>
      <c r="K266" s="165">
        <v>46.1219</v>
      </c>
      <c r="L266" s="165">
        <v>-91.21163</v>
      </c>
      <c r="M266" s="10">
        <v>23</v>
      </c>
      <c r="R266" s="17"/>
      <c r="S266" s="17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EZ266" s="146"/>
      <c r="FA266" s="146"/>
      <c r="FB266" s="146"/>
      <c r="FC266" s="146"/>
      <c r="FD266" s="146"/>
    </row>
    <row r="267" spans="2:160" ht="12.75">
      <c r="B267" s="96">
        <f>COUNT(R267:EY267,FE267:FM267)</f>
        <v>0</v>
      </c>
      <c r="C267" s="96">
        <f>IF(COUNT(R267:EY267,FE267:FM267)&gt;0,COUNT(R267:EY267,FE267:FM267),"")</f>
      </c>
      <c r="D267" s="96">
        <f>IF(COUNT(T267:BJ267,BL267:BT267,BV267:CB267,CD267:EY267,FE267:FM267)&gt;0,COUNT(T267:BJ267,BL267:BT267,BV267:CB267,CD267:EY267,FE267:FM267),"")</f>
      </c>
      <c r="E267" s="96">
        <f>IF(H267=1,COUNT(R267:EY267,FE267:FM267),"")</f>
      </c>
      <c r="F267" s="96">
        <f>IF(H267=1,COUNT(T267:BJ267,BL267:BT267,BV267:CB267,CD267:EY267,FE267:FM267),"")</f>
      </c>
      <c r="G267" s="96">
        <f>IF($B267&gt;=1,$M267,"")</f>
      </c>
      <c r="H267" s="149">
        <f>IF(AND(M267&gt;0,M267&lt;=STATS!$C$22),1,"")</f>
      </c>
      <c r="J267" s="34">
        <v>266</v>
      </c>
      <c r="K267" s="165">
        <v>46.12191</v>
      </c>
      <c r="L267" s="165">
        <v>-91.21116</v>
      </c>
      <c r="M267" s="10">
        <v>18</v>
      </c>
      <c r="R267" s="17"/>
      <c r="S267" s="17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EZ267" s="146"/>
      <c r="FA267" s="146"/>
      <c r="FB267" s="146"/>
      <c r="FC267" s="146"/>
      <c r="FD267" s="146"/>
    </row>
    <row r="268" spans="2:160" ht="12.75">
      <c r="B268" s="96">
        <f>COUNT(R268:EY268,FE268:FM268)</f>
        <v>0</v>
      </c>
      <c r="C268" s="96">
        <f>IF(COUNT(R268:EY268,FE268:FM268)&gt;0,COUNT(R268:EY268,FE268:FM268),"")</f>
      </c>
      <c r="D268" s="96">
        <f>IF(COUNT(T268:BJ268,BL268:BT268,BV268:CB268,CD268:EY268,FE268:FM268)&gt;0,COUNT(T268:BJ268,BL268:BT268,BV268:CB268,CD268:EY268,FE268:FM268),"")</f>
      </c>
      <c r="E268" s="96">
        <f>IF(H268=1,COUNT(R268:EY268,FE268:FM268),"")</f>
      </c>
      <c r="F268" s="96">
        <f>IF(H268=1,COUNT(T268:BJ268,BL268:BT268,BV268:CB268,CD268:EY268,FE268:FM268),"")</f>
      </c>
      <c r="G268" s="96">
        <f>IF($B268&gt;=1,$M268,"")</f>
      </c>
      <c r="H268" s="149">
        <f>IF(AND(M268&gt;0,M268&lt;=STATS!$C$22),1,"")</f>
      </c>
      <c r="J268" s="34">
        <v>267</v>
      </c>
      <c r="K268" s="165">
        <v>46.12191</v>
      </c>
      <c r="L268" s="165">
        <v>-91.2107</v>
      </c>
      <c r="M268" s="10">
        <v>17.5</v>
      </c>
      <c r="R268" s="17"/>
      <c r="S268" s="17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EZ268" s="146"/>
      <c r="FA268" s="146"/>
      <c r="FB268" s="146"/>
      <c r="FC268" s="146"/>
      <c r="FD268" s="146"/>
    </row>
    <row r="269" spans="2:160" ht="12.75">
      <c r="B269" s="96">
        <f>COUNT(R269:EY269,FE269:FM269)</f>
        <v>0</v>
      </c>
      <c r="C269" s="96">
        <f>IF(COUNT(R269:EY269,FE269:FM269)&gt;0,COUNT(R269:EY269,FE269:FM269),"")</f>
      </c>
      <c r="D269" s="96">
        <f>IF(COUNT(T269:BJ269,BL269:BT269,BV269:CB269,CD269:EY269,FE269:FM269)&gt;0,COUNT(T269:BJ269,BL269:BT269,BV269:CB269,CD269:EY269,FE269:FM269),"")</f>
      </c>
      <c r="E269" s="96">
        <f>IF(H269=1,COUNT(R269:EY269,FE269:FM269),"")</f>
      </c>
      <c r="F269" s="96">
        <f>IF(H269=1,COUNT(T269:BJ269,BL269:BT269,BV269:CB269,CD269:EY269,FE269:FM269),"")</f>
      </c>
      <c r="G269" s="96">
        <f>IF($B269&gt;=1,$M269,"")</f>
      </c>
      <c r="H269" s="149">
        <f>IF(AND(M269&gt;0,M269&lt;=STATS!$C$22),1,"")</f>
      </c>
      <c r="J269" s="34">
        <v>268</v>
      </c>
      <c r="K269" s="165">
        <v>46.12192</v>
      </c>
      <c r="L269" s="165">
        <v>-91.21023</v>
      </c>
      <c r="M269" s="10">
        <v>16.5</v>
      </c>
      <c r="R269" s="17"/>
      <c r="S269" s="17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EZ269" s="146"/>
      <c r="FA269" s="146"/>
      <c r="FB269" s="146"/>
      <c r="FC269" s="146"/>
      <c r="FD269" s="146"/>
    </row>
    <row r="270" spans="2:160" ht="12.75">
      <c r="B270" s="96">
        <f>COUNT(R270:EY270,FE270:FM270)</f>
        <v>0</v>
      </c>
      <c r="C270" s="96">
        <f>IF(COUNT(R270:EY270,FE270:FM270)&gt;0,COUNT(R270:EY270,FE270:FM270),"")</f>
      </c>
      <c r="D270" s="96">
        <f>IF(COUNT(T270:BJ270,BL270:BT270,BV270:CB270,CD270:EY270,FE270:FM270)&gt;0,COUNT(T270:BJ270,BL270:BT270,BV270:CB270,CD270:EY270,FE270:FM270),"")</f>
      </c>
      <c r="E270" s="96">
        <f>IF(H270=1,COUNT(R270:EY270,FE270:FM270),"")</f>
        <v>0</v>
      </c>
      <c r="F270" s="96">
        <f>IF(H270=1,COUNT(T270:BJ270,BL270:BT270,BV270:CB270,CD270:EY270,FE270:FM270),"")</f>
        <v>0</v>
      </c>
      <c r="G270" s="96">
        <f>IF($B270&gt;=1,$M270,"")</f>
      </c>
      <c r="H270" s="149">
        <f>IF(AND(M270&gt;0,M270&lt;=STATS!$C$22),1,"")</f>
        <v>1</v>
      </c>
      <c r="J270" s="34">
        <v>269</v>
      </c>
      <c r="K270" s="165">
        <v>46.12192</v>
      </c>
      <c r="L270" s="165">
        <v>-91.20976</v>
      </c>
      <c r="M270" s="10">
        <v>14</v>
      </c>
      <c r="N270" s="10" t="s">
        <v>563</v>
      </c>
      <c r="O270" s="190" t="s">
        <v>648</v>
      </c>
      <c r="R270" s="17"/>
      <c r="S270" s="17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EZ270" s="146"/>
      <c r="FA270" s="146"/>
      <c r="FB270" s="146"/>
      <c r="FC270" s="146"/>
      <c r="FD270" s="146"/>
    </row>
    <row r="271" spans="2:160" ht="12.75">
      <c r="B271" s="96">
        <f>COUNT(R271:EY271,FE271:FM271)</f>
        <v>6</v>
      </c>
      <c r="C271" s="96">
        <f>IF(COUNT(R271:EY271,FE271:FM271)&gt;0,COUNT(R271:EY271,FE271:FM271),"")</f>
        <v>6</v>
      </c>
      <c r="D271" s="96">
        <f>IF(COUNT(T271:BJ271,BL271:BT271,BV271:CB271,CD271:EY271,FE271:FM271)&gt;0,COUNT(T271:BJ271,BL271:BT271,BV271:CB271,CD271:EY271,FE271:FM271),"")</f>
        <v>6</v>
      </c>
      <c r="E271" s="96">
        <f>IF(H271=1,COUNT(R271:EY271,FE271:FM271),"")</f>
        <v>6</v>
      </c>
      <c r="F271" s="96">
        <f>IF(H271=1,COUNT(T271:BJ271,BL271:BT271,BV271:CB271,CD271:EY271,FE271:FM271),"")</f>
        <v>6</v>
      </c>
      <c r="G271" s="96">
        <f>IF($B271&gt;=1,$M271,"")</f>
        <v>4</v>
      </c>
      <c r="H271" s="149">
        <f>IF(AND(M271&gt;0,M271&lt;=STATS!$C$22),1,"")</f>
        <v>1</v>
      </c>
      <c r="J271" s="34">
        <v>270</v>
      </c>
      <c r="K271" s="165">
        <v>46.12193</v>
      </c>
      <c r="L271" s="165">
        <v>-91.2093</v>
      </c>
      <c r="M271" s="10">
        <v>4</v>
      </c>
      <c r="N271" s="10" t="s">
        <v>563</v>
      </c>
      <c r="O271" s="190" t="s">
        <v>648</v>
      </c>
      <c r="Q271" s="10">
        <v>2</v>
      </c>
      <c r="R271" s="17"/>
      <c r="S271" s="17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 t="s">
        <v>566</v>
      </c>
      <c r="AF271" s="36"/>
      <c r="AG271" s="36"/>
      <c r="AH271" s="36"/>
      <c r="BR271" s="10">
        <v>1</v>
      </c>
      <c r="CA271" s="10" t="s">
        <v>566</v>
      </c>
      <c r="CB271" s="10">
        <v>2</v>
      </c>
      <c r="CN271" s="10">
        <v>1</v>
      </c>
      <c r="CY271" s="10">
        <v>1</v>
      </c>
      <c r="DA271" s="10">
        <v>1</v>
      </c>
      <c r="DE271" s="10">
        <v>1</v>
      </c>
      <c r="EZ271" s="146"/>
      <c r="FA271" s="146"/>
      <c r="FB271" s="146"/>
      <c r="FC271" s="146"/>
      <c r="FD271" s="146"/>
    </row>
    <row r="272" spans="2:160" ht="12.75">
      <c r="B272" s="96">
        <f>COUNT(R272:EY272,FE272:FM272)</f>
        <v>6</v>
      </c>
      <c r="C272" s="96">
        <f>IF(COUNT(R272:EY272,FE272:FM272)&gt;0,COUNT(R272:EY272,FE272:FM272),"")</f>
        <v>6</v>
      </c>
      <c r="D272" s="96">
        <f>IF(COUNT(T272:BJ272,BL272:BT272,BV272:CB272,CD272:EY272,FE272:FM272)&gt;0,COUNT(T272:BJ272,BL272:BT272,BV272:CB272,CD272:EY272,FE272:FM272),"")</f>
        <v>6</v>
      </c>
      <c r="E272" s="96">
        <f>IF(H272=1,COUNT(R272:EY272,FE272:FM272),"")</f>
        <v>6</v>
      </c>
      <c r="F272" s="96">
        <f>IF(H272=1,COUNT(T272:BJ272,BL272:BT272,BV272:CB272,CD272:EY272,FE272:FM272),"")</f>
        <v>6</v>
      </c>
      <c r="G272" s="96">
        <f>IF($B272&gt;=1,$M272,"")</f>
        <v>3.5</v>
      </c>
      <c r="H272" s="149">
        <f>IF(AND(M272&gt;0,M272&lt;=STATS!$C$22),1,"")</f>
        <v>1</v>
      </c>
      <c r="J272" s="34">
        <v>271</v>
      </c>
      <c r="K272" s="165">
        <v>46.12213</v>
      </c>
      <c r="L272" s="165">
        <v>-91.22048</v>
      </c>
      <c r="M272" s="10">
        <v>3.5</v>
      </c>
      <c r="N272" s="10" t="s">
        <v>563</v>
      </c>
      <c r="O272" s="190" t="s">
        <v>648</v>
      </c>
      <c r="Q272" s="10">
        <v>2</v>
      </c>
      <c r="R272" s="17"/>
      <c r="S272" s="17"/>
      <c r="T272" s="36"/>
      <c r="U272" s="36"/>
      <c r="V272" s="36" t="s">
        <v>566</v>
      </c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BR272" s="10">
        <v>2</v>
      </c>
      <c r="CB272" s="10" t="s">
        <v>566</v>
      </c>
      <c r="CG272" s="10" t="s">
        <v>566</v>
      </c>
      <c r="CI272" s="10">
        <v>1</v>
      </c>
      <c r="CN272" s="10">
        <v>1</v>
      </c>
      <c r="CW272" s="10" t="s">
        <v>566</v>
      </c>
      <c r="CY272" s="10">
        <v>1</v>
      </c>
      <c r="DE272" s="10">
        <v>1</v>
      </c>
      <c r="ER272" s="10">
        <v>1</v>
      </c>
      <c r="EZ272" s="146"/>
      <c r="FA272" s="146"/>
      <c r="FB272" s="146"/>
      <c r="FC272" s="146"/>
      <c r="FD272" s="146"/>
    </row>
    <row r="273" spans="2:160" ht="12.75">
      <c r="B273" s="96">
        <f>COUNT(R273:EY273,FE273:FM273)</f>
        <v>6</v>
      </c>
      <c r="C273" s="96">
        <f>IF(COUNT(R273:EY273,FE273:FM273)&gt;0,COUNT(R273:EY273,FE273:FM273),"")</f>
        <v>6</v>
      </c>
      <c r="D273" s="96">
        <f>IF(COUNT(T273:BJ273,BL273:BT273,BV273:CB273,CD273:EY273,FE273:FM273)&gt;0,COUNT(T273:BJ273,BL273:BT273,BV273:CB273,CD273:EY273,FE273:FM273),"")</f>
        <v>6</v>
      </c>
      <c r="E273" s="96">
        <f>IF(H273=1,COUNT(R273:EY273,FE273:FM273),"")</f>
        <v>6</v>
      </c>
      <c r="F273" s="96">
        <f>IF(H273=1,COUNT(T273:BJ273,BL273:BT273,BV273:CB273,CD273:EY273,FE273:FM273),"")</f>
        <v>6</v>
      </c>
      <c r="G273" s="96">
        <f>IF($B273&gt;=1,$M273,"")</f>
        <v>4</v>
      </c>
      <c r="H273" s="149">
        <f>IF(AND(M273&gt;0,M273&lt;=STATS!$C$22),1,"")</f>
        <v>1</v>
      </c>
      <c r="J273" s="34">
        <v>272</v>
      </c>
      <c r="K273" s="165">
        <v>46.12214</v>
      </c>
      <c r="L273" s="165">
        <v>-91.22002</v>
      </c>
      <c r="M273" s="10">
        <v>4</v>
      </c>
      <c r="N273" s="10" t="s">
        <v>563</v>
      </c>
      <c r="O273" s="190" t="s">
        <v>648</v>
      </c>
      <c r="Q273" s="10">
        <v>3</v>
      </c>
      <c r="R273" s="17"/>
      <c r="S273" s="17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>
        <v>1</v>
      </c>
      <c r="AF273" s="36"/>
      <c r="AG273" s="36"/>
      <c r="AH273" s="36"/>
      <c r="AW273" s="10">
        <v>1</v>
      </c>
      <c r="BO273" s="10">
        <v>1</v>
      </c>
      <c r="CA273" s="10">
        <v>3</v>
      </c>
      <c r="CS273" s="10">
        <v>1</v>
      </c>
      <c r="DE273" s="10">
        <v>1</v>
      </c>
      <c r="EZ273" s="146"/>
      <c r="FA273" s="146"/>
      <c r="FB273" s="146"/>
      <c r="FC273" s="146"/>
      <c r="FD273" s="146"/>
    </row>
    <row r="274" spans="2:160" ht="12.75">
      <c r="B274" s="96">
        <f>COUNT(R274:EY274,FE274:FM274)</f>
        <v>0</v>
      </c>
      <c r="C274" s="96">
        <f>IF(COUNT(R274:EY274,FE274:FM274)&gt;0,COUNT(R274:EY274,FE274:FM274),"")</f>
      </c>
      <c r="D274" s="96">
        <f>IF(COUNT(T274:BJ274,BL274:BT274,BV274:CB274,CD274:EY274,FE274:FM274)&gt;0,COUNT(T274:BJ274,BL274:BT274,BV274:CB274,CD274:EY274,FE274:FM274),"")</f>
      </c>
      <c r="E274" s="96">
        <f>IF(H274=1,COUNT(R274:EY274,FE274:FM274),"")</f>
        <v>0</v>
      </c>
      <c r="F274" s="96">
        <f>IF(H274=1,COUNT(T274:BJ274,BL274:BT274,BV274:CB274,CD274:EY274,FE274:FM274),"")</f>
        <v>0</v>
      </c>
      <c r="G274" s="96">
        <f>IF($B274&gt;=1,$M274,"")</f>
      </c>
      <c r="H274" s="149">
        <f>IF(AND(M274&gt;0,M274&lt;=STATS!$C$22),1,"")</f>
        <v>1</v>
      </c>
      <c r="J274" s="34">
        <v>273</v>
      </c>
      <c r="K274" s="165">
        <v>46.12214</v>
      </c>
      <c r="L274" s="165">
        <v>-91.21955</v>
      </c>
      <c r="M274" s="10">
        <v>13</v>
      </c>
      <c r="N274" s="10" t="s">
        <v>563</v>
      </c>
      <c r="O274" s="190" t="s">
        <v>648</v>
      </c>
      <c r="R274" s="17"/>
      <c r="S274" s="17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EZ274" s="146"/>
      <c r="FA274" s="146"/>
      <c r="FB274" s="146"/>
      <c r="FC274" s="146"/>
      <c r="FD274" s="146"/>
    </row>
    <row r="275" spans="2:160" ht="12.75">
      <c r="B275" s="96">
        <f>COUNT(R275:EY275,FE275:FM275)</f>
        <v>0</v>
      </c>
      <c r="C275" s="96">
        <f>IF(COUNT(R275:EY275,FE275:FM275)&gt;0,COUNT(R275:EY275,FE275:FM275),"")</f>
      </c>
      <c r="D275" s="96">
        <f>IF(COUNT(T275:BJ275,BL275:BT275,BV275:CB275,CD275:EY275,FE275:FM275)&gt;0,COUNT(T275:BJ275,BL275:BT275,BV275:CB275,CD275:EY275,FE275:FM275),"")</f>
      </c>
      <c r="E275" s="96">
        <f>IF(H275=1,COUNT(R275:EY275,FE275:FM275),"")</f>
      </c>
      <c r="F275" s="96">
        <f>IF(H275=1,COUNT(T275:BJ275,BL275:BT275,BV275:CB275,CD275:EY275,FE275:FM275),"")</f>
      </c>
      <c r="G275" s="96">
        <f>IF($B275&gt;=1,$M275,"")</f>
      </c>
      <c r="H275" s="149">
        <f>IF(AND(M275&gt;0,M275&lt;=STATS!$C$22),1,"")</f>
      </c>
      <c r="J275" s="34">
        <v>274</v>
      </c>
      <c r="K275" s="165">
        <v>46.12215</v>
      </c>
      <c r="L275" s="165">
        <v>-91.21909</v>
      </c>
      <c r="M275" s="10">
        <v>17</v>
      </c>
      <c r="R275" s="17"/>
      <c r="S275" s="17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EZ275" s="146"/>
      <c r="FA275" s="146"/>
      <c r="FB275" s="146"/>
      <c r="FC275" s="146"/>
      <c r="FD275" s="146"/>
    </row>
    <row r="276" spans="2:160" ht="12.75">
      <c r="B276" s="96">
        <f>COUNT(R276:EY276,FE276:FM276)</f>
        <v>0</v>
      </c>
      <c r="C276" s="96">
        <f>IF(COUNT(R276:EY276,FE276:FM276)&gt;0,COUNT(R276:EY276,FE276:FM276),"")</f>
      </c>
      <c r="D276" s="96">
        <f>IF(COUNT(T276:BJ276,BL276:BT276,BV276:CB276,CD276:EY276,FE276:FM276)&gt;0,COUNT(T276:BJ276,BL276:BT276,BV276:CB276,CD276:EY276,FE276:FM276),"")</f>
      </c>
      <c r="E276" s="96">
        <f>IF(H276=1,COUNT(R276:EY276,FE276:FM276),"")</f>
        <v>0</v>
      </c>
      <c r="F276" s="96">
        <f>IF(H276=1,COUNT(T276:BJ276,BL276:BT276,BV276:CB276,CD276:EY276,FE276:FM276),"")</f>
        <v>0</v>
      </c>
      <c r="G276" s="96">
        <f>IF($B276&gt;=1,$M276,"")</f>
      </c>
      <c r="H276" s="149">
        <f>IF(AND(M276&gt;0,M276&lt;=STATS!$C$22),1,"")</f>
        <v>1</v>
      </c>
      <c r="J276" s="34">
        <v>275</v>
      </c>
      <c r="K276" s="165">
        <v>46.12215</v>
      </c>
      <c r="L276" s="165">
        <v>-91.21862</v>
      </c>
      <c r="M276" s="10">
        <v>13.5</v>
      </c>
      <c r="N276" s="10" t="s">
        <v>563</v>
      </c>
      <c r="O276" s="190" t="s">
        <v>648</v>
      </c>
      <c r="R276" s="17"/>
      <c r="S276" s="17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EZ276" s="146"/>
      <c r="FA276" s="146"/>
      <c r="FB276" s="146"/>
      <c r="FC276" s="146"/>
      <c r="FD276" s="146"/>
    </row>
    <row r="277" spans="2:160" ht="12.75">
      <c r="B277" s="96">
        <f>COUNT(R277:EY277,FE277:FM277)</f>
        <v>0</v>
      </c>
      <c r="C277" s="96">
        <f>IF(COUNT(R277:EY277,FE277:FM277)&gt;0,COUNT(R277:EY277,FE277:FM277),"")</f>
      </c>
      <c r="D277" s="96">
        <f>IF(COUNT(T277:BJ277,BL277:BT277,BV277:CB277,CD277:EY277,FE277:FM277)&gt;0,COUNT(T277:BJ277,BL277:BT277,BV277:CB277,CD277:EY277,FE277:FM277),"")</f>
      </c>
      <c r="E277" s="96">
        <f>IF(H277=1,COUNT(R277:EY277,FE277:FM277),"")</f>
        <v>0</v>
      </c>
      <c r="F277" s="96">
        <f>IF(H277=1,COUNT(T277:BJ277,BL277:BT277,BV277:CB277,CD277:EY277,FE277:FM277),"")</f>
        <v>0</v>
      </c>
      <c r="G277" s="96">
        <f>IF($B277&gt;=1,$M277,"")</f>
      </c>
      <c r="H277" s="149">
        <f>IF(AND(M277&gt;0,M277&lt;=STATS!$C$22),1,"")</f>
        <v>1</v>
      </c>
      <c r="J277" s="34">
        <v>276</v>
      </c>
      <c r="K277" s="165">
        <v>46.12216</v>
      </c>
      <c r="L277" s="165">
        <v>-91.21816</v>
      </c>
      <c r="M277" s="10">
        <v>13</v>
      </c>
      <c r="N277" s="10" t="s">
        <v>563</v>
      </c>
      <c r="O277" s="190" t="s">
        <v>648</v>
      </c>
      <c r="R277" s="17"/>
      <c r="S277" s="17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EZ277" s="146"/>
      <c r="FA277" s="146"/>
      <c r="FB277" s="146"/>
      <c r="FC277" s="146"/>
      <c r="FD277" s="146"/>
    </row>
    <row r="278" spans="2:160" ht="12.75">
      <c r="B278" s="96">
        <f>COUNT(R278:EY278,FE278:FM278)</f>
        <v>0</v>
      </c>
      <c r="C278" s="96">
        <f>IF(COUNT(R278:EY278,FE278:FM278)&gt;0,COUNT(R278:EY278,FE278:FM278),"")</f>
      </c>
      <c r="D278" s="96">
        <f>IF(COUNT(T278:BJ278,BL278:BT278,BV278:CB278,CD278:EY278,FE278:FM278)&gt;0,COUNT(T278:BJ278,BL278:BT278,BV278:CB278,CD278:EY278,FE278:FM278),"")</f>
      </c>
      <c r="E278" s="96">
        <f>IF(H278=1,COUNT(R278:EY278,FE278:FM278),"")</f>
      </c>
      <c r="F278" s="96">
        <f>IF(H278=1,COUNT(T278:BJ278,BL278:BT278,BV278:CB278,CD278:EY278,FE278:FM278),"")</f>
      </c>
      <c r="G278" s="96">
        <f>IF($B278&gt;=1,$M278,"")</f>
      </c>
      <c r="H278" s="149">
        <f>IF(AND(M278&gt;0,M278&lt;=STATS!$C$22),1,"")</f>
      </c>
      <c r="J278" s="34">
        <v>277</v>
      </c>
      <c r="K278" s="165">
        <v>46.12216</v>
      </c>
      <c r="L278" s="165">
        <v>-91.21769</v>
      </c>
      <c r="M278" s="10">
        <v>15.5</v>
      </c>
      <c r="R278" s="17"/>
      <c r="S278" s="17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EZ278" s="146"/>
      <c r="FA278" s="146"/>
      <c r="FB278" s="146"/>
      <c r="FC278" s="146"/>
      <c r="FD278" s="146"/>
    </row>
    <row r="279" spans="2:160" ht="12.75">
      <c r="B279" s="96">
        <f>COUNT(R279:EY279,FE279:FM279)</f>
        <v>0</v>
      </c>
      <c r="C279" s="96">
        <f>IF(COUNT(R279:EY279,FE279:FM279)&gt;0,COUNT(R279:EY279,FE279:FM279),"")</f>
      </c>
      <c r="D279" s="96">
        <f>IF(COUNT(T279:BJ279,BL279:BT279,BV279:CB279,CD279:EY279,FE279:FM279)&gt;0,COUNT(T279:BJ279,BL279:BT279,BV279:CB279,CD279:EY279,FE279:FM279),"")</f>
      </c>
      <c r="E279" s="96">
        <f>IF(H279=1,COUNT(R279:EY279,FE279:FM279),"")</f>
      </c>
      <c r="F279" s="96">
        <f>IF(H279=1,COUNT(T279:BJ279,BL279:BT279,BV279:CB279,CD279:EY279,FE279:FM279),"")</f>
      </c>
      <c r="G279" s="96">
        <f>IF($B279&gt;=1,$M279,"")</f>
      </c>
      <c r="H279" s="149">
        <f>IF(AND(M279&gt;0,M279&lt;=STATS!$C$22),1,"")</f>
      </c>
      <c r="J279" s="34">
        <v>278</v>
      </c>
      <c r="K279" s="165">
        <v>46.12217</v>
      </c>
      <c r="L279" s="165">
        <v>-91.21722</v>
      </c>
      <c r="M279" s="10">
        <v>16.5</v>
      </c>
      <c r="R279" s="17"/>
      <c r="S279" s="17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EZ279" s="146"/>
      <c r="FA279" s="146"/>
      <c r="FB279" s="146"/>
      <c r="FC279" s="146"/>
      <c r="FD279" s="146"/>
    </row>
    <row r="280" spans="2:160" ht="12.75">
      <c r="B280" s="96">
        <f>COUNT(R280:EY280,FE280:FM280)</f>
        <v>0</v>
      </c>
      <c r="C280" s="96">
        <f>IF(COUNT(R280:EY280,FE280:FM280)&gt;0,COUNT(R280:EY280,FE280:FM280),"")</f>
      </c>
      <c r="D280" s="96">
        <f>IF(COUNT(T280:BJ280,BL280:BT280,BV280:CB280,CD280:EY280,FE280:FM280)&gt;0,COUNT(T280:BJ280,BL280:BT280,BV280:CB280,CD280:EY280,FE280:FM280),"")</f>
      </c>
      <c r="E280" s="96">
        <f>IF(H280=1,COUNT(R280:EY280,FE280:FM280),"")</f>
      </c>
      <c r="F280" s="96">
        <f>IF(H280=1,COUNT(T280:BJ280,BL280:BT280,BV280:CB280,CD280:EY280,FE280:FM280),"")</f>
      </c>
      <c r="G280" s="96">
        <f>IF($B280&gt;=1,$M280,"")</f>
      </c>
      <c r="H280" s="149">
        <f>IF(AND(M280&gt;0,M280&lt;=STATS!$C$22),1,"")</f>
      </c>
      <c r="J280" s="34">
        <v>279</v>
      </c>
      <c r="K280" s="165">
        <v>46.12217</v>
      </c>
      <c r="L280" s="165">
        <v>-91.21676</v>
      </c>
      <c r="M280" s="10">
        <v>18</v>
      </c>
      <c r="R280" s="17"/>
      <c r="S280" s="17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EZ280" s="146"/>
      <c r="FA280" s="146"/>
      <c r="FB280" s="146"/>
      <c r="FC280" s="146"/>
      <c r="FD280" s="146"/>
    </row>
    <row r="281" spans="2:160" ht="12.75">
      <c r="B281" s="96">
        <f>COUNT(R281:EY281,FE281:FM281)</f>
        <v>0</v>
      </c>
      <c r="C281" s="96">
        <f>IF(COUNT(R281:EY281,FE281:FM281)&gt;0,COUNT(R281:EY281,FE281:FM281),"")</f>
      </c>
      <c r="D281" s="96">
        <f>IF(COUNT(T281:BJ281,BL281:BT281,BV281:CB281,CD281:EY281,FE281:FM281)&gt;0,COUNT(T281:BJ281,BL281:BT281,BV281:CB281,CD281:EY281,FE281:FM281),"")</f>
      </c>
      <c r="E281" s="96">
        <f>IF(H281=1,COUNT(R281:EY281,FE281:FM281),"")</f>
      </c>
      <c r="F281" s="96">
        <f>IF(H281=1,COUNT(T281:BJ281,BL281:BT281,BV281:CB281,CD281:EY281,FE281:FM281),"")</f>
      </c>
      <c r="G281" s="96">
        <f>IF($B281&gt;=1,$M281,"")</f>
      </c>
      <c r="H281" s="149">
        <f>IF(AND(M281&gt;0,M281&lt;=STATS!$C$22),1,"")</f>
      </c>
      <c r="J281" s="34">
        <v>280</v>
      </c>
      <c r="K281" s="165">
        <v>46.12218</v>
      </c>
      <c r="L281" s="165">
        <v>-91.21629</v>
      </c>
      <c r="M281" s="10">
        <v>16.5</v>
      </c>
      <c r="R281" s="17"/>
      <c r="S281" s="17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EZ281" s="146"/>
      <c r="FA281" s="146"/>
      <c r="FB281" s="146"/>
      <c r="FC281" s="146"/>
      <c r="FD281" s="146"/>
    </row>
    <row r="282" spans="2:160" ht="12.75">
      <c r="B282" s="96">
        <f>COUNT(R282:EY282,FE282:FM282)</f>
        <v>0</v>
      </c>
      <c r="C282" s="96">
        <f>IF(COUNT(R282:EY282,FE282:FM282)&gt;0,COUNT(R282:EY282,FE282:FM282),"")</f>
      </c>
      <c r="D282" s="96">
        <f>IF(COUNT(T282:BJ282,BL282:BT282,BV282:CB282,CD282:EY282,FE282:FM282)&gt;0,COUNT(T282:BJ282,BL282:BT282,BV282:CB282,CD282:EY282,FE282:FM282),"")</f>
      </c>
      <c r="E282" s="96">
        <f>IF(H282=1,COUNT(R282:EY282,FE282:FM282),"")</f>
      </c>
      <c r="F282" s="96">
        <f>IF(H282=1,COUNT(T282:BJ282,BL282:BT282,BV282:CB282,CD282:EY282,FE282:FM282),"")</f>
      </c>
      <c r="G282" s="96">
        <f>IF($B282&gt;=1,$M282,"")</f>
      </c>
      <c r="H282" s="149">
        <f>IF(AND(M282&gt;0,M282&lt;=STATS!$C$22),1,"")</f>
      </c>
      <c r="J282" s="34">
        <v>281</v>
      </c>
      <c r="K282" s="165">
        <v>46.12218</v>
      </c>
      <c r="L282" s="165">
        <v>-91.21583</v>
      </c>
      <c r="M282" s="10">
        <v>17.5</v>
      </c>
      <c r="R282" s="17"/>
      <c r="S282" s="17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EZ282" s="146"/>
      <c r="FA282" s="146"/>
      <c r="FB282" s="146"/>
      <c r="FC282" s="146"/>
      <c r="FD282" s="146"/>
    </row>
    <row r="283" spans="2:160" ht="12.75">
      <c r="B283" s="96">
        <f>COUNT(R283:EY283,FE283:FM283)</f>
        <v>0</v>
      </c>
      <c r="C283" s="96">
        <f>IF(COUNT(R283:EY283,FE283:FM283)&gt;0,COUNT(R283:EY283,FE283:FM283),"")</f>
      </c>
      <c r="D283" s="96">
        <f>IF(COUNT(T283:BJ283,BL283:BT283,BV283:CB283,CD283:EY283,FE283:FM283)&gt;0,COUNT(T283:BJ283,BL283:BT283,BV283:CB283,CD283:EY283,FE283:FM283),"")</f>
      </c>
      <c r="E283" s="96">
        <f>IF(H283=1,COUNT(R283:EY283,FE283:FM283),"")</f>
      </c>
      <c r="F283" s="96">
        <f>IF(H283=1,COUNT(T283:BJ283,BL283:BT283,BV283:CB283,CD283:EY283,FE283:FM283),"")</f>
      </c>
      <c r="G283" s="96">
        <f>IF($B283&gt;=1,$M283,"")</f>
      </c>
      <c r="H283" s="149">
        <f>IF(AND(M283&gt;0,M283&lt;=STATS!$C$22),1,"")</f>
      </c>
      <c r="J283" s="34">
        <v>282</v>
      </c>
      <c r="K283" s="165">
        <v>46.12219</v>
      </c>
      <c r="L283" s="165">
        <v>-91.21536</v>
      </c>
      <c r="M283" s="10">
        <v>22.5</v>
      </c>
      <c r="R283" s="17"/>
      <c r="S283" s="17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EZ283" s="146"/>
      <c r="FA283" s="146"/>
      <c r="FB283" s="146"/>
      <c r="FC283" s="146"/>
      <c r="FD283" s="146"/>
    </row>
    <row r="284" spans="2:160" ht="12.75">
      <c r="B284" s="96">
        <f>COUNT(R284:EY284,FE284:FM284)</f>
        <v>0</v>
      </c>
      <c r="C284" s="96">
        <f>IF(COUNT(R284:EY284,FE284:FM284)&gt;0,COUNT(R284:EY284,FE284:FM284),"")</f>
      </c>
      <c r="D284" s="96">
        <f>IF(COUNT(T284:BJ284,BL284:BT284,BV284:CB284,CD284:EY284,FE284:FM284)&gt;0,COUNT(T284:BJ284,BL284:BT284,BV284:CB284,CD284:EY284,FE284:FM284),"")</f>
      </c>
      <c r="E284" s="96">
        <f>IF(H284=1,COUNT(R284:EY284,FE284:FM284),"")</f>
      </c>
      <c r="F284" s="96">
        <f>IF(H284=1,COUNT(T284:BJ284,BL284:BT284,BV284:CB284,CD284:EY284,FE284:FM284),"")</f>
      </c>
      <c r="G284" s="96">
        <f>IF($B284&gt;=1,$M284,"")</f>
      </c>
      <c r="H284" s="149">
        <f>IF(AND(M284&gt;0,M284&lt;=STATS!$C$22),1,"")</f>
      </c>
      <c r="J284" s="34">
        <v>283</v>
      </c>
      <c r="K284" s="165">
        <v>46.12219</v>
      </c>
      <c r="L284" s="165">
        <v>-91.2149</v>
      </c>
      <c r="M284" s="10">
        <v>26.5</v>
      </c>
      <c r="R284" s="17"/>
      <c r="S284" s="17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EZ284" s="146"/>
      <c r="FA284" s="146"/>
      <c r="FB284" s="146"/>
      <c r="FC284" s="146"/>
      <c r="FD284" s="146"/>
    </row>
    <row r="285" spans="2:160" ht="12.75">
      <c r="B285" s="96">
        <f>COUNT(R285:EY285,FE285:FM285)</f>
        <v>0</v>
      </c>
      <c r="C285" s="96">
        <f>IF(COUNT(R285:EY285,FE285:FM285)&gt;0,COUNT(R285:EY285,FE285:FM285),"")</f>
      </c>
      <c r="D285" s="96">
        <f>IF(COUNT(T285:BJ285,BL285:BT285,BV285:CB285,CD285:EY285,FE285:FM285)&gt;0,COUNT(T285:BJ285,BL285:BT285,BV285:CB285,CD285:EY285,FE285:FM285),"")</f>
      </c>
      <c r="E285" s="96">
        <f>IF(H285=1,COUNT(R285:EY285,FE285:FM285),"")</f>
      </c>
      <c r="F285" s="96">
        <f>IF(H285=1,COUNT(T285:BJ285,BL285:BT285,BV285:CB285,CD285:EY285,FE285:FM285),"")</f>
      </c>
      <c r="G285" s="96">
        <f>IF($B285&gt;=1,$M285,"")</f>
      </c>
      <c r="H285" s="149">
        <f>IF(AND(M285&gt;0,M285&lt;=STATS!$C$22),1,"")</f>
      </c>
      <c r="J285" s="34">
        <v>284</v>
      </c>
      <c r="K285" s="165">
        <v>46.1222</v>
      </c>
      <c r="L285" s="165">
        <v>-91.21443</v>
      </c>
      <c r="M285" s="10">
        <v>26.5</v>
      </c>
      <c r="R285" s="17"/>
      <c r="S285" s="17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EZ285" s="146"/>
      <c r="FA285" s="146"/>
      <c r="FB285" s="146"/>
      <c r="FC285" s="146"/>
      <c r="FD285" s="146"/>
    </row>
    <row r="286" spans="2:160" ht="12.75">
      <c r="B286" s="96">
        <f>COUNT(R286:EY286,FE286:FM286)</f>
        <v>0</v>
      </c>
      <c r="C286" s="96">
        <f>IF(COUNT(R286:EY286,FE286:FM286)&gt;0,COUNT(R286:EY286,FE286:FM286),"")</f>
      </c>
      <c r="D286" s="96">
        <f>IF(COUNT(T286:BJ286,BL286:BT286,BV286:CB286,CD286:EY286,FE286:FM286)&gt;0,COUNT(T286:BJ286,BL286:BT286,BV286:CB286,CD286:EY286,FE286:FM286),"")</f>
      </c>
      <c r="E286" s="96">
        <f>IF(H286=1,COUNT(R286:EY286,FE286:FM286),"")</f>
      </c>
      <c r="F286" s="96">
        <f>IF(H286=1,COUNT(T286:BJ286,BL286:BT286,BV286:CB286,CD286:EY286,FE286:FM286),"")</f>
      </c>
      <c r="G286" s="96">
        <f>IF($B286&gt;=1,$M286,"")</f>
      </c>
      <c r="H286" s="149">
        <f>IF(AND(M286&gt;0,M286&lt;=STATS!$C$22),1,"")</f>
      </c>
      <c r="J286" s="34">
        <v>285</v>
      </c>
      <c r="K286" s="165">
        <v>46.1222</v>
      </c>
      <c r="L286" s="165">
        <v>-91.21396</v>
      </c>
      <c r="M286" s="10">
        <v>21</v>
      </c>
      <c r="R286" s="17"/>
      <c r="S286" s="17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EZ286" s="146"/>
      <c r="FA286" s="146"/>
      <c r="FB286" s="146"/>
      <c r="FC286" s="146"/>
      <c r="FD286" s="146"/>
    </row>
    <row r="287" spans="2:160" ht="12.75">
      <c r="B287" s="96">
        <f>COUNT(R287:EY287,FE287:FM287)</f>
        <v>0</v>
      </c>
      <c r="C287" s="96">
        <f>IF(COUNT(R287:EY287,FE287:FM287)&gt;0,COUNT(R287:EY287,FE287:FM287),"")</f>
      </c>
      <c r="D287" s="96">
        <f>IF(COUNT(T287:BJ287,BL287:BT287,BV287:CB287,CD287:EY287,FE287:FM287)&gt;0,COUNT(T287:BJ287,BL287:BT287,BV287:CB287,CD287:EY287,FE287:FM287),"")</f>
      </c>
      <c r="E287" s="96">
        <f>IF(H287=1,COUNT(R287:EY287,FE287:FM287),"")</f>
      </c>
      <c r="F287" s="96">
        <f>IF(H287=1,COUNT(T287:BJ287,BL287:BT287,BV287:CB287,CD287:EY287,FE287:FM287),"")</f>
      </c>
      <c r="G287" s="96">
        <f>IF($B287&gt;=1,$M287,"")</f>
      </c>
      <c r="H287" s="149">
        <f>IF(AND(M287&gt;0,M287&lt;=STATS!$C$22),1,"")</f>
      </c>
      <c r="J287" s="34">
        <v>286</v>
      </c>
      <c r="K287" s="165">
        <v>46.12221</v>
      </c>
      <c r="L287" s="165">
        <v>-91.2135</v>
      </c>
      <c r="M287" s="10">
        <v>18.5</v>
      </c>
      <c r="R287" s="17"/>
      <c r="S287" s="17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EZ287" s="146"/>
      <c r="FA287" s="146"/>
      <c r="FB287" s="146"/>
      <c r="FC287" s="146"/>
      <c r="FD287" s="146"/>
    </row>
    <row r="288" spans="2:160" ht="12.75">
      <c r="B288" s="96">
        <f>COUNT(R288:EY288,FE288:FM288)</f>
        <v>0</v>
      </c>
      <c r="C288" s="96">
        <f>IF(COUNT(R288:EY288,FE288:FM288)&gt;0,COUNT(R288:EY288,FE288:FM288),"")</f>
      </c>
      <c r="D288" s="96">
        <f>IF(COUNT(T288:BJ288,BL288:BT288,BV288:CB288,CD288:EY288,FE288:FM288)&gt;0,COUNT(T288:BJ288,BL288:BT288,BV288:CB288,CD288:EY288,FE288:FM288),"")</f>
      </c>
      <c r="E288" s="96">
        <f>IF(H288=1,COUNT(R288:EY288,FE288:FM288),"")</f>
      </c>
      <c r="F288" s="96">
        <f>IF(H288=1,COUNT(T288:BJ288,BL288:BT288,BV288:CB288,CD288:EY288,FE288:FM288),"")</f>
      </c>
      <c r="G288" s="96">
        <f>IF($B288&gt;=1,$M288,"")</f>
      </c>
      <c r="H288" s="149">
        <f>IF(AND(M288&gt;0,M288&lt;=STATS!$C$22),1,"")</f>
      </c>
      <c r="J288" s="34">
        <v>287</v>
      </c>
      <c r="K288" s="165">
        <v>46.12221</v>
      </c>
      <c r="L288" s="165">
        <v>-91.21303</v>
      </c>
      <c r="M288" s="10">
        <v>18.5</v>
      </c>
      <c r="R288" s="17"/>
      <c r="S288" s="17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EZ288" s="146"/>
      <c r="FA288" s="146"/>
      <c r="FB288" s="146"/>
      <c r="FC288" s="146"/>
      <c r="FD288" s="146"/>
    </row>
    <row r="289" spans="2:160" ht="12.75">
      <c r="B289" s="96">
        <f>COUNT(R289:EY289,FE289:FM289)</f>
        <v>0</v>
      </c>
      <c r="C289" s="96">
        <f>IF(COUNT(R289:EY289,FE289:FM289)&gt;0,COUNT(R289:EY289,FE289:FM289),"")</f>
      </c>
      <c r="D289" s="96">
        <f>IF(COUNT(T289:BJ289,BL289:BT289,BV289:CB289,CD289:EY289,FE289:FM289)&gt;0,COUNT(T289:BJ289,BL289:BT289,BV289:CB289,CD289:EY289,FE289:FM289),"")</f>
      </c>
      <c r="E289" s="96">
        <f>IF(H289=1,COUNT(R289:EY289,FE289:FM289),"")</f>
      </c>
      <c r="F289" s="96">
        <f>IF(H289=1,COUNT(T289:BJ289,BL289:BT289,BV289:CB289,CD289:EY289,FE289:FM289),"")</f>
      </c>
      <c r="G289" s="96">
        <f>IF($B289&gt;=1,$M289,"")</f>
      </c>
      <c r="H289" s="149">
        <f>IF(AND(M289&gt;0,M289&lt;=STATS!$C$22),1,"")</f>
      </c>
      <c r="J289" s="34">
        <v>288</v>
      </c>
      <c r="K289" s="165">
        <v>46.12222</v>
      </c>
      <c r="L289" s="165">
        <v>-91.21257</v>
      </c>
      <c r="M289" s="10">
        <v>21.5</v>
      </c>
      <c r="R289" s="17"/>
      <c r="S289" s="17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EZ289" s="146"/>
      <c r="FA289" s="146"/>
      <c r="FB289" s="146"/>
      <c r="FC289" s="146"/>
      <c r="FD289" s="146"/>
    </row>
    <row r="290" spans="2:160" ht="12.75">
      <c r="B290" s="96">
        <f>COUNT(R290:EY290,FE290:FM290)</f>
        <v>0</v>
      </c>
      <c r="C290" s="96">
        <f>IF(COUNT(R290:EY290,FE290:FM290)&gt;0,COUNT(R290:EY290,FE290:FM290),"")</f>
      </c>
      <c r="D290" s="96">
        <f>IF(COUNT(T290:BJ290,BL290:BT290,BV290:CB290,CD290:EY290,FE290:FM290)&gt;0,COUNT(T290:BJ290,BL290:BT290,BV290:CB290,CD290:EY290,FE290:FM290),"")</f>
      </c>
      <c r="E290" s="96">
        <f>IF(H290=1,COUNT(R290:EY290,FE290:FM290),"")</f>
      </c>
      <c r="F290" s="96">
        <f>IF(H290=1,COUNT(T290:BJ290,BL290:BT290,BV290:CB290,CD290:EY290,FE290:FM290),"")</f>
      </c>
      <c r="G290" s="96">
        <f>IF($B290&gt;=1,$M290,"")</f>
      </c>
      <c r="H290" s="149">
        <f>IF(AND(M290&gt;0,M290&lt;=STATS!$C$22),1,"")</f>
      </c>
      <c r="J290" s="34">
        <v>289</v>
      </c>
      <c r="K290" s="165">
        <v>46.12222</v>
      </c>
      <c r="L290" s="165">
        <v>-91.2121</v>
      </c>
      <c r="M290" s="10">
        <v>22.5</v>
      </c>
      <c r="R290" s="17"/>
      <c r="S290" s="17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EZ290" s="146"/>
      <c r="FA290" s="146"/>
      <c r="FB290" s="146"/>
      <c r="FC290" s="146"/>
      <c r="FD290" s="146"/>
    </row>
    <row r="291" spans="2:160" ht="12.75">
      <c r="B291" s="96">
        <f>COUNT(R291:EY291,FE291:FM291)</f>
        <v>0</v>
      </c>
      <c r="C291" s="96">
        <f>IF(COUNT(R291:EY291,FE291:FM291)&gt;0,COUNT(R291:EY291,FE291:FM291),"")</f>
      </c>
      <c r="D291" s="96">
        <f>IF(COUNT(T291:BJ291,BL291:BT291,BV291:CB291,CD291:EY291,FE291:FM291)&gt;0,COUNT(T291:BJ291,BL291:BT291,BV291:CB291,CD291:EY291,FE291:FM291),"")</f>
      </c>
      <c r="E291" s="96">
        <f>IF(H291=1,COUNT(R291:EY291,FE291:FM291),"")</f>
      </c>
      <c r="F291" s="96">
        <f>IF(H291=1,COUNT(T291:BJ291,BL291:BT291,BV291:CB291,CD291:EY291,FE291:FM291),"")</f>
      </c>
      <c r="G291" s="96">
        <f>IF($B291&gt;=1,$M291,"")</f>
      </c>
      <c r="H291" s="149">
        <f>IF(AND(M291&gt;0,M291&lt;=STATS!$C$22),1,"")</f>
      </c>
      <c r="J291" s="34">
        <v>290</v>
      </c>
      <c r="K291" s="165">
        <v>46.12223</v>
      </c>
      <c r="L291" s="165">
        <v>-91.21163</v>
      </c>
      <c r="M291" s="10">
        <v>21</v>
      </c>
      <c r="R291" s="17"/>
      <c r="S291" s="17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EZ291" s="146"/>
      <c r="FA291" s="146"/>
      <c r="FB291" s="146"/>
      <c r="FC291" s="146"/>
      <c r="FD291" s="146"/>
    </row>
    <row r="292" spans="2:160" ht="12.75">
      <c r="B292" s="96">
        <f>COUNT(R292:EY292,FE292:FM292)</f>
        <v>0</v>
      </c>
      <c r="C292" s="96">
        <f>IF(COUNT(R292:EY292,FE292:FM292)&gt;0,COUNT(R292:EY292,FE292:FM292),"")</f>
      </c>
      <c r="D292" s="96">
        <f>IF(COUNT(T292:BJ292,BL292:BT292,BV292:CB292,CD292:EY292,FE292:FM292)&gt;0,COUNT(T292:BJ292,BL292:BT292,BV292:CB292,CD292:EY292,FE292:FM292),"")</f>
      </c>
      <c r="E292" s="96">
        <f>IF(H292=1,COUNT(R292:EY292,FE292:FM292),"")</f>
      </c>
      <c r="F292" s="96">
        <f>IF(H292=1,COUNT(T292:BJ292,BL292:BT292,BV292:CB292,CD292:EY292,FE292:FM292),"")</f>
      </c>
      <c r="G292" s="96">
        <f>IF($B292&gt;=1,$M292,"")</f>
      </c>
      <c r="H292" s="149">
        <f>IF(AND(M292&gt;0,M292&lt;=STATS!$C$22),1,"")</f>
      </c>
      <c r="J292" s="34">
        <v>291</v>
      </c>
      <c r="K292" s="165">
        <v>46.12223</v>
      </c>
      <c r="L292" s="165">
        <v>-91.21117</v>
      </c>
      <c r="M292" s="10">
        <v>18</v>
      </c>
      <c r="R292" s="17"/>
      <c r="S292" s="17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EZ292" s="146"/>
      <c r="FA292" s="146"/>
      <c r="FB292" s="146"/>
      <c r="FC292" s="146"/>
      <c r="FD292" s="146"/>
    </row>
    <row r="293" spans="2:160" ht="12.75">
      <c r="B293" s="96">
        <f>COUNT(R293:EY293,FE293:FM293)</f>
        <v>0</v>
      </c>
      <c r="C293" s="96">
        <f>IF(COUNT(R293:EY293,FE293:FM293)&gt;0,COUNT(R293:EY293,FE293:FM293),"")</f>
      </c>
      <c r="D293" s="96">
        <f>IF(COUNT(T293:BJ293,BL293:BT293,BV293:CB293,CD293:EY293,FE293:FM293)&gt;0,COUNT(T293:BJ293,BL293:BT293,BV293:CB293,CD293:EY293,FE293:FM293),"")</f>
      </c>
      <c r="E293" s="96">
        <f>IF(H293=1,COUNT(R293:EY293,FE293:FM293),"")</f>
      </c>
      <c r="F293" s="96">
        <f>IF(H293=1,COUNT(T293:BJ293,BL293:BT293,BV293:CB293,CD293:EY293,FE293:FM293),"")</f>
      </c>
      <c r="G293" s="96">
        <f>IF($B293&gt;=1,$M293,"")</f>
      </c>
      <c r="H293" s="149">
        <f>IF(AND(M293&gt;0,M293&lt;=STATS!$C$22),1,"")</f>
      </c>
      <c r="J293" s="34">
        <v>292</v>
      </c>
      <c r="K293" s="165">
        <v>46.12224</v>
      </c>
      <c r="L293" s="165">
        <v>-91.2107</v>
      </c>
      <c r="M293" s="10">
        <v>17.5</v>
      </c>
      <c r="R293" s="17"/>
      <c r="S293" s="17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EZ293" s="146"/>
      <c r="FA293" s="146"/>
      <c r="FB293" s="146"/>
      <c r="FC293" s="146"/>
      <c r="FD293" s="146"/>
    </row>
    <row r="294" spans="2:160" ht="12.75">
      <c r="B294" s="96">
        <f>COUNT(R294:EY294,FE294:FM294)</f>
        <v>0</v>
      </c>
      <c r="C294" s="96">
        <f>IF(COUNT(R294:EY294,FE294:FM294)&gt;0,COUNT(R294:EY294,FE294:FM294),"")</f>
      </c>
      <c r="D294" s="96">
        <f>IF(COUNT(T294:BJ294,BL294:BT294,BV294:CB294,CD294:EY294,FE294:FM294)&gt;0,COUNT(T294:BJ294,BL294:BT294,BV294:CB294,CD294:EY294,FE294:FM294),"")</f>
      </c>
      <c r="E294" s="96">
        <f>IF(H294=1,COUNT(R294:EY294,FE294:FM294),"")</f>
      </c>
      <c r="F294" s="96">
        <f>IF(H294=1,COUNT(T294:BJ294,BL294:BT294,BV294:CB294,CD294:EY294,FE294:FM294),"")</f>
      </c>
      <c r="G294" s="96">
        <f>IF($B294&gt;=1,$M294,"")</f>
      </c>
      <c r="H294" s="149">
        <f>IF(AND(M294&gt;0,M294&lt;=STATS!$C$22),1,"")</f>
      </c>
      <c r="J294" s="34">
        <v>293</v>
      </c>
      <c r="K294" s="165">
        <v>46.12224</v>
      </c>
      <c r="L294" s="165">
        <v>-91.21024</v>
      </c>
      <c r="M294" s="10">
        <v>16</v>
      </c>
      <c r="R294" s="17"/>
      <c r="S294" s="17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EZ294" s="146"/>
      <c r="FA294" s="146"/>
      <c r="FB294" s="146"/>
      <c r="FC294" s="146"/>
      <c r="FD294" s="146"/>
    </row>
    <row r="295" spans="2:160" ht="12.75">
      <c r="B295" s="96">
        <f>COUNT(R295:EY295,FE295:FM295)</f>
        <v>0</v>
      </c>
      <c r="C295" s="96">
        <f>IF(COUNT(R295:EY295,FE295:FM295)&gt;0,COUNT(R295:EY295,FE295:FM295),"")</f>
      </c>
      <c r="D295" s="96">
        <f>IF(COUNT(T295:BJ295,BL295:BT295,BV295:CB295,CD295:EY295,FE295:FM295)&gt;0,COUNT(T295:BJ295,BL295:BT295,BV295:CB295,CD295:EY295,FE295:FM295),"")</f>
      </c>
      <c r="E295" s="96">
        <f>IF(H295=1,COUNT(R295:EY295,FE295:FM295),"")</f>
        <v>0</v>
      </c>
      <c r="F295" s="96">
        <f>IF(H295=1,COUNT(T295:BJ295,BL295:BT295,BV295:CB295,CD295:EY295,FE295:FM295),"")</f>
        <v>0</v>
      </c>
      <c r="G295" s="96">
        <f>IF($B295&gt;=1,$M295,"")</f>
      </c>
      <c r="H295" s="149">
        <f>IF(AND(M295&gt;0,M295&lt;=STATS!$C$22),1,"")</f>
        <v>1</v>
      </c>
      <c r="J295" s="34">
        <v>294</v>
      </c>
      <c r="K295" s="165">
        <v>46.12225</v>
      </c>
      <c r="L295" s="165">
        <v>-91.20977</v>
      </c>
      <c r="M295" s="10">
        <v>14</v>
      </c>
      <c r="N295" s="10" t="s">
        <v>563</v>
      </c>
      <c r="O295" s="190" t="s">
        <v>648</v>
      </c>
      <c r="R295" s="17"/>
      <c r="S295" s="17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EZ295" s="146"/>
      <c r="FA295" s="146"/>
      <c r="FB295" s="146"/>
      <c r="FC295" s="146"/>
      <c r="FD295" s="146"/>
    </row>
    <row r="296" spans="2:160" ht="12.75">
      <c r="B296" s="96">
        <f>COUNT(R296:EY296,FE296:FM296)</f>
        <v>5</v>
      </c>
      <c r="C296" s="96">
        <f>IF(COUNT(R296:EY296,FE296:FM296)&gt;0,COUNT(R296:EY296,FE296:FM296),"")</f>
        <v>5</v>
      </c>
      <c r="D296" s="96">
        <f>IF(COUNT(T296:BJ296,BL296:BT296,BV296:CB296,CD296:EY296,FE296:FM296)&gt;0,COUNT(T296:BJ296,BL296:BT296,BV296:CB296,CD296:EY296,FE296:FM296),"")</f>
        <v>5</v>
      </c>
      <c r="E296" s="96">
        <f>IF(H296=1,COUNT(R296:EY296,FE296:FM296),"")</f>
        <v>5</v>
      </c>
      <c r="F296" s="96">
        <f>IF(H296=1,COUNT(T296:BJ296,BL296:BT296,BV296:CB296,CD296:EY296,FE296:FM296),"")</f>
        <v>5</v>
      </c>
      <c r="G296" s="96">
        <f>IF($B296&gt;=1,$M296,"")</f>
        <v>4</v>
      </c>
      <c r="H296" s="149">
        <f>IF(AND(M296&gt;0,M296&lt;=STATS!$C$22),1,"")</f>
        <v>1</v>
      </c>
      <c r="J296" s="34">
        <v>295</v>
      </c>
      <c r="K296" s="165">
        <v>46.12225</v>
      </c>
      <c r="L296" s="165">
        <v>-91.20931</v>
      </c>
      <c r="M296" s="10">
        <v>4</v>
      </c>
      <c r="N296" s="10" t="s">
        <v>563</v>
      </c>
      <c r="O296" s="190" t="s">
        <v>648</v>
      </c>
      <c r="Q296" s="10">
        <v>2</v>
      </c>
      <c r="R296" s="17"/>
      <c r="S296" s="17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>
        <v>1</v>
      </c>
      <c r="AF296" s="36"/>
      <c r="AG296" s="36"/>
      <c r="AH296" s="36"/>
      <c r="BO296" s="10" t="s">
        <v>566</v>
      </c>
      <c r="BR296" s="10">
        <v>1</v>
      </c>
      <c r="CA296" s="10" t="s">
        <v>566</v>
      </c>
      <c r="CB296" s="10">
        <v>1</v>
      </c>
      <c r="CO296" s="10">
        <v>2</v>
      </c>
      <c r="DE296" s="10">
        <v>1</v>
      </c>
      <c r="EZ296" s="146"/>
      <c r="FA296" s="146"/>
      <c r="FB296" s="146"/>
      <c r="FC296" s="146"/>
      <c r="FD296" s="146"/>
    </row>
    <row r="297" spans="2:160" ht="12.75">
      <c r="B297" s="96">
        <f>COUNT(R297:EY297,FE297:FM297)</f>
        <v>5</v>
      </c>
      <c r="C297" s="96">
        <f>IF(COUNT(R297:EY297,FE297:FM297)&gt;0,COUNT(R297:EY297,FE297:FM297),"")</f>
        <v>5</v>
      </c>
      <c r="D297" s="96">
        <f>IF(COUNT(T297:BJ297,BL297:BT297,BV297:CB297,CD297:EY297,FE297:FM297)&gt;0,COUNT(T297:BJ297,BL297:BT297,BV297:CB297,CD297:EY297,FE297:FM297),"")</f>
        <v>5</v>
      </c>
      <c r="E297" s="96">
        <f>IF(H297=1,COUNT(R297:EY297,FE297:FM297),"")</f>
        <v>5</v>
      </c>
      <c r="F297" s="96">
        <f>IF(H297=1,COUNT(T297:BJ297,BL297:BT297,BV297:CB297,CD297:EY297,FE297:FM297),"")</f>
        <v>5</v>
      </c>
      <c r="G297" s="96">
        <f>IF($B297&gt;=1,$M297,"")</f>
        <v>4</v>
      </c>
      <c r="H297" s="149">
        <f>IF(AND(M297&gt;0,M297&lt;=STATS!$C$22),1,"")</f>
        <v>1</v>
      </c>
      <c r="J297" s="34">
        <v>296</v>
      </c>
      <c r="K297" s="165">
        <v>46.12246</v>
      </c>
      <c r="L297" s="165">
        <v>-91.22003</v>
      </c>
      <c r="M297" s="10">
        <v>4</v>
      </c>
      <c r="N297" s="10" t="s">
        <v>563</v>
      </c>
      <c r="O297" s="190" t="s">
        <v>648</v>
      </c>
      <c r="Q297" s="10">
        <v>3</v>
      </c>
      <c r="R297" s="17"/>
      <c r="S297" s="17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>
        <v>1</v>
      </c>
      <c r="AF297" s="36"/>
      <c r="AG297" s="36"/>
      <c r="AH297" s="36"/>
      <c r="BR297" s="10">
        <v>1</v>
      </c>
      <c r="CW297" s="10">
        <v>1</v>
      </c>
      <c r="CY297" s="10">
        <v>3</v>
      </c>
      <c r="DA297" s="10">
        <v>2</v>
      </c>
      <c r="EZ297" s="146"/>
      <c r="FA297" s="146"/>
      <c r="FB297" s="146"/>
      <c r="FC297" s="146"/>
      <c r="FD297" s="146"/>
    </row>
    <row r="298" spans="2:160" ht="12.75">
      <c r="B298" s="96">
        <f>COUNT(R298:EY298,FE298:FM298)</f>
        <v>0</v>
      </c>
      <c r="C298" s="96">
        <f>IF(COUNT(R298:EY298,FE298:FM298)&gt;0,COUNT(R298:EY298,FE298:FM298),"")</f>
      </c>
      <c r="D298" s="96">
        <f>IF(COUNT(T298:BJ298,BL298:BT298,BV298:CB298,CD298:EY298,FE298:FM298)&gt;0,COUNT(T298:BJ298,BL298:BT298,BV298:CB298,CD298:EY298,FE298:FM298),"")</f>
      </c>
      <c r="E298" s="96">
        <f>IF(H298=1,COUNT(R298:EY298,FE298:FM298),"")</f>
        <v>0</v>
      </c>
      <c r="F298" s="96">
        <f>IF(H298=1,COUNT(T298:BJ298,BL298:BT298,BV298:CB298,CD298:EY298,FE298:FM298),"")</f>
        <v>0</v>
      </c>
      <c r="G298" s="96">
        <f>IF($B298&gt;=1,$M298,"")</f>
      </c>
      <c r="H298" s="149">
        <f>IF(AND(M298&gt;0,M298&lt;=STATS!$C$22),1,"")</f>
        <v>1</v>
      </c>
      <c r="J298" s="34">
        <v>297</v>
      </c>
      <c r="K298" s="165">
        <v>46.12247</v>
      </c>
      <c r="L298" s="165">
        <v>-91.21956</v>
      </c>
      <c r="M298" s="10">
        <v>13</v>
      </c>
      <c r="N298" s="10" t="s">
        <v>563</v>
      </c>
      <c r="O298" s="190" t="s">
        <v>648</v>
      </c>
      <c r="R298" s="17"/>
      <c r="S298" s="17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EZ298" s="146"/>
      <c r="FA298" s="146"/>
      <c r="FB298" s="146"/>
      <c r="FC298" s="146"/>
      <c r="FD298" s="146"/>
    </row>
    <row r="299" spans="2:160" ht="12.75">
      <c r="B299" s="96">
        <f>COUNT(R299:EY299,FE299:FM299)</f>
        <v>0</v>
      </c>
      <c r="C299" s="96">
        <f>IF(COUNT(R299:EY299,FE299:FM299)&gt;0,COUNT(R299:EY299,FE299:FM299),"")</f>
      </c>
      <c r="D299" s="96">
        <f>IF(COUNT(T299:BJ299,BL299:BT299,BV299:CB299,CD299:EY299,FE299:FM299)&gt;0,COUNT(T299:BJ299,BL299:BT299,BV299:CB299,CD299:EY299,FE299:FM299),"")</f>
      </c>
      <c r="E299" s="96">
        <f>IF(H299=1,COUNT(R299:EY299,FE299:FM299),"")</f>
      </c>
      <c r="F299" s="96">
        <f>IF(H299=1,COUNT(T299:BJ299,BL299:BT299,BV299:CB299,CD299:EY299,FE299:FM299),"")</f>
      </c>
      <c r="G299" s="96">
        <f>IF($B299&gt;=1,$M299,"")</f>
      </c>
      <c r="H299" s="149">
        <f>IF(AND(M299&gt;0,M299&lt;=STATS!$C$22),1,"")</f>
      </c>
      <c r="J299" s="34">
        <v>298</v>
      </c>
      <c r="K299" s="165">
        <v>46.12247</v>
      </c>
      <c r="L299" s="165">
        <v>-91.2191</v>
      </c>
      <c r="M299" s="10">
        <v>16</v>
      </c>
      <c r="R299" s="17"/>
      <c r="S299" s="17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EZ299" s="146"/>
      <c r="FA299" s="146"/>
      <c r="FB299" s="146"/>
      <c r="FC299" s="146"/>
      <c r="FD299" s="146"/>
    </row>
    <row r="300" spans="2:160" ht="12.75">
      <c r="B300" s="96">
        <f>COUNT(R300:EY300,FE300:FM300)</f>
        <v>0</v>
      </c>
      <c r="C300" s="96">
        <f>IF(COUNT(R300:EY300,FE300:FM300)&gt;0,COUNT(R300:EY300,FE300:FM300),"")</f>
      </c>
      <c r="D300" s="96">
        <f>IF(COUNT(T300:BJ300,BL300:BT300,BV300:CB300,CD300:EY300,FE300:FM300)&gt;0,COUNT(T300:BJ300,BL300:BT300,BV300:CB300,CD300:EY300,FE300:FM300),"")</f>
      </c>
      <c r="E300" s="96">
        <f>IF(H300=1,COUNT(R300:EY300,FE300:FM300),"")</f>
      </c>
      <c r="F300" s="96">
        <f>IF(H300=1,COUNT(T300:BJ300,BL300:BT300,BV300:CB300,CD300:EY300,FE300:FM300),"")</f>
      </c>
      <c r="G300" s="96">
        <f>IF($B300&gt;=1,$M300,"")</f>
      </c>
      <c r="H300" s="149">
        <f>IF(AND(M300&gt;0,M300&lt;=STATS!$C$22),1,"")</f>
      </c>
      <c r="J300" s="34">
        <v>299</v>
      </c>
      <c r="K300" s="165">
        <v>46.12248</v>
      </c>
      <c r="L300" s="165">
        <v>-91.21863</v>
      </c>
      <c r="M300" s="10">
        <v>15.5</v>
      </c>
      <c r="R300" s="17"/>
      <c r="S300" s="17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EZ300" s="146"/>
      <c r="FA300" s="146"/>
      <c r="FB300" s="146"/>
      <c r="FC300" s="146"/>
      <c r="FD300" s="146"/>
    </row>
    <row r="301" spans="2:160" ht="12.75">
      <c r="B301" s="96">
        <f>COUNT(R301:EY301,FE301:FM301)</f>
        <v>0</v>
      </c>
      <c r="C301" s="96">
        <f>IF(COUNT(R301:EY301,FE301:FM301)&gt;0,COUNT(R301:EY301,FE301:FM301),"")</f>
      </c>
      <c r="D301" s="96">
        <f>IF(COUNT(T301:BJ301,BL301:BT301,BV301:CB301,CD301:EY301,FE301:FM301)&gt;0,COUNT(T301:BJ301,BL301:BT301,BV301:CB301,CD301:EY301,FE301:FM301),"")</f>
      </c>
      <c r="E301" s="96">
        <f>IF(H301=1,COUNT(R301:EY301,FE301:FM301),"")</f>
      </c>
      <c r="F301" s="96">
        <f>IF(H301=1,COUNT(T301:BJ301,BL301:BT301,BV301:CB301,CD301:EY301,FE301:FM301),"")</f>
      </c>
      <c r="G301" s="96">
        <f>IF($B301&gt;=1,$M301,"")</f>
      </c>
      <c r="H301" s="149">
        <f>IF(AND(M301&gt;0,M301&lt;=STATS!$C$22),1,"")</f>
      </c>
      <c r="J301" s="34">
        <v>300</v>
      </c>
      <c r="K301" s="165">
        <v>46.12248</v>
      </c>
      <c r="L301" s="165">
        <v>-91.21816</v>
      </c>
      <c r="M301" s="10">
        <v>16</v>
      </c>
      <c r="R301" s="17"/>
      <c r="S301" s="17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EZ301" s="146"/>
      <c r="FA301" s="146"/>
      <c r="FB301" s="146"/>
      <c r="FC301" s="146"/>
      <c r="FD301" s="146"/>
    </row>
    <row r="302" spans="2:160" ht="12.75">
      <c r="B302" s="96">
        <f>COUNT(R302:EY302,FE302:FM302)</f>
        <v>0</v>
      </c>
      <c r="C302" s="96">
        <f>IF(COUNT(R302:EY302,FE302:FM302)&gt;0,COUNT(R302:EY302,FE302:FM302),"")</f>
      </c>
      <c r="D302" s="96">
        <f>IF(COUNT(T302:BJ302,BL302:BT302,BV302:CB302,CD302:EY302,FE302:FM302)&gt;0,COUNT(T302:BJ302,BL302:BT302,BV302:CB302,CD302:EY302,FE302:FM302),"")</f>
      </c>
      <c r="E302" s="96">
        <f>IF(H302=1,COUNT(R302:EY302,FE302:FM302),"")</f>
      </c>
      <c r="F302" s="96">
        <f>IF(H302=1,COUNT(T302:BJ302,BL302:BT302,BV302:CB302,CD302:EY302,FE302:FM302),"")</f>
      </c>
      <c r="G302" s="96">
        <f>IF($B302&gt;=1,$M302,"")</f>
      </c>
      <c r="H302" s="149">
        <f>IF(AND(M302&gt;0,M302&lt;=STATS!$C$22),1,"")</f>
      </c>
      <c r="J302" s="34">
        <v>301</v>
      </c>
      <c r="K302" s="165">
        <v>46.12249</v>
      </c>
      <c r="L302" s="165">
        <v>-91.2177</v>
      </c>
      <c r="M302" s="10">
        <v>17</v>
      </c>
      <c r="R302" s="17"/>
      <c r="S302" s="17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EZ302" s="146"/>
      <c r="FA302" s="146"/>
      <c r="FB302" s="146"/>
      <c r="FC302" s="146"/>
      <c r="FD302" s="146"/>
    </row>
    <row r="303" spans="2:160" ht="12.75">
      <c r="B303" s="96">
        <f>COUNT(R303:EY303,FE303:FM303)</f>
        <v>0</v>
      </c>
      <c r="C303" s="96">
        <f>IF(COUNT(R303:EY303,FE303:FM303)&gt;0,COUNT(R303:EY303,FE303:FM303),"")</f>
      </c>
      <c r="D303" s="96">
        <f>IF(COUNT(T303:BJ303,BL303:BT303,BV303:CB303,CD303:EY303,FE303:FM303)&gt;0,COUNT(T303:BJ303,BL303:BT303,BV303:CB303,CD303:EY303,FE303:FM303),"")</f>
      </c>
      <c r="E303" s="96">
        <f>IF(H303=1,COUNT(R303:EY303,FE303:FM303),"")</f>
      </c>
      <c r="F303" s="96">
        <f>IF(H303=1,COUNT(T303:BJ303,BL303:BT303,BV303:CB303,CD303:EY303,FE303:FM303),"")</f>
      </c>
      <c r="G303" s="96">
        <f>IF($B303&gt;=1,$M303,"")</f>
      </c>
      <c r="H303" s="149">
        <f>IF(AND(M303&gt;0,M303&lt;=STATS!$C$22),1,"")</f>
      </c>
      <c r="J303" s="34">
        <v>302</v>
      </c>
      <c r="K303" s="165">
        <v>46.12249</v>
      </c>
      <c r="L303" s="165">
        <v>-91.21723</v>
      </c>
      <c r="M303" s="10">
        <v>16.5</v>
      </c>
      <c r="R303" s="17"/>
      <c r="S303" s="17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EZ303" s="146"/>
      <c r="FA303" s="146"/>
      <c r="FB303" s="146"/>
      <c r="FC303" s="146"/>
      <c r="FD303" s="146"/>
    </row>
    <row r="304" spans="2:160" ht="12.75">
      <c r="B304" s="96">
        <f>COUNT(R304:EY304,FE304:FM304)</f>
        <v>0</v>
      </c>
      <c r="C304" s="96">
        <f>IF(COUNT(R304:EY304,FE304:FM304)&gt;0,COUNT(R304:EY304,FE304:FM304),"")</f>
      </c>
      <c r="D304" s="96">
        <f>IF(COUNT(T304:BJ304,BL304:BT304,BV304:CB304,CD304:EY304,FE304:FM304)&gt;0,COUNT(T304:BJ304,BL304:BT304,BV304:CB304,CD304:EY304,FE304:FM304),"")</f>
      </c>
      <c r="E304" s="96">
        <f>IF(H304=1,COUNT(R304:EY304,FE304:FM304),"")</f>
      </c>
      <c r="F304" s="96">
        <f>IF(H304=1,COUNT(T304:BJ304,BL304:BT304,BV304:CB304,CD304:EY304,FE304:FM304),"")</f>
      </c>
      <c r="G304" s="96">
        <f>IF($B304&gt;=1,$M304,"")</f>
      </c>
      <c r="H304" s="149">
        <f>IF(AND(M304&gt;0,M304&lt;=STATS!$C$22),1,"")</f>
      </c>
      <c r="J304" s="34">
        <v>303</v>
      </c>
      <c r="K304" s="165">
        <v>46.1225</v>
      </c>
      <c r="L304" s="165">
        <v>-91.21677</v>
      </c>
      <c r="M304" s="10">
        <v>15.5</v>
      </c>
      <c r="R304" s="17"/>
      <c r="S304" s="17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EZ304" s="146"/>
      <c r="FA304" s="146"/>
      <c r="FB304" s="146"/>
      <c r="FC304" s="146"/>
      <c r="FD304" s="146"/>
    </row>
    <row r="305" spans="2:160" ht="12.75">
      <c r="B305" s="96">
        <f>COUNT(R305:EY305,FE305:FM305)</f>
        <v>1</v>
      </c>
      <c r="C305" s="96">
        <f>IF(COUNT(R305:EY305,FE305:FM305)&gt;0,COUNT(R305:EY305,FE305:FM305),"")</f>
        <v>1</v>
      </c>
      <c r="D305" s="96">
        <f>IF(COUNT(T305:BJ305,BL305:BT305,BV305:CB305,CD305:EY305,FE305:FM305)&gt;0,COUNT(T305:BJ305,BL305:BT305,BV305:CB305,CD305:EY305,FE305:FM305),"")</f>
        <v>1</v>
      </c>
      <c r="E305" s="96">
        <f>IF(H305=1,COUNT(R305:EY305,FE305:FM305),"")</f>
        <v>1</v>
      </c>
      <c r="F305" s="96">
        <f>IF(H305=1,COUNT(T305:BJ305,BL305:BT305,BV305:CB305,CD305:EY305,FE305:FM305),"")</f>
        <v>1</v>
      </c>
      <c r="G305" s="96">
        <f>IF($B305&gt;=1,$M305,"")</f>
        <v>10.5</v>
      </c>
      <c r="H305" s="149">
        <f>IF(AND(M305&gt;0,M305&lt;=STATS!$C$22),1,"")</f>
        <v>1</v>
      </c>
      <c r="J305" s="34">
        <v>304</v>
      </c>
      <c r="K305" s="165">
        <v>46.1225</v>
      </c>
      <c r="L305" s="165">
        <v>-91.2163</v>
      </c>
      <c r="M305" s="10">
        <v>10.5</v>
      </c>
      <c r="N305" s="10" t="s">
        <v>563</v>
      </c>
      <c r="O305" s="190" t="s">
        <v>648</v>
      </c>
      <c r="Q305" s="10">
        <v>1</v>
      </c>
      <c r="R305" s="17"/>
      <c r="S305" s="17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BW305" s="10">
        <v>1</v>
      </c>
      <c r="EZ305" s="146"/>
      <c r="FA305" s="146"/>
      <c r="FB305" s="146">
        <v>1</v>
      </c>
      <c r="FC305" s="146"/>
      <c r="FD305" s="146"/>
    </row>
    <row r="306" spans="2:160" ht="12.75">
      <c r="B306" s="96">
        <f>COUNT(R306:EY306,FE306:FM306)</f>
        <v>0</v>
      </c>
      <c r="C306" s="96">
        <f>IF(COUNT(R306:EY306,FE306:FM306)&gt;0,COUNT(R306:EY306,FE306:FM306),"")</f>
      </c>
      <c r="D306" s="96">
        <f>IF(COUNT(T306:BJ306,BL306:BT306,BV306:CB306,CD306:EY306,FE306:FM306)&gt;0,COUNT(T306:BJ306,BL306:BT306,BV306:CB306,CD306:EY306,FE306:FM306),"")</f>
      </c>
      <c r="E306" s="96">
        <f>IF(H306=1,COUNT(R306:EY306,FE306:FM306),"")</f>
        <v>0</v>
      </c>
      <c r="F306" s="96">
        <f>IF(H306=1,COUNT(T306:BJ306,BL306:BT306,BV306:CB306,CD306:EY306,FE306:FM306),"")</f>
        <v>0</v>
      </c>
      <c r="G306" s="96">
        <f>IF($B306&gt;=1,$M306,"")</f>
      </c>
      <c r="H306" s="149">
        <f>IF(AND(M306&gt;0,M306&lt;=STATS!$C$22),1,"")</f>
        <v>1</v>
      </c>
      <c r="J306" s="34">
        <v>305</v>
      </c>
      <c r="K306" s="165">
        <v>46.12251</v>
      </c>
      <c r="L306" s="165">
        <v>-91.21583</v>
      </c>
      <c r="M306" s="10">
        <v>12</v>
      </c>
      <c r="N306" s="10" t="s">
        <v>565</v>
      </c>
      <c r="O306" s="190" t="s">
        <v>648</v>
      </c>
      <c r="R306" s="17"/>
      <c r="S306" s="17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EZ306" s="146"/>
      <c r="FA306" s="146"/>
      <c r="FB306" s="146"/>
      <c r="FC306" s="146"/>
      <c r="FD306" s="146"/>
    </row>
    <row r="307" spans="2:160" ht="12.75">
      <c r="B307" s="96">
        <f>COUNT(R307:EY307,FE307:FM307)</f>
        <v>0</v>
      </c>
      <c r="C307" s="96">
        <f>IF(COUNT(R307:EY307,FE307:FM307)&gt;0,COUNT(R307:EY307,FE307:FM307),"")</f>
      </c>
      <c r="D307" s="96">
        <f>IF(COUNT(T307:BJ307,BL307:BT307,BV307:CB307,CD307:EY307,FE307:FM307)&gt;0,COUNT(T307:BJ307,BL307:BT307,BV307:CB307,CD307:EY307,FE307:FM307),"")</f>
      </c>
      <c r="E307" s="96">
        <f>IF(H307=1,COUNT(R307:EY307,FE307:FM307),"")</f>
      </c>
      <c r="F307" s="96">
        <f>IF(H307=1,COUNT(T307:BJ307,BL307:BT307,BV307:CB307,CD307:EY307,FE307:FM307),"")</f>
      </c>
      <c r="G307" s="96">
        <f>IF($B307&gt;=1,$M307,"")</f>
      </c>
      <c r="H307" s="149">
        <f>IF(AND(M307&gt;0,M307&lt;=STATS!$C$22),1,"")</f>
      </c>
      <c r="J307" s="34">
        <v>306</v>
      </c>
      <c r="K307" s="165">
        <v>46.12251</v>
      </c>
      <c r="L307" s="165">
        <v>-91.21537</v>
      </c>
      <c r="M307" s="10">
        <v>19.5</v>
      </c>
      <c r="R307" s="17"/>
      <c r="S307" s="17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EZ307" s="146"/>
      <c r="FA307" s="146"/>
      <c r="FB307" s="146"/>
      <c r="FC307" s="146"/>
      <c r="FD307" s="146"/>
    </row>
    <row r="308" spans="2:160" ht="12.75">
      <c r="B308" s="96">
        <f>COUNT(R308:EY308,FE308:FM308)</f>
        <v>0</v>
      </c>
      <c r="C308" s="96">
        <f>IF(COUNT(R308:EY308,FE308:FM308)&gt;0,COUNT(R308:EY308,FE308:FM308),"")</f>
      </c>
      <c r="D308" s="96">
        <f>IF(COUNT(T308:BJ308,BL308:BT308,BV308:CB308,CD308:EY308,FE308:FM308)&gt;0,COUNT(T308:BJ308,BL308:BT308,BV308:CB308,CD308:EY308,FE308:FM308),"")</f>
      </c>
      <c r="E308" s="96">
        <f>IF(H308=1,COUNT(R308:EY308,FE308:FM308),"")</f>
      </c>
      <c r="F308" s="96">
        <f>IF(H308=1,COUNT(T308:BJ308,BL308:BT308,BV308:CB308,CD308:EY308,FE308:FM308),"")</f>
      </c>
      <c r="G308" s="96">
        <f>IF($B308&gt;=1,$M308,"")</f>
      </c>
      <c r="H308" s="149">
        <f>IF(AND(M308&gt;0,M308&lt;=STATS!$C$22),1,"")</f>
      </c>
      <c r="J308" s="34">
        <v>307</v>
      </c>
      <c r="K308" s="165">
        <v>46.12252</v>
      </c>
      <c r="L308" s="165">
        <v>-91.2149</v>
      </c>
      <c r="M308" s="10">
        <v>26</v>
      </c>
      <c r="R308" s="17"/>
      <c r="S308" s="17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EZ308" s="146"/>
      <c r="FA308" s="146"/>
      <c r="FB308" s="146"/>
      <c r="FC308" s="146"/>
      <c r="FD308" s="146"/>
    </row>
    <row r="309" spans="2:160" ht="12.75">
      <c r="B309" s="96">
        <f>COUNT(R309:EY309,FE309:FM309)</f>
        <v>0</v>
      </c>
      <c r="C309" s="96">
        <f>IF(COUNT(R309:EY309,FE309:FM309)&gt;0,COUNT(R309:EY309,FE309:FM309),"")</f>
      </c>
      <c r="D309" s="96">
        <f>IF(COUNT(T309:BJ309,BL309:BT309,BV309:CB309,CD309:EY309,FE309:FM309)&gt;0,COUNT(T309:BJ309,BL309:BT309,BV309:CB309,CD309:EY309,FE309:FM309),"")</f>
      </c>
      <c r="E309" s="96">
        <f>IF(H309=1,COUNT(R309:EY309,FE309:FM309),"")</f>
      </c>
      <c r="F309" s="96">
        <f>IF(H309=1,COUNT(T309:BJ309,BL309:BT309,BV309:CB309,CD309:EY309,FE309:FM309),"")</f>
      </c>
      <c r="G309" s="96">
        <f>IF($B309&gt;=1,$M309,"")</f>
      </c>
      <c r="H309" s="149">
        <f>IF(AND(M309&gt;0,M309&lt;=STATS!$C$22),1,"")</f>
      </c>
      <c r="J309" s="34">
        <v>308</v>
      </c>
      <c r="K309" s="165">
        <v>46.12252</v>
      </c>
      <c r="L309" s="165">
        <v>-91.21444</v>
      </c>
      <c r="M309" s="10">
        <v>26</v>
      </c>
      <c r="R309" s="17"/>
      <c r="S309" s="17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EZ309" s="146"/>
      <c r="FA309" s="146"/>
      <c r="FB309" s="146"/>
      <c r="FC309" s="146"/>
      <c r="FD309" s="146"/>
    </row>
    <row r="310" spans="2:160" ht="12.75">
      <c r="B310" s="96">
        <f>COUNT(R310:EY310,FE310:FM310)</f>
        <v>0</v>
      </c>
      <c r="C310" s="96">
        <f>IF(COUNT(R310:EY310,FE310:FM310)&gt;0,COUNT(R310:EY310,FE310:FM310),"")</f>
      </c>
      <c r="D310" s="96">
        <f>IF(COUNT(T310:BJ310,BL310:BT310,BV310:CB310,CD310:EY310,FE310:FM310)&gt;0,COUNT(T310:BJ310,BL310:BT310,BV310:CB310,CD310:EY310,FE310:FM310),"")</f>
      </c>
      <c r="E310" s="96">
        <f>IF(H310=1,COUNT(R310:EY310,FE310:FM310),"")</f>
      </c>
      <c r="F310" s="96">
        <f>IF(H310=1,COUNT(T310:BJ310,BL310:BT310,BV310:CB310,CD310:EY310,FE310:FM310),"")</f>
      </c>
      <c r="G310" s="96">
        <f>IF($B310&gt;=1,$M310,"")</f>
      </c>
      <c r="H310" s="149">
        <f>IF(AND(M310&gt;0,M310&lt;=STATS!$C$22),1,"")</f>
      </c>
      <c r="J310" s="34">
        <v>309</v>
      </c>
      <c r="K310" s="165">
        <v>46.12253</v>
      </c>
      <c r="L310" s="165">
        <v>-91.21397</v>
      </c>
      <c r="M310" s="10">
        <v>18</v>
      </c>
      <c r="R310" s="17"/>
      <c r="S310" s="17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EZ310" s="146"/>
      <c r="FA310" s="146"/>
      <c r="FB310" s="146"/>
      <c r="FC310" s="146"/>
      <c r="FD310" s="146"/>
    </row>
    <row r="311" spans="2:160" ht="12.75">
      <c r="B311" s="96">
        <f>COUNT(R311:EY311,FE311:FM311)</f>
        <v>0</v>
      </c>
      <c r="C311" s="96">
        <f>IF(COUNT(R311:EY311,FE311:FM311)&gt;0,COUNT(R311:EY311,FE311:FM311),"")</f>
      </c>
      <c r="D311" s="96">
        <f>IF(COUNT(T311:BJ311,BL311:BT311,BV311:CB311,CD311:EY311,FE311:FM311)&gt;0,COUNT(T311:BJ311,BL311:BT311,BV311:CB311,CD311:EY311,FE311:FM311),"")</f>
      </c>
      <c r="E311" s="96">
        <f>IF(H311=1,COUNT(R311:EY311,FE311:FM311),"")</f>
      </c>
      <c r="F311" s="96">
        <f>IF(H311=1,COUNT(T311:BJ311,BL311:BT311,BV311:CB311,CD311:EY311,FE311:FM311),"")</f>
      </c>
      <c r="G311" s="96">
        <f>IF($B311&gt;=1,$M311,"")</f>
      </c>
      <c r="H311" s="149">
        <f>IF(AND(M311&gt;0,M311&lt;=STATS!$C$22),1,"")</f>
      </c>
      <c r="J311" s="34">
        <v>310</v>
      </c>
      <c r="K311" s="165">
        <v>46.12253</v>
      </c>
      <c r="L311" s="165">
        <v>-91.21351</v>
      </c>
      <c r="M311" s="10">
        <v>16</v>
      </c>
      <c r="R311" s="17"/>
      <c r="S311" s="17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EZ311" s="146"/>
      <c r="FA311" s="146"/>
      <c r="FB311" s="146"/>
      <c r="FC311" s="146"/>
      <c r="FD311" s="146"/>
    </row>
    <row r="312" spans="2:160" ht="12.75">
      <c r="B312" s="96">
        <f>COUNT(R312:EY312,FE312:FM312)</f>
        <v>0</v>
      </c>
      <c r="C312" s="96">
        <f>IF(COUNT(R312:EY312,FE312:FM312)&gt;0,COUNT(R312:EY312,FE312:FM312),"")</f>
      </c>
      <c r="D312" s="96">
        <f>IF(COUNT(T312:BJ312,BL312:BT312,BV312:CB312,CD312:EY312,FE312:FM312)&gt;0,COUNT(T312:BJ312,BL312:BT312,BV312:CB312,CD312:EY312,FE312:FM312),"")</f>
      </c>
      <c r="E312" s="96">
        <f>IF(H312=1,COUNT(R312:EY312,FE312:FM312),"")</f>
      </c>
      <c r="F312" s="96">
        <f>IF(H312=1,COUNT(T312:BJ312,BL312:BT312,BV312:CB312,CD312:EY312,FE312:FM312),"")</f>
      </c>
      <c r="G312" s="96">
        <f>IF($B312&gt;=1,$M312,"")</f>
      </c>
      <c r="H312" s="149">
        <f>IF(AND(M312&gt;0,M312&lt;=STATS!$C$22),1,"")</f>
      </c>
      <c r="J312" s="34">
        <v>311</v>
      </c>
      <c r="K312" s="165">
        <v>46.12254</v>
      </c>
      <c r="L312" s="165">
        <v>-91.21304</v>
      </c>
      <c r="M312" s="10">
        <v>16.5</v>
      </c>
      <c r="R312" s="17"/>
      <c r="S312" s="17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EZ312" s="146"/>
      <c r="FA312" s="146"/>
      <c r="FB312" s="146"/>
      <c r="FC312" s="146"/>
      <c r="FD312" s="146"/>
    </row>
    <row r="313" spans="2:160" ht="12.75">
      <c r="B313" s="96">
        <f>COUNT(R313:EY313,FE313:FM313)</f>
        <v>0</v>
      </c>
      <c r="C313" s="96">
        <f>IF(COUNT(R313:EY313,FE313:FM313)&gt;0,COUNT(R313:EY313,FE313:FM313),"")</f>
      </c>
      <c r="D313" s="96">
        <f>IF(COUNT(T313:BJ313,BL313:BT313,BV313:CB313,CD313:EY313,FE313:FM313)&gt;0,COUNT(T313:BJ313,BL313:BT313,BV313:CB313,CD313:EY313,FE313:FM313),"")</f>
      </c>
      <c r="E313" s="96">
        <f>IF(H313=1,COUNT(R313:EY313,FE313:FM313),"")</f>
      </c>
      <c r="F313" s="96">
        <f>IF(H313=1,COUNT(T313:BJ313,BL313:BT313,BV313:CB313,CD313:EY313,FE313:FM313),"")</f>
      </c>
      <c r="G313" s="96">
        <f>IF($B313&gt;=1,$M313,"")</f>
      </c>
      <c r="H313" s="149">
        <f>IF(AND(M313&gt;0,M313&lt;=STATS!$C$22),1,"")</f>
      </c>
      <c r="J313" s="34">
        <v>312</v>
      </c>
      <c r="K313" s="165">
        <v>46.12254</v>
      </c>
      <c r="L313" s="165">
        <v>-91.21257</v>
      </c>
      <c r="M313" s="10">
        <v>19.5</v>
      </c>
      <c r="R313" s="17"/>
      <c r="S313" s="17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EZ313" s="146"/>
      <c r="FA313" s="146"/>
      <c r="FB313" s="146"/>
      <c r="FC313" s="146"/>
      <c r="FD313" s="146"/>
    </row>
    <row r="314" spans="2:160" ht="12.75">
      <c r="B314" s="96">
        <f>COUNT(R314:EY314,FE314:FM314)</f>
        <v>0</v>
      </c>
      <c r="C314" s="96">
        <f>IF(COUNT(R314:EY314,FE314:FM314)&gt;0,COUNT(R314:EY314,FE314:FM314),"")</f>
      </c>
      <c r="D314" s="96">
        <f>IF(COUNT(T314:BJ314,BL314:BT314,BV314:CB314,CD314:EY314,FE314:FM314)&gt;0,COUNT(T314:BJ314,BL314:BT314,BV314:CB314,CD314:EY314,FE314:FM314),"")</f>
      </c>
      <c r="E314" s="96">
        <f>IF(H314=1,COUNT(R314:EY314,FE314:FM314),"")</f>
      </c>
      <c r="F314" s="96">
        <f>IF(H314=1,COUNT(T314:BJ314,BL314:BT314,BV314:CB314,CD314:EY314,FE314:FM314),"")</f>
      </c>
      <c r="G314" s="96">
        <f>IF($B314&gt;=1,$M314,"")</f>
      </c>
      <c r="H314" s="149">
        <f>IF(AND(M314&gt;0,M314&lt;=STATS!$C$22),1,"")</f>
      </c>
      <c r="J314" s="34">
        <v>313</v>
      </c>
      <c r="K314" s="165">
        <v>46.12255</v>
      </c>
      <c r="L314" s="165">
        <v>-91.21211</v>
      </c>
      <c r="M314" s="10">
        <v>19.5</v>
      </c>
      <c r="R314" s="17"/>
      <c r="S314" s="17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EZ314" s="146"/>
      <c r="FA314" s="146"/>
      <c r="FB314" s="146"/>
      <c r="FC314" s="146"/>
      <c r="FD314" s="146"/>
    </row>
    <row r="315" spans="2:160" ht="12.75">
      <c r="B315" s="96">
        <f>COUNT(R315:EY315,FE315:FM315)</f>
        <v>0</v>
      </c>
      <c r="C315" s="96">
        <f>IF(COUNT(R315:EY315,FE315:FM315)&gt;0,COUNT(R315:EY315,FE315:FM315),"")</f>
      </c>
      <c r="D315" s="96">
        <f>IF(COUNT(T315:BJ315,BL315:BT315,BV315:CB315,CD315:EY315,FE315:FM315)&gt;0,COUNT(T315:BJ315,BL315:BT315,BV315:CB315,CD315:EY315,FE315:FM315),"")</f>
      </c>
      <c r="E315" s="96">
        <f>IF(H315=1,COUNT(R315:EY315,FE315:FM315),"")</f>
      </c>
      <c r="F315" s="96">
        <f>IF(H315=1,COUNT(T315:BJ315,BL315:BT315,BV315:CB315,CD315:EY315,FE315:FM315),"")</f>
      </c>
      <c r="G315" s="96">
        <f>IF($B315&gt;=1,$M315,"")</f>
      </c>
      <c r="H315" s="149">
        <f>IF(AND(M315&gt;0,M315&lt;=STATS!$C$22),1,"")</f>
      </c>
      <c r="J315" s="34">
        <v>314</v>
      </c>
      <c r="K315" s="165">
        <v>46.12255</v>
      </c>
      <c r="L315" s="165">
        <v>-91.21164</v>
      </c>
      <c r="M315" s="10">
        <v>18.5</v>
      </c>
      <c r="R315" s="17"/>
      <c r="S315" s="17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EZ315" s="146"/>
      <c r="FA315" s="146"/>
      <c r="FB315" s="146"/>
      <c r="FC315" s="146"/>
      <c r="FD315" s="146"/>
    </row>
    <row r="316" spans="2:160" ht="12.75">
      <c r="B316" s="96">
        <f>COUNT(R316:EY316,FE316:FM316)</f>
        <v>0</v>
      </c>
      <c r="C316" s="96">
        <f>IF(COUNT(R316:EY316,FE316:FM316)&gt;0,COUNT(R316:EY316,FE316:FM316),"")</f>
      </c>
      <c r="D316" s="96">
        <f>IF(COUNT(T316:BJ316,BL316:BT316,BV316:CB316,CD316:EY316,FE316:FM316)&gt;0,COUNT(T316:BJ316,BL316:BT316,BV316:CB316,CD316:EY316,FE316:FM316),"")</f>
      </c>
      <c r="E316" s="96">
        <f>IF(H316=1,COUNT(R316:EY316,FE316:FM316),"")</f>
      </c>
      <c r="F316" s="96">
        <f>IF(H316=1,COUNT(T316:BJ316,BL316:BT316,BV316:CB316,CD316:EY316,FE316:FM316),"")</f>
      </c>
      <c r="G316" s="96">
        <f>IF($B316&gt;=1,$M316,"")</f>
      </c>
      <c r="H316" s="149">
        <f>IF(AND(M316&gt;0,M316&lt;=STATS!$C$22),1,"")</f>
      </c>
      <c r="J316" s="34">
        <v>315</v>
      </c>
      <c r="K316" s="165">
        <v>46.12256</v>
      </c>
      <c r="L316" s="165">
        <v>-91.21118</v>
      </c>
      <c r="M316" s="10">
        <v>16.5</v>
      </c>
      <c r="R316" s="17"/>
      <c r="S316" s="17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EZ316" s="146"/>
      <c r="FA316" s="146"/>
      <c r="FB316" s="146"/>
      <c r="FC316" s="146"/>
      <c r="FD316" s="146"/>
    </row>
    <row r="317" spans="2:160" ht="12.75">
      <c r="B317" s="96">
        <f>COUNT(R317:EY317,FE317:FM317)</f>
        <v>0</v>
      </c>
      <c r="C317" s="96">
        <f>IF(COUNT(R317:EY317,FE317:FM317)&gt;0,COUNT(R317:EY317,FE317:FM317),"")</f>
      </c>
      <c r="D317" s="96">
        <f>IF(COUNT(T317:BJ317,BL317:BT317,BV317:CB317,CD317:EY317,FE317:FM317)&gt;0,COUNT(T317:BJ317,BL317:BT317,BV317:CB317,CD317:EY317,FE317:FM317),"")</f>
      </c>
      <c r="E317" s="96">
        <f>IF(H317=1,COUNT(R317:EY317,FE317:FM317),"")</f>
      </c>
      <c r="F317" s="96">
        <f>IF(H317=1,COUNT(T317:BJ317,BL317:BT317,BV317:CB317,CD317:EY317,FE317:FM317),"")</f>
      </c>
      <c r="G317" s="96">
        <f>IF($B317&gt;=1,$M317,"")</f>
      </c>
      <c r="H317" s="149">
        <f>IF(AND(M317&gt;0,M317&lt;=STATS!$C$22),1,"")</f>
      </c>
      <c r="J317" s="34">
        <v>316</v>
      </c>
      <c r="K317" s="165">
        <v>46.12256</v>
      </c>
      <c r="L317" s="165">
        <v>-91.21071</v>
      </c>
      <c r="M317" s="10">
        <v>14.5</v>
      </c>
      <c r="N317" s="10" t="s">
        <v>563</v>
      </c>
      <c r="O317" s="190" t="s">
        <v>648</v>
      </c>
      <c r="R317" s="17"/>
      <c r="S317" s="17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EZ317" s="146"/>
      <c r="FA317" s="146"/>
      <c r="FB317" s="146"/>
      <c r="FC317" s="146"/>
      <c r="FD317" s="146"/>
    </row>
    <row r="318" spans="2:160" ht="12.75">
      <c r="B318" s="96">
        <f>COUNT(R318:EY318,FE318:FM318)</f>
        <v>0</v>
      </c>
      <c r="C318" s="96">
        <f>IF(COUNT(R318:EY318,FE318:FM318)&gt;0,COUNT(R318:EY318,FE318:FM318),"")</f>
      </c>
      <c r="D318" s="96">
        <f>IF(COUNT(T318:BJ318,BL318:BT318,BV318:CB318,CD318:EY318,FE318:FM318)&gt;0,COUNT(T318:BJ318,BL318:BT318,BV318:CB318,CD318:EY318,FE318:FM318),"")</f>
      </c>
      <c r="E318" s="96">
        <f>IF(H318=1,COUNT(R318:EY318,FE318:FM318),"")</f>
        <v>0</v>
      </c>
      <c r="F318" s="96">
        <f>IF(H318=1,COUNT(T318:BJ318,BL318:BT318,BV318:CB318,CD318:EY318,FE318:FM318),"")</f>
        <v>0</v>
      </c>
      <c r="G318" s="96">
        <f>IF($B318&gt;=1,$M318,"")</f>
      </c>
      <c r="H318" s="149">
        <f>IF(AND(M318&gt;0,M318&lt;=STATS!$C$22),1,"")</f>
        <v>1</v>
      </c>
      <c r="J318" s="34">
        <v>317</v>
      </c>
      <c r="K318" s="165">
        <v>46.12257</v>
      </c>
      <c r="L318" s="165">
        <v>-91.21024</v>
      </c>
      <c r="M318" s="10">
        <v>12.5</v>
      </c>
      <c r="N318" s="10" t="s">
        <v>563</v>
      </c>
      <c r="O318" s="190" t="s">
        <v>648</v>
      </c>
      <c r="R318" s="17"/>
      <c r="S318" s="17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EZ318" s="146"/>
      <c r="FA318" s="146"/>
      <c r="FB318" s="146"/>
      <c r="FC318" s="146"/>
      <c r="FD318" s="146"/>
    </row>
    <row r="319" spans="2:160" ht="12.75">
      <c r="B319" s="96">
        <f>COUNT(R319:EY319,FE319:FM319)</f>
        <v>1</v>
      </c>
      <c r="C319" s="96">
        <f>IF(COUNT(R319:EY319,FE319:FM319)&gt;0,COUNT(R319:EY319,FE319:FM319),"")</f>
        <v>1</v>
      </c>
      <c r="D319" s="96">
        <f>IF(COUNT(T319:BJ319,BL319:BT319,BV319:CB319,CD319:EY319,FE319:FM319)&gt;0,COUNT(T319:BJ319,BL319:BT319,BV319:CB319,CD319:EY319,FE319:FM319),"")</f>
        <v>1</v>
      </c>
      <c r="E319" s="96">
        <f>IF(H319=1,COUNT(R319:EY319,FE319:FM319),"")</f>
        <v>1</v>
      </c>
      <c r="F319" s="96">
        <f>IF(H319=1,COUNT(T319:BJ319,BL319:BT319,BV319:CB319,CD319:EY319,FE319:FM319),"")</f>
        <v>1</v>
      </c>
      <c r="G319" s="96">
        <f>IF($B319&gt;=1,$M319,"")</f>
        <v>10</v>
      </c>
      <c r="H319" s="149">
        <f>IF(AND(M319&gt;0,M319&lt;=STATS!$C$22),1,"")</f>
        <v>1</v>
      </c>
      <c r="J319" s="34">
        <v>318</v>
      </c>
      <c r="K319" s="165">
        <v>46.12257</v>
      </c>
      <c r="L319" s="165">
        <v>-91.20978</v>
      </c>
      <c r="M319" s="10">
        <v>10</v>
      </c>
      <c r="N319" s="10" t="s">
        <v>563</v>
      </c>
      <c r="O319" s="190" t="s">
        <v>648</v>
      </c>
      <c r="Q319" s="10">
        <v>1</v>
      </c>
      <c r="R319" s="17"/>
      <c r="S319" s="17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BW319" s="10">
        <v>1</v>
      </c>
      <c r="EZ319" s="146"/>
      <c r="FA319" s="146"/>
      <c r="FB319" s="146"/>
      <c r="FC319" s="146"/>
      <c r="FD319" s="146"/>
    </row>
    <row r="320" spans="2:160" ht="12.75">
      <c r="B320" s="96">
        <f>COUNT(R320:EY320,FE320:FM320)</f>
        <v>7</v>
      </c>
      <c r="C320" s="96">
        <f>IF(COUNT(R320:EY320,FE320:FM320)&gt;0,COUNT(R320:EY320,FE320:FM320),"")</f>
        <v>7</v>
      </c>
      <c r="D320" s="96">
        <f>IF(COUNT(T320:BJ320,BL320:BT320,BV320:CB320,CD320:EY320,FE320:FM320)&gt;0,COUNT(T320:BJ320,BL320:BT320,BV320:CB320,CD320:EY320,FE320:FM320),"")</f>
        <v>7</v>
      </c>
      <c r="E320" s="96">
        <f>IF(H320=1,COUNT(R320:EY320,FE320:FM320),"")</f>
        <v>7</v>
      </c>
      <c r="F320" s="96">
        <f>IF(H320=1,COUNT(T320:BJ320,BL320:BT320,BV320:CB320,CD320:EY320,FE320:FM320),"")</f>
        <v>7</v>
      </c>
      <c r="G320" s="96">
        <f>IF($B320&gt;=1,$M320,"")</f>
        <v>3.5</v>
      </c>
      <c r="H320" s="149">
        <f>IF(AND(M320&gt;0,M320&lt;=STATS!$C$22),1,"")</f>
        <v>1</v>
      </c>
      <c r="J320" s="34">
        <v>319</v>
      </c>
      <c r="K320" s="165">
        <v>46.12258</v>
      </c>
      <c r="L320" s="165">
        <v>-91.20931</v>
      </c>
      <c r="M320" s="10">
        <v>3.5</v>
      </c>
      <c r="N320" s="10" t="s">
        <v>563</v>
      </c>
      <c r="O320" s="190" t="s">
        <v>648</v>
      </c>
      <c r="Q320" s="10">
        <v>2</v>
      </c>
      <c r="R320" s="17"/>
      <c r="S320" s="17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>
        <v>2</v>
      </c>
      <c r="AF320" s="36"/>
      <c r="AG320" s="36"/>
      <c r="AH320" s="36"/>
      <c r="AW320" s="10">
        <v>1</v>
      </c>
      <c r="CB320" s="10">
        <v>1</v>
      </c>
      <c r="CO320" s="10">
        <v>2</v>
      </c>
      <c r="CY320" s="10">
        <v>1</v>
      </c>
      <c r="DA320" s="10">
        <v>1</v>
      </c>
      <c r="DE320" s="10">
        <v>1</v>
      </c>
      <c r="EZ320" s="146"/>
      <c r="FA320" s="146"/>
      <c r="FB320" s="146"/>
      <c r="FC320" s="146"/>
      <c r="FD320" s="146"/>
    </row>
    <row r="321" spans="2:160" ht="12.75">
      <c r="B321" s="96">
        <f>COUNT(R321:EY321,FE321:FM321)</f>
        <v>10</v>
      </c>
      <c r="C321" s="96">
        <f>IF(COUNT(R321:EY321,FE321:FM321)&gt;0,COUNT(R321:EY321,FE321:FM321),"")</f>
        <v>10</v>
      </c>
      <c r="D321" s="96">
        <f>IF(COUNT(T321:BJ321,BL321:BT321,BV321:CB321,CD321:EY321,FE321:FM321)&gt;0,COUNT(T321:BJ321,BL321:BT321,BV321:CB321,CD321:EY321,FE321:FM321),"")</f>
        <v>10</v>
      </c>
      <c r="E321" s="96">
        <f>IF(H321=1,COUNT(R321:EY321,FE321:FM321),"")</f>
        <v>10</v>
      </c>
      <c r="F321" s="96">
        <f>IF(H321=1,COUNT(T321:BJ321,BL321:BT321,BV321:CB321,CD321:EY321,FE321:FM321),"")</f>
        <v>10</v>
      </c>
      <c r="G321" s="96">
        <f>IF($B321&gt;=1,$M321,"")</f>
        <v>2.5</v>
      </c>
      <c r="H321" s="149">
        <f>IF(AND(M321&gt;0,M321&lt;=STATS!$C$22),1,"")</f>
        <v>1</v>
      </c>
      <c r="J321" s="34">
        <v>320</v>
      </c>
      <c r="K321" s="165">
        <v>46.12279</v>
      </c>
      <c r="L321" s="165">
        <v>-91.22003</v>
      </c>
      <c r="M321" s="10">
        <v>2.5</v>
      </c>
      <c r="N321" s="10" t="s">
        <v>563</v>
      </c>
      <c r="O321" s="190" t="s">
        <v>648</v>
      </c>
      <c r="Q321" s="10">
        <v>3</v>
      </c>
      <c r="R321" s="17"/>
      <c r="S321" s="17"/>
      <c r="T321" s="36"/>
      <c r="U321" s="36"/>
      <c r="V321" s="36"/>
      <c r="W321" s="36"/>
      <c r="X321" s="36">
        <v>2</v>
      </c>
      <c r="Y321" s="36"/>
      <c r="Z321" s="36"/>
      <c r="AA321" s="36"/>
      <c r="AB321" s="36"/>
      <c r="AC321" s="36"/>
      <c r="AD321" s="36"/>
      <c r="AE321" s="36">
        <v>1</v>
      </c>
      <c r="AF321" s="36"/>
      <c r="AG321" s="36">
        <v>1</v>
      </c>
      <c r="AH321" s="36"/>
      <c r="AQ321" s="10">
        <v>1</v>
      </c>
      <c r="AW321" s="10">
        <v>1</v>
      </c>
      <c r="CA321" s="10">
        <v>2</v>
      </c>
      <c r="CB321" s="10">
        <v>2</v>
      </c>
      <c r="CG321" s="10">
        <v>1</v>
      </c>
      <c r="CI321" s="10" t="s">
        <v>566</v>
      </c>
      <c r="CY321" s="10" t="s">
        <v>566</v>
      </c>
      <c r="DA321" s="10">
        <v>1</v>
      </c>
      <c r="DY321" s="10">
        <v>1</v>
      </c>
      <c r="EZ321" s="146"/>
      <c r="FA321" s="146"/>
      <c r="FB321" s="146"/>
      <c r="FC321" s="146"/>
      <c r="FD321" s="146"/>
    </row>
    <row r="322" spans="2:160" ht="12.75">
      <c r="B322" s="96">
        <f>COUNT(R322:EY322,FE322:FM322)</f>
        <v>1</v>
      </c>
      <c r="C322" s="96">
        <f>IF(COUNT(R322:EY322,FE322:FM322)&gt;0,COUNT(R322:EY322,FE322:FM322),"")</f>
        <v>1</v>
      </c>
      <c r="D322" s="96">
        <f>IF(COUNT(T322:BJ322,BL322:BT322,BV322:CB322,CD322:EY322,FE322:FM322)&gt;0,COUNT(T322:BJ322,BL322:BT322,BV322:CB322,CD322:EY322,FE322:FM322),"")</f>
        <v>1</v>
      </c>
      <c r="E322" s="96">
        <f>IF(H322=1,COUNT(R322:EY322,FE322:FM322),"")</f>
        <v>1</v>
      </c>
      <c r="F322" s="96">
        <f>IF(H322=1,COUNT(T322:BJ322,BL322:BT322,BV322:CB322,CD322:EY322,FE322:FM322),"")</f>
        <v>1</v>
      </c>
      <c r="G322" s="96">
        <f>IF($B322&gt;=1,$M322,"")</f>
        <v>10.5</v>
      </c>
      <c r="H322" s="149">
        <f>IF(AND(M322&gt;0,M322&lt;=STATS!$C$22),1,"")</f>
        <v>1</v>
      </c>
      <c r="J322" s="34">
        <v>321</v>
      </c>
      <c r="K322" s="165">
        <v>46.12279</v>
      </c>
      <c r="L322" s="165">
        <v>-91.21957</v>
      </c>
      <c r="M322" s="10">
        <v>10.5</v>
      </c>
      <c r="N322" s="10" t="s">
        <v>563</v>
      </c>
      <c r="O322" s="190" t="s">
        <v>648</v>
      </c>
      <c r="Q322" s="10">
        <v>1</v>
      </c>
      <c r="R322" s="17"/>
      <c r="S322" s="17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BW322" s="10">
        <v>1</v>
      </c>
      <c r="EZ322" s="146"/>
      <c r="FA322" s="146"/>
      <c r="FB322" s="146"/>
      <c r="FC322" s="146"/>
      <c r="FD322" s="146"/>
    </row>
    <row r="323" spans="2:160" ht="12.75">
      <c r="B323" s="96">
        <f>COUNT(R323:EY323,FE323:FM323)</f>
        <v>1</v>
      </c>
      <c r="C323" s="96">
        <f>IF(COUNT(R323:EY323,FE323:FM323)&gt;0,COUNT(R323:EY323,FE323:FM323),"")</f>
        <v>1</v>
      </c>
      <c r="D323" s="96">
        <f>IF(COUNT(T323:BJ323,BL323:BT323,BV323:CB323,CD323:EY323,FE323:FM323)&gt;0,COUNT(T323:BJ323,BL323:BT323,BV323:CB323,CD323:EY323,FE323:FM323),"")</f>
        <v>1</v>
      </c>
      <c r="E323" s="96">
        <f>IF(H323=1,COUNT(R323:EY323,FE323:FM323),"")</f>
        <v>1</v>
      </c>
      <c r="F323" s="96">
        <f>IF(H323=1,COUNT(T323:BJ323,BL323:BT323,BV323:CB323,CD323:EY323,FE323:FM323),"")</f>
        <v>1</v>
      </c>
      <c r="G323" s="96">
        <f>IF($B323&gt;=1,$M323,"")</f>
        <v>12.5</v>
      </c>
      <c r="H323" s="149">
        <f>IF(AND(M323&gt;0,M323&lt;=STATS!$C$22),1,"")</f>
        <v>1</v>
      </c>
      <c r="J323" s="34">
        <v>322</v>
      </c>
      <c r="K323" s="165">
        <v>46.1228</v>
      </c>
      <c r="L323" s="165">
        <v>-91.2191</v>
      </c>
      <c r="M323" s="10">
        <v>12.5</v>
      </c>
      <c r="N323" s="10" t="s">
        <v>563</v>
      </c>
      <c r="O323" s="190" t="s">
        <v>648</v>
      </c>
      <c r="Q323" s="10">
        <v>1</v>
      </c>
      <c r="R323" s="17"/>
      <c r="S323" s="17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CY323" s="10">
        <v>1</v>
      </c>
      <c r="EZ323" s="146"/>
      <c r="FA323" s="146"/>
      <c r="FB323" s="146"/>
      <c r="FC323" s="146"/>
      <c r="FD323" s="146"/>
    </row>
    <row r="324" spans="2:160" ht="12.75">
      <c r="B324" s="96">
        <f>COUNT(R324:EY324,FE324:FM324)</f>
        <v>0</v>
      </c>
      <c r="C324" s="96">
        <f>IF(COUNT(R324:EY324,FE324:FM324)&gt;0,COUNT(R324:EY324,FE324:FM324),"")</f>
      </c>
      <c r="D324" s="96">
        <f>IF(COUNT(T324:BJ324,BL324:BT324,BV324:CB324,CD324:EY324,FE324:FM324)&gt;0,COUNT(T324:BJ324,BL324:BT324,BV324:CB324,CD324:EY324,FE324:FM324),"")</f>
      </c>
      <c r="E324" s="96">
        <f>IF(H324=1,COUNT(R324:EY324,FE324:FM324),"")</f>
        <v>0</v>
      </c>
      <c r="F324" s="96">
        <f>IF(H324=1,COUNT(T324:BJ324,BL324:BT324,BV324:CB324,CD324:EY324,FE324:FM324),"")</f>
        <v>0</v>
      </c>
      <c r="G324" s="96">
        <f>IF($B324&gt;=1,$M324,"")</f>
      </c>
      <c r="H324" s="149">
        <f>IF(AND(M324&gt;0,M324&lt;=STATS!$C$22),1,"")</f>
        <v>1</v>
      </c>
      <c r="J324" s="34">
        <v>323</v>
      </c>
      <c r="K324" s="165">
        <v>46.1228</v>
      </c>
      <c r="L324" s="165">
        <v>-91.21864</v>
      </c>
      <c r="M324" s="10">
        <v>11.5</v>
      </c>
      <c r="N324" s="10" t="s">
        <v>563</v>
      </c>
      <c r="O324" s="190" t="s">
        <v>648</v>
      </c>
      <c r="R324" s="17"/>
      <c r="S324" s="17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EZ324" s="146"/>
      <c r="FA324" s="146"/>
      <c r="FB324" s="146"/>
      <c r="FC324" s="146"/>
      <c r="FD324" s="146"/>
    </row>
    <row r="325" spans="2:160" ht="12.75">
      <c r="B325" s="96">
        <f>COUNT(R325:EY325,FE325:FM325)</f>
        <v>0</v>
      </c>
      <c r="C325" s="96">
        <f>IF(COUNT(R325:EY325,FE325:FM325)&gt;0,COUNT(R325:EY325,FE325:FM325),"")</f>
      </c>
      <c r="D325" s="96">
        <f>IF(COUNT(T325:BJ325,BL325:BT325,BV325:CB325,CD325:EY325,FE325:FM325)&gt;0,COUNT(T325:BJ325,BL325:BT325,BV325:CB325,CD325:EY325,FE325:FM325),"")</f>
      </c>
      <c r="E325" s="96">
        <f>IF(H325=1,COUNT(R325:EY325,FE325:FM325),"")</f>
        <v>0</v>
      </c>
      <c r="F325" s="96">
        <f>IF(H325=1,COUNT(T325:BJ325,BL325:BT325,BV325:CB325,CD325:EY325,FE325:FM325),"")</f>
        <v>0</v>
      </c>
      <c r="G325" s="96">
        <f>IF($B325&gt;=1,$M325,"")</f>
      </c>
      <c r="H325" s="149">
        <f>IF(AND(M325&gt;0,M325&lt;=STATS!$C$22),1,"")</f>
        <v>1</v>
      </c>
      <c r="J325" s="34">
        <v>324</v>
      </c>
      <c r="K325" s="165">
        <v>46.12281</v>
      </c>
      <c r="L325" s="165">
        <v>-91.21817</v>
      </c>
      <c r="M325" s="10">
        <v>13</v>
      </c>
      <c r="N325" s="10" t="s">
        <v>563</v>
      </c>
      <c r="O325" s="190" t="s">
        <v>648</v>
      </c>
      <c r="R325" s="17"/>
      <c r="S325" s="17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EZ325" s="146"/>
      <c r="FA325" s="146"/>
      <c r="FB325" s="146"/>
      <c r="FC325" s="146"/>
      <c r="FD325" s="146"/>
    </row>
    <row r="326" spans="2:160" ht="12.75">
      <c r="B326" s="96">
        <f>COUNT(R326:EY326,FE326:FM326)</f>
        <v>0</v>
      </c>
      <c r="C326" s="96">
        <f>IF(COUNT(R326:EY326,FE326:FM326)&gt;0,COUNT(R326:EY326,FE326:FM326),"")</f>
      </c>
      <c r="D326" s="96">
        <f>IF(COUNT(T326:BJ326,BL326:BT326,BV326:CB326,CD326:EY326,FE326:FM326)&gt;0,COUNT(T326:BJ326,BL326:BT326,BV326:CB326,CD326:EY326,FE326:FM326),"")</f>
      </c>
      <c r="E326" s="96">
        <f>IF(H326=1,COUNT(R326:EY326,FE326:FM326),"")</f>
        <v>0</v>
      </c>
      <c r="F326" s="96">
        <f>IF(H326=1,COUNT(T326:BJ326,BL326:BT326,BV326:CB326,CD326:EY326,FE326:FM326),"")</f>
        <v>0</v>
      </c>
      <c r="G326" s="96">
        <f>IF($B326&gt;=1,$M326,"")</f>
      </c>
      <c r="H326" s="149">
        <f>IF(AND(M326&gt;0,M326&lt;=STATS!$C$22),1,"")</f>
        <v>1</v>
      </c>
      <c r="J326" s="34">
        <v>325</v>
      </c>
      <c r="K326" s="165">
        <v>46.12281</v>
      </c>
      <c r="L326" s="165">
        <v>-91.2177</v>
      </c>
      <c r="M326" s="10">
        <v>13.5</v>
      </c>
      <c r="N326" s="10" t="s">
        <v>563</v>
      </c>
      <c r="O326" s="190" t="s">
        <v>648</v>
      </c>
      <c r="R326" s="17"/>
      <c r="S326" s="17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EZ326" s="146"/>
      <c r="FA326" s="146"/>
      <c r="FB326" s="146"/>
      <c r="FC326" s="146"/>
      <c r="FD326" s="146"/>
    </row>
    <row r="327" spans="2:160" ht="12.75">
      <c r="B327" s="96">
        <f>COUNT(R327:EY327,FE327:FM327)</f>
        <v>0</v>
      </c>
      <c r="C327" s="96">
        <f>IF(COUNT(R327:EY327,FE327:FM327)&gt;0,COUNT(R327:EY327,FE327:FM327),"")</f>
      </c>
      <c r="D327" s="96">
        <f>IF(COUNT(T327:BJ327,BL327:BT327,BV327:CB327,CD327:EY327,FE327:FM327)&gt;0,COUNT(T327:BJ327,BL327:BT327,BV327:CB327,CD327:EY327,FE327:FM327),"")</f>
      </c>
      <c r="E327" s="96">
        <f>IF(H327=1,COUNT(R327:EY327,FE327:FM327),"")</f>
      </c>
      <c r="F327" s="96">
        <f>IF(H327=1,COUNT(T327:BJ327,BL327:BT327,BV327:CB327,CD327:EY327,FE327:FM327),"")</f>
      </c>
      <c r="G327" s="96">
        <f>IF($B327&gt;=1,$M327,"")</f>
      </c>
      <c r="H327" s="149">
        <f>IF(AND(M327&gt;0,M327&lt;=STATS!$C$22),1,"")</f>
      </c>
      <c r="J327" s="34">
        <v>326</v>
      </c>
      <c r="K327" s="165">
        <v>46.12282</v>
      </c>
      <c r="L327" s="165">
        <v>-91.21724</v>
      </c>
      <c r="M327" s="10">
        <v>14.5</v>
      </c>
      <c r="N327" s="10" t="s">
        <v>563</v>
      </c>
      <c r="O327" s="190" t="s">
        <v>648</v>
      </c>
      <c r="R327" s="17"/>
      <c r="S327" s="17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EZ327" s="146"/>
      <c r="FA327" s="146"/>
      <c r="FB327" s="146"/>
      <c r="FC327" s="146"/>
      <c r="FD327" s="146"/>
    </row>
    <row r="328" spans="2:160" ht="12.75">
      <c r="B328" s="96">
        <f>COUNT(R328:EY328,FE328:FM328)</f>
        <v>0</v>
      </c>
      <c r="C328" s="96">
        <f>IF(COUNT(R328:EY328,FE328:FM328)&gt;0,COUNT(R328:EY328,FE328:FM328),"")</f>
      </c>
      <c r="D328" s="96">
        <f>IF(COUNT(T328:BJ328,BL328:BT328,BV328:CB328,CD328:EY328,FE328:FM328)&gt;0,COUNT(T328:BJ328,BL328:BT328,BV328:CB328,CD328:EY328,FE328:FM328),"")</f>
      </c>
      <c r="E328" s="96">
        <f>IF(H328=1,COUNT(R328:EY328,FE328:FM328),"")</f>
      </c>
      <c r="F328" s="96">
        <f>IF(H328=1,COUNT(T328:BJ328,BL328:BT328,BV328:CB328,CD328:EY328,FE328:FM328),"")</f>
      </c>
      <c r="G328" s="96">
        <f>IF($B328&gt;=1,$M328,"")</f>
      </c>
      <c r="H328" s="149">
        <f>IF(AND(M328&gt;0,M328&lt;=STATS!$C$22),1,"")</f>
      </c>
      <c r="J328" s="34">
        <v>327</v>
      </c>
      <c r="K328" s="165">
        <v>46.12282</v>
      </c>
      <c r="L328" s="165">
        <v>-91.21677</v>
      </c>
      <c r="M328" s="10">
        <v>16.5</v>
      </c>
      <c r="R328" s="17"/>
      <c r="S328" s="17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EZ328" s="146"/>
      <c r="FA328" s="146"/>
      <c r="FB328" s="146"/>
      <c r="FC328" s="146"/>
      <c r="FD328" s="146"/>
    </row>
    <row r="329" spans="2:160" ht="12.75">
      <c r="B329" s="96">
        <f>COUNT(R329:EY329,FE329:FM329)</f>
        <v>3</v>
      </c>
      <c r="C329" s="96">
        <f>IF(COUNT(R329:EY329,FE329:FM329)&gt;0,COUNT(R329:EY329,FE329:FM329),"")</f>
        <v>3</v>
      </c>
      <c r="D329" s="96">
        <f>IF(COUNT(T329:BJ329,BL329:BT329,BV329:CB329,CD329:EY329,FE329:FM329)&gt;0,COUNT(T329:BJ329,BL329:BT329,BV329:CB329,CD329:EY329,FE329:FM329),"")</f>
        <v>3</v>
      </c>
      <c r="E329" s="96">
        <f>IF(H329=1,COUNT(R329:EY329,FE329:FM329),"")</f>
        <v>3</v>
      </c>
      <c r="F329" s="96">
        <f>IF(H329=1,COUNT(T329:BJ329,BL329:BT329,BV329:CB329,CD329:EY329,FE329:FM329),"")</f>
        <v>3</v>
      </c>
      <c r="G329" s="96">
        <f>IF($B329&gt;=1,$M329,"")</f>
        <v>9.5</v>
      </c>
      <c r="H329" s="149">
        <f>IF(AND(M329&gt;0,M329&lt;=STATS!$C$22),1,"")</f>
        <v>1</v>
      </c>
      <c r="J329" s="34">
        <v>328</v>
      </c>
      <c r="K329" s="165">
        <v>46.12283</v>
      </c>
      <c r="L329" s="165">
        <v>-91.21631</v>
      </c>
      <c r="M329" s="10">
        <v>9.5</v>
      </c>
      <c r="N329" s="10" t="s">
        <v>563</v>
      </c>
      <c r="O329" s="190" t="s">
        <v>648</v>
      </c>
      <c r="Q329" s="10">
        <v>2</v>
      </c>
      <c r="R329" s="17"/>
      <c r="S329" s="17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BR329" s="10">
        <v>1</v>
      </c>
      <c r="BW329" s="10">
        <v>2</v>
      </c>
      <c r="CY329" s="10">
        <v>1</v>
      </c>
      <c r="EZ329" s="146"/>
      <c r="FA329" s="146"/>
      <c r="FB329" s="146"/>
      <c r="FC329" s="146"/>
      <c r="FD329" s="146"/>
    </row>
    <row r="330" spans="2:160" ht="12.75">
      <c r="B330" s="96">
        <f>COUNT(R330:EY330,FE330:FM330)</f>
        <v>1</v>
      </c>
      <c r="C330" s="96">
        <f>IF(COUNT(R330:EY330,FE330:FM330)&gt;0,COUNT(R330:EY330,FE330:FM330),"")</f>
        <v>1</v>
      </c>
      <c r="D330" s="96">
        <f>IF(COUNT(T330:BJ330,BL330:BT330,BV330:CB330,CD330:EY330,FE330:FM330)&gt;0,COUNT(T330:BJ330,BL330:BT330,BV330:CB330,CD330:EY330,FE330:FM330),"")</f>
        <v>1</v>
      </c>
      <c r="E330" s="96">
        <f>IF(H330=1,COUNT(R330:EY330,FE330:FM330),"")</f>
        <v>1</v>
      </c>
      <c r="F330" s="96">
        <f>IF(H330=1,COUNT(T330:BJ330,BL330:BT330,BV330:CB330,CD330:EY330,FE330:FM330),"")</f>
        <v>1</v>
      </c>
      <c r="G330" s="96">
        <f>IF($B330&gt;=1,$M330,"")</f>
        <v>5</v>
      </c>
      <c r="H330" s="149">
        <f>IF(AND(M330&gt;0,M330&lt;=STATS!$C$22),1,"")</f>
        <v>1</v>
      </c>
      <c r="J330" s="34">
        <v>329</v>
      </c>
      <c r="K330" s="165">
        <v>46.12283</v>
      </c>
      <c r="L330" s="165">
        <v>-91.21584</v>
      </c>
      <c r="M330" s="10">
        <v>5</v>
      </c>
      <c r="N330" s="10" t="s">
        <v>565</v>
      </c>
      <c r="O330" s="190" t="s">
        <v>648</v>
      </c>
      <c r="Q330" s="10">
        <v>2</v>
      </c>
      <c r="R330" s="17"/>
      <c r="S330" s="17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>
        <v>2</v>
      </c>
      <c r="AF330" s="36"/>
      <c r="AG330" s="36"/>
      <c r="AH330" s="36"/>
      <c r="BO330" s="10" t="s">
        <v>566</v>
      </c>
      <c r="EZ330" s="146"/>
      <c r="FA330" s="146"/>
      <c r="FB330" s="146">
        <v>2</v>
      </c>
      <c r="FC330" s="146"/>
      <c r="FD330" s="146"/>
    </row>
    <row r="331" spans="2:160" ht="12.75">
      <c r="B331" s="96">
        <f>COUNT(R331:EY331,FE331:FM331)</f>
        <v>0</v>
      </c>
      <c r="C331" s="96">
        <f>IF(COUNT(R331:EY331,FE331:FM331)&gt;0,COUNT(R331:EY331,FE331:FM331),"")</f>
      </c>
      <c r="D331" s="96">
        <f>IF(COUNT(T331:BJ331,BL331:BT331,BV331:CB331,CD331:EY331,FE331:FM331)&gt;0,COUNT(T331:BJ331,BL331:BT331,BV331:CB331,CD331:EY331,FE331:FM331),"")</f>
      </c>
      <c r="E331" s="96">
        <f>IF(H331=1,COUNT(R331:EY331,FE331:FM331),"")</f>
      </c>
      <c r="F331" s="96">
        <f>IF(H331=1,COUNT(T331:BJ331,BL331:BT331,BV331:CB331,CD331:EY331,FE331:FM331),"")</f>
      </c>
      <c r="G331" s="96">
        <f>IF($B331&gt;=1,$M331,"")</f>
      </c>
      <c r="H331" s="149">
        <f>IF(AND(M331&gt;0,M331&lt;=STATS!$C$22),1,"")</f>
      </c>
      <c r="J331" s="34">
        <v>330</v>
      </c>
      <c r="K331" s="165">
        <v>46.12284</v>
      </c>
      <c r="L331" s="165">
        <v>-91.21538</v>
      </c>
      <c r="M331" s="10">
        <v>16</v>
      </c>
      <c r="R331" s="17"/>
      <c r="S331" s="17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EZ331" s="146"/>
      <c r="FA331" s="146"/>
      <c r="FB331" s="146"/>
      <c r="FC331" s="146"/>
      <c r="FD331" s="146"/>
    </row>
    <row r="332" spans="2:160" ht="12.75">
      <c r="B332" s="96">
        <f>COUNT(R332:EY332,FE332:FM332)</f>
        <v>0</v>
      </c>
      <c r="C332" s="96">
        <f>IF(COUNT(R332:EY332,FE332:FM332)&gt;0,COUNT(R332:EY332,FE332:FM332),"")</f>
      </c>
      <c r="D332" s="96">
        <f>IF(COUNT(T332:BJ332,BL332:BT332,BV332:CB332,CD332:EY332,FE332:FM332)&gt;0,COUNT(T332:BJ332,BL332:BT332,BV332:CB332,CD332:EY332,FE332:FM332),"")</f>
      </c>
      <c r="E332" s="96">
        <f>IF(H332=1,COUNT(R332:EY332,FE332:FM332),"")</f>
      </c>
      <c r="F332" s="96">
        <f>IF(H332=1,COUNT(T332:BJ332,BL332:BT332,BV332:CB332,CD332:EY332,FE332:FM332),"")</f>
      </c>
      <c r="G332" s="96">
        <f>IF($B332&gt;=1,$M332,"")</f>
      </c>
      <c r="H332" s="149">
        <f>IF(AND(M332&gt;0,M332&lt;=STATS!$C$22),1,"")</f>
      </c>
      <c r="J332" s="34">
        <v>331</v>
      </c>
      <c r="K332" s="165">
        <v>46.12284</v>
      </c>
      <c r="L332" s="165">
        <v>-91.21491</v>
      </c>
      <c r="M332" s="10">
        <v>23.5</v>
      </c>
      <c r="R332" s="17"/>
      <c r="S332" s="17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EZ332" s="146"/>
      <c r="FA332" s="146"/>
      <c r="FB332" s="146"/>
      <c r="FC332" s="146"/>
      <c r="FD332" s="146"/>
    </row>
    <row r="333" spans="2:160" ht="12.75">
      <c r="B333" s="96">
        <f>COUNT(R333:EY333,FE333:FM333)</f>
        <v>0</v>
      </c>
      <c r="C333" s="96">
        <f>IF(COUNT(R333:EY333,FE333:FM333)&gt;0,COUNT(R333:EY333,FE333:FM333),"")</f>
      </c>
      <c r="D333" s="96">
        <f>IF(COUNT(T333:BJ333,BL333:BT333,BV333:CB333,CD333:EY333,FE333:FM333)&gt;0,COUNT(T333:BJ333,BL333:BT333,BV333:CB333,CD333:EY333,FE333:FM333),"")</f>
      </c>
      <c r="E333" s="96">
        <f>IF(H333=1,COUNT(R333:EY333,FE333:FM333),"")</f>
      </c>
      <c r="F333" s="96">
        <f>IF(H333=1,COUNT(T333:BJ333,BL333:BT333,BV333:CB333,CD333:EY333,FE333:FM333),"")</f>
      </c>
      <c r="G333" s="96">
        <f>IF($B333&gt;=1,$M333,"")</f>
      </c>
      <c r="H333" s="149">
        <f>IF(AND(M333&gt;0,M333&lt;=STATS!$C$22),1,"")</f>
      </c>
      <c r="J333" s="34">
        <v>332</v>
      </c>
      <c r="K333" s="165">
        <v>46.12285</v>
      </c>
      <c r="L333" s="165">
        <v>-91.21444</v>
      </c>
      <c r="M333" s="10">
        <v>25</v>
      </c>
      <c r="R333" s="17"/>
      <c r="S333" s="17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EZ333" s="146"/>
      <c r="FA333" s="146"/>
      <c r="FB333" s="146"/>
      <c r="FC333" s="146"/>
      <c r="FD333" s="146"/>
    </row>
    <row r="334" spans="2:160" ht="12.75">
      <c r="B334" s="96">
        <f>COUNT(R334:EY334,FE334:FM334)</f>
        <v>0</v>
      </c>
      <c r="C334" s="96">
        <f>IF(COUNT(R334:EY334,FE334:FM334)&gt;0,COUNT(R334:EY334,FE334:FM334),"")</f>
      </c>
      <c r="D334" s="96">
        <f>IF(COUNT(T334:BJ334,BL334:BT334,BV334:CB334,CD334:EY334,FE334:FM334)&gt;0,COUNT(T334:BJ334,BL334:BT334,BV334:CB334,CD334:EY334,FE334:FM334),"")</f>
      </c>
      <c r="E334" s="96">
        <f>IF(H334=1,COUNT(R334:EY334,FE334:FM334),"")</f>
      </c>
      <c r="F334" s="96">
        <f>IF(H334=1,COUNT(T334:BJ334,BL334:BT334,BV334:CB334,CD334:EY334,FE334:FM334),"")</f>
      </c>
      <c r="G334" s="96">
        <f>IF($B334&gt;=1,$M334,"")</f>
      </c>
      <c r="H334" s="149">
        <f>IF(AND(M334&gt;0,M334&lt;=STATS!$C$22),1,"")</f>
      </c>
      <c r="J334" s="34">
        <v>333</v>
      </c>
      <c r="K334" s="165">
        <v>46.12285</v>
      </c>
      <c r="L334" s="165">
        <v>-91.21398</v>
      </c>
      <c r="M334" s="10">
        <v>15</v>
      </c>
      <c r="N334" s="10" t="s">
        <v>563</v>
      </c>
      <c r="O334" s="190" t="s">
        <v>648</v>
      </c>
      <c r="R334" s="17"/>
      <c r="S334" s="17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EZ334" s="146"/>
      <c r="FA334" s="146"/>
      <c r="FB334" s="146"/>
      <c r="FC334" s="146"/>
      <c r="FD334" s="146"/>
    </row>
    <row r="335" spans="2:160" ht="12.75">
      <c r="B335" s="96">
        <f>COUNT(R335:EY335,FE335:FM335)</f>
        <v>2</v>
      </c>
      <c r="C335" s="96">
        <f>IF(COUNT(R335:EY335,FE335:FM335)&gt;0,COUNT(R335:EY335,FE335:FM335),"")</f>
        <v>2</v>
      </c>
      <c r="D335" s="96">
        <f>IF(COUNT(T335:BJ335,BL335:BT335,BV335:CB335,CD335:EY335,FE335:FM335)&gt;0,COUNT(T335:BJ335,BL335:BT335,BV335:CB335,CD335:EY335,FE335:FM335),"")</f>
        <v>2</v>
      </c>
      <c r="E335" s="96">
        <f>IF(H335=1,COUNT(R335:EY335,FE335:FM335),"")</f>
        <v>2</v>
      </c>
      <c r="F335" s="96">
        <f>IF(H335=1,COUNT(T335:BJ335,BL335:BT335,BV335:CB335,CD335:EY335,FE335:FM335),"")</f>
        <v>2</v>
      </c>
      <c r="G335" s="96">
        <f>IF($B335&gt;=1,$M335,"")</f>
        <v>9</v>
      </c>
      <c r="H335" s="149">
        <f>IF(AND(M335&gt;0,M335&lt;=STATS!$C$22),1,"")</f>
        <v>1</v>
      </c>
      <c r="J335" s="34">
        <v>334</v>
      </c>
      <c r="K335" s="165">
        <v>46.12286</v>
      </c>
      <c r="L335" s="165">
        <v>-91.21351</v>
      </c>
      <c r="M335" s="10">
        <v>9</v>
      </c>
      <c r="N335" s="10" t="s">
        <v>564</v>
      </c>
      <c r="O335" s="190" t="s">
        <v>648</v>
      </c>
      <c r="Q335" s="10">
        <v>2</v>
      </c>
      <c r="R335" s="17"/>
      <c r="S335" s="17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BR335" s="10">
        <v>1</v>
      </c>
      <c r="BW335" s="10">
        <v>2</v>
      </c>
      <c r="EZ335" s="146"/>
      <c r="FA335" s="146"/>
      <c r="FB335" s="146">
        <v>1</v>
      </c>
      <c r="FC335" s="146"/>
      <c r="FD335" s="146"/>
    </row>
    <row r="336" spans="2:160" ht="12.75">
      <c r="B336" s="96">
        <f>COUNT(R336:EY336,FE336:FM336)</f>
        <v>0</v>
      </c>
      <c r="C336" s="96">
        <f>IF(COUNT(R336:EY336,FE336:FM336)&gt;0,COUNT(R336:EY336,FE336:FM336),"")</f>
      </c>
      <c r="D336" s="96">
        <f>IF(COUNT(T336:BJ336,BL336:BT336,BV336:CB336,CD336:EY336,FE336:FM336)&gt;0,COUNT(T336:BJ336,BL336:BT336,BV336:CB336,CD336:EY336,FE336:FM336),"")</f>
      </c>
      <c r="E336" s="96">
        <f>IF(H336=1,COUNT(R336:EY336,FE336:FM336),"")</f>
      </c>
      <c r="F336" s="96">
        <f>IF(H336=1,COUNT(T336:BJ336,BL336:BT336,BV336:CB336,CD336:EY336,FE336:FM336),"")</f>
      </c>
      <c r="G336" s="96">
        <f>IF($B336&gt;=1,$M336,"")</f>
      </c>
      <c r="H336" s="149">
        <f>IF(AND(M336&gt;0,M336&lt;=STATS!$C$22),1,"")</f>
      </c>
      <c r="J336" s="34">
        <v>335</v>
      </c>
      <c r="K336" s="165">
        <v>46.12286</v>
      </c>
      <c r="L336" s="165">
        <v>-91.21305</v>
      </c>
      <c r="M336" s="10">
        <v>15.5</v>
      </c>
      <c r="R336" s="17"/>
      <c r="S336" s="17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EZ336" s="146"/>
      <c r="FA336" s="146"/>
      <c r="FB336" s="146"/>
      <c r="FC336" s="146"/>
      <c r="FD336" s="146"/>
    </row>
    <row r="337" spans="2:160" ht="12.75">
      <c r="B337" s="96">
        <f>COUNT(R337:EY337,FE337:FM337)</f>
        <v>0</v>
      </c>
      <c r="C337" s="96">
        <f>IF(COUNT(R337:EY337,FE337:FM337)&gt;0,COUNT(R337:EY337,FE337:FM337),"")</f>
      </c>
      <c r="D337" s="96">
        <f>IF(COUNT(T337:BJ337,BL337:BT337,BV337:CB337,CD337:EY337,FE337:FM337)&gt;0,COUNT(T337:BJ337,BL337:BT337,BV337:CB337,CD337:EY337,FE337:FM337),"")</f>
      </c>
      <c r="E337" s="96">
        <f>IF(H337=1,COUNT(R337:EY337,FE337:FM337),"")</f>
      </c>
      <c r="F337" s="96">
        <f>IF(H337=1,COUNT(T337:BJ337,BL337:BT337,BV337:CB337,CD337:EY337,FE337:FM337),"")</f>
      </c>
      <c r="G337" s="96">
        <f>IF($B337&gt;=1,$M337,"")</f>
      </c>
      <c r="H337" s="149">
        <f>IF(AND(M337&gt;0,M337&lt;=STATS!$C$22),1,"")</f>
      </c>
      <c r="J337" s="34">
        <v>336</v>
      </c>
      <c r="K337" s="165">
        <v>46.12286</v>
      </c>
      <c r="L337" s="165">
        <v>-91.21258</v>
      </c>
      <c r="M337" s="10">
        <v>17.5</v>
      </c>
      <c r="R337" s="17"/>
      <c r="S337" s="17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EZ337" s="146"/>
      <c r="FA337" s="146"/>
      <c r="FB337" s="146"/>
      <c r="FC337" s="146"/>
      <c r="FD337" s="146"/>
    </row>
    <row r="338" spans="2:160" ht="12.75">
      <c r="B338" s="96">
        <f>COUNT(R338:EY338,FE338:FM338)</f>
        <v>0</v>
      </c>
      <c r="C338" s="96">
        <f>IF(COUNT(R338:EY338,FE338:FM338)&gt;0,COUNT(R338:EY338,FE338:FM338),"")</f>
      </c>
      <c r="D338" s="96">
        <f>IF(COUNT(T338:BJ338,BL338:BT338,BV338:CB338,CD338:EY338,FE338:FM338)&gt;0,COUNT(T338:BJ338,BL338:BT338,BV338:CB338,CD338:EY338,FE338:FM338),"")</f>
      </c>
      <c r="E338" s="96">
        <f>IF(H338=1,COUNT(R338:EY338,FE338:FM338),"")</f>
      </c>
      <c r="F338" s="96">
        <f>IF(H338=1,COUNT(T338:BJ338,BL338:BT338,BV338:CB338,CD338:EY338,FE338:FM338),"")</f>
      </c>
      <c r="G338" s="96">
        <f>IF($B338&gt;=1,$M338,"")</f>
      </c>
      <c r="H338" s="149">
        <f>IF(AND(M338&gt;0,M338&lt;=STATS!$C$22),1,"")</f>
      </c>
      <c r="J338" s="34">
        <v>337</v>
      </c>
      <c r="K338" s="165">
        <v>46.12287</v>
      </c>
      <c r="L338" s="165">
        <v>-91.21211</v>
      </c>
      <c r="M338" s="10">
        <v>21</v>
      </c>
      <c r="R338" s="17"/>
      <c r="S338" s="17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EZ338" s="146"/>
      <c r="FA338" s="146"/>
      <c r="FB338" s="146"/>
      <c r="FC338" s="146"/>
      <c r="FD338" s="146"/>
    </row>
    <row r="339" spans="2:160" ht="12.75">
      <c r="B339" s="96">
        <f>COUNT(R339:EY339,FE339:FM339)</f>
        <v>0</v>
      </c>
      <c r="C339" s="96">
        <f>IF(COUNT(R339:EY339,FE339:FM339)&gt;0,COUNT(R339:EY339,FE339:FM339),"")</f>
      </c>
      <c r="D339" s="96">
        <f>IF(COUNT(T339:BJ339,BL339:BT339,BV339:CB339,CD339:EY339,FE339:FM339)&gt;0,COUNT(T339:BJ339,BL339:BT339,BV339:CB339,CD339:EY339,FE339:FM339),"")</f>
      </c>
      <c r="E339" s="96">
        <f>IF(H339=1,COUNT(R339:EY339,FE339:FM339),"")</f>
      </c>
      <c r="F339" s="96">
        <f>IF(H339=1,COUNT(T339:BJ339,BL339:BT339,BV339:CB339,CD339:EY339,FE339:FM339),"")</f>
      </c>
      <c r="G339" s="96">
        <f>IF($B339&gt;=1,$M339,"")</f>
      </c>
      <c r="H339" s="149">
        <f>IF(AND(M339&gt;0,M339&lt;=STATS!$C$22),1,"")</f>
      </c>
      <c r="J339" s="34">
        <v>338</v>
      </c>
      <c r="K339" s="165">
        <v>46.12288</v>
      </c>
      <c r="L339" s="165">
        <v>-91.21165</v>
      </c>
      <c r="M339" s="10">
        <v>19</v>
      </c>
      <c r="R339" s="17"/>
      <c r="S339" s="17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EZ339" s="146"/>
      <c r="FA339" s="146"/>
      <c r="FB339" s="146"/>
      <c r="FC339" s="146"/>
      <c r="FD339" s="146"/>
    </row>
    <row r="340" spans="2:160" ht="12.75">
      <c r="B340" s="96">
        <f>COUNT(R340:EY340,FE340:FM340)</f>
        <v>0</v>
      </c>
      <c r="C340" s="96">
        <f>IF(COUNT(R340:EY340,FE340:FM340)&gt;0,COUNT(R340:EY340,FE340:FM340),"")</f>
      </c>
      <c r="D340" s="96">
        <f>IF(COUNT(T340:BJ340,BL340:BT340,BV340:CB340,CD340:EY340,FE340:FM340)&gt;0,COUNT(T340:BJ340,BL340:BT340,BV340:CB340,CD340:EY340,FE340:FM340),"")</f>
      </c>
      <c r="E340" s="96">
        <f>IF(H340=1,COUNT(R340:EY340,FE340:FM340),"")</f>
      </c>
      <c r="F340" s="96">
        <f>IF(H340=1,COUNT(T340:BJ340,BL340:BT340,BV340:CB340,CD340:EY340,FE340:FM340),"")</f>
      </c>
      <c r="G340" s="96">
        <f>IF($B340&gt;=1,$M340,"")</f>
      </c>
      <c r="H340" s="149">
        <f>IF(AND(M340&gt;0,M340&lt;=STATS!$C$22),1,"")</f>
      </c>
      <c r="J340" s="34">
        <v>339</v>
      </c>
      <c r="K340" s="165">
        <v>46.12288</v>
      </c>
      <c r="L340" s="165">
        <v>-91.21118</v>
      </c>
      <c r="M340" s="10">
        <v>17.5</v>
      </c>
      <c r="R340" s="17"/>
      <c r="S340" s="17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EZ340" s="146"/>
      <c r="FA340" s="146"/>
      <c r="FB340" s="146"/>
      <c r="FC340" s="146"/>
      <c r="FD340" s="146"/>
    </row>
    <row r="341" spans="2:160" ht="12.75">
      <c r="B341" s="96">
        <f>COUNT(R341:EY341,FE341:FM341)</f>
        <v>0</v>
      </c>
      <c r="C341" s="96">
        <f>IF(COUNT(R341:EY341,FE341:FM341)&gt;0,COUNT(R341:EY341,FE341:FM341),"")</f>
      </c>
      <c r="D341" s="96">
        <f>IF(COUNT(T341:BJ341,BL341:BT341,BV341:CB341,CD341:EY341,FE341:FM341)&gt;0,COUNT(T341:BJ341,BL341:BT341,BV341:CB341,CD341:EY341,FE341:FM341),"")</f>
      </c>
      <c r="E341" s="96">
        <f>IF(H341=1,COUNT(R341:EY341,FE341:FM341),"")</f>
        <v>0</v>
      </c>
      <c r="F341" s="96">
        <f>IF(H341=1,COUNT(T341:BJ341,BL341:BT341,BV341:CB341,CD341:EY341,FE341:FM341),"")</f>
        <v>0</v>
      </c>
      <c r="G341" s="96">
        <f>IF($B341&gt;=1,$M341,"")</f>
      </c>
      <c r="H341" s="149">
        <f>IF(AND(M341&gt;0,M341&lt;=STATS!$C$22),1,"")</f>
        <v>1</v>
      </c>
      <c r="J341" s="34">
        <v>340</v>
      </c>
      <c r="K341" s="165">
        <v>46.12289</v>
      </c>
      <c r="L341" s="165">
        <v>-91.21072</v>
      </c>
      <c r="M341" s="10">
        <v>12</v>
      </c>
      <c r="N341" s="10" t="s">
        <v>563</v>
      </c>
      <c r="O341" s="190" t="s">
        <v>648</v>
      </c>
      <c r="R341" s="17"/>
      <c r="S341" s="17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EZ341" s="146"/>
      <c r="FA341" s="146"/>
      <c r="FB341" s="146"/>
      <c r="FC341" s="146"/>
      <c r="FD341" s="146"/>
    </row>
    <row r="342" spans="2:160" ht="12.75">
      <c r="B342" s="96">
        <f>COUNT(R342:EY342,FE342:FM342)</f>
        <v>3</v>
      </c>
      <c r="C342" s="96">
        <f>IF(COUNT(R342:EY342,FE342:FM342)&gt;0,COUNT(R342:EY342,FE342:FM342),"")</f>
        <v>3</v>
      </c>
      <c r="D342" s="96">
        <f>IF(COUNT(T342:BJ342,BL342:BT342,BV342:CB342,CD342:EY342,FE342:FM342)&gt;0,COUNT(T342:BJ342,BL342:BT342,BV342:CB342,CD342:EY342,FE342:FM342),"")</f>
        <v>3</v>
      </c>
      <c r="E342" s="96">
        <f>IF(H342=1,COUNT(R342:EY342,FE342:FM342),"")</f>
        <v>3</v>
      </c>
      <c r="F342" s="96">
        <f>IF(H342=1,COUNT(T342:BJ342,BL342:BT342,BV342:CB342,CD342:EY342,FE342:FM342),"")</f>
        <v>3</v>
      </c>
      <c r="G342" s="96">
        <f>IF($B342&gt;=1,$M342,"")</f>
        <v>6</v>
      </c>
      <c r="H342" s="149">
        <f>IF(AND(M342&gt;0,M342&lt;=STATS!$C$22),1,"")</f>
        <v>1</v>
      </c>
      <c r="J342" s="34">
        <v>341</v>
      </c>
      <c r="K342" s="165">
        <v>46.12289</v>
      </c>
      <c r="L342" s="165">
        <v>-91.21025</v>
      </c>
      <c r="M342" s="10">
        <v>6</v>
      </c>
      <c r="N342" s="10" t="s">
        <v>563</v>
      </c>
      <c r="O342" s="190" t="s">
        <v>648</v>
      </c>
      <c r="Q342" s="10">
        <v>2</v>
      </c>
      <c r="R342" s="17"/>
      <c r="S342" s="17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>
        <v>1</v>
      </c>
      <c r="AF342" s="36"/>
      <c r="AG342" s="36"/>
      <c r="AH342" s="36"/>
      <c r="BR342" s="10">
        <v>1</v>
      </c>
      <c r="CO342" s="10">
        <v>2</v>
      </c>
      <c r="EZ342" s="146"/>
      <c r="FA342" s="146"/>
      <c r="FB342" s="146"/>
      <c r="FC342" s="146"/>
      <c r="FD342" s="146"/>
    </row>
    <row r="343" spans="2:160" ht="12.75">
      <c r="B343" s="96">
        <f>COUNT(R343:EY343,FE343:FM343)</f>
        <v>7</v>
      </c>
      <c r="C343" s="96">
        <f>IF(COUNT(R343:EY343,FE343:FM343)&gt;0,COUNT(R343:EY343,FE343:FM343),"")</f>
        <v>7</v>
      </c>
      <c r="D343" s="96">
        <f>IF(COUNT(T343:BJ343,BL343:BT343,BV343:CB343,CD343:EY343,FE343:FM343)&gt;0,COUNT(T343:BJ343,BL343:BT343,BV343:CB343,CD343:EY343,FE343:FM343),"")</f>
        <v>7</v>
      </c>
      <c r="E343" s="96">
        <f>IF(H343=1,COUNT(R343:EY343,FE343:FM343),"")</f>
        <v>7</v>
      </c>
      <c r="F343" s="96">
        <f>IF(H343=1,COUNT(T343:BJ343,BL343:BT343,BV343:CB343,CD343:EY343,FE343:FM343),"")</f>
        <v>7</v>
      </c>
      <c r="G343" s="96">
        <f>IF($B343&gt;=1,$M343,"")</f>
        <v>3.5</v>
      </c>
      <c r="H343" s="149">
        <f>IF(AND(M343&gt;0,M343&lt;=STATS!$C$22),1,"")</f>
        <v>1</v>
      </c>
      <c r="J343" s="34">
        <v>342</v>
      </c>
      <c r="K343" s="165">
        <v>46.12312</v>
      </c>
      <c r="L343" s="165">
        <v>-91.21958</v>
      </c>
      <c r="M343" s="10">
        <v>3.5</v>
      </c>
      <c r="N343" s="10" t="s">
        <v>563</v>
      </c>
      <c r="O343" s="190" t="s">
        <v>648</v>
      </c>
      <c r="Q343" s="10">
        <v>2</v>
      </c>
      <c r="R343" s="17"/>
      <c r="S343" s="17"/>
      <c r="T343" s="36"/>
      <c r="U343" s="36"/>
      <c r="V343" s="36"/>
      <c r="W343" s="36"/>
      <c r="X343" s="36">
        <v>2</v>
      </c>
      <c r="Y343" s="36"/>
      <c r="Z343" s="36"/>
      <c r="AA343" s="36"/>
      <c r="AB343" s="36"/>
      <c r="AC343" s="36"/>
      <c r="AD343" s="36"/>
      <c r="AE343" s="36">
        <v>1</v>
      </c>
      <c r="AF343" s="36"/>
      <c r="AG343" s="36"/>
      <c r="AH343" s="36"/>
      <c r="AW343" s="10">
        <v>1</v>
      </c>
      <c r="CO343" s="10">
        <v>2</v>
      </c>
      <c r="CY343" s="10">
        <v>2</v>
      </c>
      <c r="DA343" s="10">
        <v>1</v>
      </c>
      <c r="DE343" s="10">
        <v>2</v>
      </c>
      <c r="DY343" s="10" t="s">
        <v>566</v>
      </c>
      <c r="ER343" s="10" t="s">
        <v>566</v>
      </c>
      <c r="EZ343" s="146"/>
      <c r="FA343" s="146"/>
      <c r="FB343" s="146"/>
      <c r="FC343" s="146"/>
      <c r="FD343" s="146"/>
    </row>
    <row r="344" spans="2:160" ht="12.75">
      <c r="B344" s="96">
        <f>COUNT(R344:EY344,FE344:FM344)</f>
        <v>4</v>
      </c>
      <c r="C344" s="96">
        <f>IF(COUNT(R344:EY344,FE344:FM344)&gt;0,COUNT(R344:EY344,FE344:FM344),"")</f>
        <v>4</v>
      </c>
      <c r="D344" s="96">
        <f>IF(COUNT(T344:BJ344,BL344:BT344,BV344:CB344,CD344:EY344,FE344:FM344)&gt;0,COUNT(T344:BJ344,BL344:BT344,BV344:CB344,CD344:EY344,FE344:FM344),"")</f>
        <v>4</v>
      </c>
      <c r="E344" s="96">
        <f>IF(H344=1,COUNT(R344:EY344,FE344:FM344),"")</f>
        <v>4</v>
      </c>
      <c r="F344" s="96">
        <f>IF(H344=1,COUNT(T344:BJ344,BL344:BT344,BV344:CB344,CD344:EY344,FE344:FM344),"")</f>
        <v>4</v>
      </c>
      <c r="G344" s="96">
        <f>IF($B344&gt;=1,$M344,"")</f>
        <v>3</v>
      </c>
      <c r="H344" s="149">
        <f>IF(AND(M344&gt;0,M344&lt;=STATS!$C$22),1,"")</f>
        <v>1</v>
      </c>
      <c r="J344" s="34">
        <v>343</v>
      </c>
      <c r="K344" s="165">
        <v>46.12312</v>
      </c>
      <c r="L344" s="165">
        <v>-91.21911</v>
      </c>
      <c r="M344" s="10">
        <v>3</v>
      </c>
      <c r="N344" s="10" t="s">
        <v>563</v>
      </c>
      <c r="O344" s="190" t="s">
        <v>648</v>
      </c>
      <c r="Q344" s="10">
        <v>3</v>
      </c>
      <c r="R344" s="17"/>
      <c r="S344" s="17"/>
      <c r="T344" s="36"/>
      <c r="U344" s="36"/>
      <c r="V344" s="36"/>
      <c r="W344" s="36"/>
      <c r="X344" s="36">
        <v>3</v>
      </c>
      <c r="Y344" s="36"/>
      <c r="Z344" s="36"/>
      <c r="AA344" s="36"/>
      <c r="AB344" s="36"/>
      <c r="AC344" s="36"/>
      <c r="AD344" s="36"/>
      <c r="AE344" s="36"/>
      <c r="AF344" s="36"/>
      <c r="AG344" s="36">
        <v>1</v>
      </c>
      <c r="AH344" s="36"/>
      <c r="BR344" s="10">
        <v>1</v>
      </c>
      <c r="CB344" s="10" t="s">
        <v>566</v>
      </c>
      <c r="CO344" s="10" t="s">
        <v>566</v>
      </c>
      <c r="CY344" s="10">
        <v>2</v>
      </c>
      <c r="ER344" s="10" t="s">
        <v>566</v>
      </c>
      <c r="EZ344" s="146"/>
      <c r="FA344" s="146"/>
      <c r="FB344" s="146"/>
      <c r="FC344" s="146"/>
      <c r="FD344" s="146"/>
    </row>
    <row r="345" spans="2:160" ht="12.75">
      <c r="B345" s="96">
        <f>COUNT(R345:EY345,FE345:FM345)</f>
        <v>6</v>
      </c>
      <c r="C345" s="96">
        <f>IF(COUNT(R345:EY345,FE345:FM345)&gt;0,COUNT(R345:EY345,FE345:FM345),"")</f>
        <v>6</v>
      </c>
      <c r="D345" s="96">
        <f>IF(COUNT(T345:BJ345,BL345:BT345,BV345:CB345,CD345:EY345,FE345:FM345)&gt;0,COUNT(T345:BJ345,BL345:BT345,BV345:CB345,CD345:EY345,FE345:FM345),"")</f>
        <v>6</v>
      </c>
      <c r="E345" s="96">
        <f>IF(H345=1,COUNT(R345:EY345,FE345:FM345),"")</f>
        <v>6</v>
      </c>
      <c r="F345" s="96">
        <f>IF(H345=1,COUNT(T345:BJ345,BL345:BT345,BV345:CB345,CD345:EY345,FE345:FM345),"")</f>
        <v>6</v>
      </c>
      <c r="G345" s="96">
        <f>IF($B345&gt;=1,$M345,"")</f>
        <v>3</v>
      </c>
      <c r="H345" s="149">
        <f>IF(AND(M345&gt;0,M345&lt;=STATS!$C$22),1,"")</f>
        <v>1</v>
      </c>
      <c r="J345" s="34">
        <v>344</v>
      </c>
      <c r="K345" s="165">
        <v>46.12312</v>
      </c>
      <c r="L345" s="165">
        <v>-91.21864</v>
      </c>
      <c r="M345" s="10">
        <v>3</v>
      </c>
      <c r="N345" s="10" t="s">
        <v>563</v>
      </c>
      <c r="O345" s="190" t="s">
        <v>648</v>
      </c>
      <c r="Q345" s="10">
        <v>3</v>
      </c>
      <c r="R345" s="17"/>
      <c r="S345" s="17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 t="s">
        <v>566</v>
      </c>
      <c r="AF345" s="36"/>
      <c r="AG345" s="36"/>
      <c r="AH345" s="36"/>
      <c r="BO345" s="10">
        <v>1</v>
      </c>
      <c r="BR345" s="10">
        <v>1</v>
      </c>
      <c r="CA345" s="10">
        <v>2</v>
      </c>
      <c r="CB345" s="10">
        <v>3</v>
      </c>
      <c r="CY345" s="10">
        <v>1</v>
      </c>
      <c r="EO345" s="10">
        <v>1</v>
      </c>
      <c r="EZ345" s="146"/>
      <c r="FA345" s="146"/>
      <c r="FB345" s="146">
        <v>1</v>
      </c>
      <c r="FC345" s="146"/>
      <c r="FD345" s="146"/>
    </row>
    <row r="346" spans="2:160" ht="12.75">
      <c r="B346" s="96">
        <f>COUNT(R346:EY346,FE346:FM346)</f>
        <v>2</v>
      </c>
      <c r="C346" s="96">
        <f>IF(COUNT(R346:EY346,FE346:FM346)&gt;0,COUNT(R346:EY346,FE346:FM346),"")</f>
        <v>2</v>
      </c>
      <c r="D346" s="96">
        <f>IF(COUNT(T346:BJ346,BL346:BT346,BV346:CB346,CD346:EY346,FE346:FM346)&gt;0,COUNT(T346:BJ346,BL346:BT346,BV346:CB346,CD346:EY346,FE346:FM346),"")</f>
        <v>2</v>
      </c>
      <c r="E346" s="96">
        <f>IF(H346=1,COUNT(R346:EY346,FE346:FM346),"")</f>
        <v>2</v>
      </c>
      <c r="F346" s="96">
        <f>IF(H346=1,COUNT(T346:BJ346,BL346:BT346,BV346:CB346,CD346:EY346,FE346:FM346),"")</f>
        <v>2</v>
      </c>
      <c r="G346" s="96">
        <f>IF($B346&gt;=1,$M346,"")</f>
        <v>10</v>
      </c>
      <c r="H346" s="149">
        <f>IF(AND(M346&gt;0,M346&lt;=STATS!$C$22),1,"")</f>
        <v>1</v>
      </c>
      <c r="J346" s="34">
        <v>345</v>
      </c>
      <c r="K346" s="165">
        <v>46.12313</v>
      </c>
      <c r="L346" s="165">
        <v>-91.21818</v>
      </c>
      <c r="M346" s="10">
        <v>10</v>
      </c>
      <c r="N346" s="10" t="s">
        <v>563</v>
      </c>
      <c r="O346" s="190" t="s">
        <v>648</v>
      </c>
      <c r="Q346" s="10">
        <v>1</v>
      </c>
      <c r="R346" s="17"/>
      <c r="S346" s="17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BR346" s="10">
        <v>1</v>
      </c>
      <c r="BW346" s="10">
        <v>1</v>
      </c>
      <c r="EZ346" s="146"/>
      <c r="FA346" s="146"/>
      <c r="FB346" s="146"/>
      <c r="FC346" s="146"/>
      <c r="FD346" s="146"/>
    </row>
    <row r="347" spans="2:160" ht="12.75">
      <c r="B347" s="96">
        <f>COUNT(R347:EY347,FE347:FM347)</f>
        <v>0</v>
      </c>
      <c r="C347" s="96">
        <f>IF(COUNT(R347:EY347,FE347:FM347)&gt;0,COUNT(R347:EY347,FE347:FM347),"")</f>
      </c>
      <c r="D347" s="96">
        <f>IF(COUNT(T347:BJ347,BL347:BT347,BV347:CB347,CD347:EY347,FE347:FM347)&gt;0,COUNT(T347:BJ347,BL347:BT347,BV347:CB347,CD347:EY347,FE347:FM347),"")</f>
      </c>
      <c r="E347" s="96">
        <f>IF(H347=1,COUNT(R347:EY347,FE347:FM347),"")</f>
      </c>
      <c r="F347" s="96">
        <f>IF(H347=1,COUNT(T347:BJ347,BL347:BT347,BV347:CB347,CD347:EY347,FE347:FM347),"")</f>
      </c>
      <c r="G347" s="96">
        <f>IF($B347&gt;=1,$M347,"")</f>
      </c>
      <c r="H347" s="149">
        <f>IF(AND(M347&gt;0,M347&lt;=STATS!$C$22),1,"")</f>
      </c>
      <c r="J347" s="34">
        <v>346</v>
      </c>
      <c r="K347" s="165">
        <v>46.12313</v>
      </c>
      <c r="L347" s="165">
        <v>-91.21771</v>
      </c>
      <c r="M347" s="10">
        <v>17</v>
      </c>
      <c r="R347" s="17"/>
      <c r="S347" s="17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EZ347" s="146"/>
      <c r="FA347" s="146"/>
      <c r="FB347" s="146"/>
      <c r="FC347" s="146"/>
      <c r="FD347" s="146"/>
    </row>
    <row r="348" spans="2:160" ht="12.75">
      <c r="B348" s="96">
        <f>COUNT(R348:EY348,FE348:FM348)</f>
        <v>0</v>
      </c>
      <c r="C348" s="96">
        <f>IF(COUNT(R348:EY348,FE348:FM348)&gt;0,COUNT(R348:EY348,FE348:FM348),"")</f>
      </c>
      <c r="D348" s="96">
        <f>IF(COUNT(T348:BJ348,BL348:BT348,BV348:CB348,CD348:EY348,FE348:FM348)&gt;0,COUNT(T348:BJ348,BL348:BT348,BV348:CB348,CD348:EY348,FE348:FM348),"")</f>
      </c>
      <c r="E348" s="96">
        <f>IF(H348=1,COUNT(R348:EY348,FE348:FM348),"")</f>
        <v>0</v>
      </c>
      <c r="F348" s="96">
        <f>IF(H348=1,COUNT(T348:BJ348,BL348:BT348,BV348:CB348,CD348:EY348,FE348:FM348),"")</f>
        <v>0</v>
      </c>
      <c r="G348" s="96">
        <f>IF($B348&gt;=1,$M348,"")</f>
      </c>
      <c r="H348" s="149">
        <f>IF(AND(M348&gt;0,M348&lt;=STATS!$C$22),1,"")</f>
        <v>1</v>
      </c>
      <c r="J348" s="34">
        <v>347</v>
      </c>
      <c r="K348" s="165">
        <v>46.12314</v>
      </c>
      <c r="L348" s="165">
        <v>-91.21725</v>
      </c>
      <c r="M348" s="10">
        <v>14</v>
      </c>
      <c r="N348" s="10" t="s">
        <v>563</v>
      </c>
      <c r="O348" s="190" t="s">
        <v>648</v>
      </c>
      <c r="R348" s="17"/>
      <c r="S348" s="17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EZ348" s="146"/>
      <c r="FA348" s="146"/>
      <c r="FB348" s="146"/>
      <c r="FC348" s="146"/>
      <c r="FD348" s="146"/>
    </row>
    <row r="349" spans="2:160" ht="12.75">
      <c r="B349" s="96">
        <f>COUNT(R349:EY349,FE349:FM349)</f>
        <v>0</v>
      </c>
      <c r="C349" s="96">
        <f>IF(COUNT(R349:EY349,FE349:FM349)&gt;0,COUNT(R349:EY349,FE349:FM349),"")</f>
      </c>
      <c r="D349" s="96">
        <f>IF(COUNT(T349:BJ349,BL349:BT349,BV349:CB349,CD349:EY349,FE349:FM349)&gt;0,COUNT(T349:BJ349,BL349:BT349,BV349:CB349,CD349:EY349,FE349:FM349),"")</f>
      </c>
      <c r="E349" s="96">
        <f>IF(H349=1,COUNT(R349:EY349,FE349:FM349),"")</f>
      </c>
      <c r="F349" s="96">
        <f>IF(H349=1,COUNT(T349:BJ349,BL349:BT349,BV349:CB349,CD349:EY349,FE349:FM349),"")</f>
      </c>
      <c r="G349" s="96">
        <f>IF($B349&gt;=1,$M349,"")</f>
      </c>
      <c r="H349" s="149">
        <f>IF(AND(M349&gt;0,M349&lt;=STATS!$C$22),1,"")</f>
      </c>
      <c r="J349" s="34">
        <v>348</v>
      </c>
      <c r="K349" s="165">
        <v>46.12315</v>
      </c>
      <c r="L349" s="165">
        <v>-91.21678</v>
      </c>
      <c r="M349" s="10">
        <v>16.5</v>
      </c>
      <c r="R349" s="17"/>
      <c r="S349" s="17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EZ349" s="146"/>
      <c r="FA349" s="146"/>
      <c r="FB349" s="146"/>
      <c r="FC349" s="146"/>
      <c r="FD349" s="146"/>
    </row>
    <row r="350" spans="2:160" ht="12.75">
      <c r="B350" s="96">
        <f>COUNT(R350:EY350,FE350:FM350)</f>
        <v>0</v>
      </c>
      <c r="C350" s="96">
        <f>IF(COUNT(R350:EY350,FE350:FM350)&gt;0,COUNT(R350:EY350,FE350:FM350),"")</f>
      </c>
      <c r="D350" s="96">
        <f>IF(COUNT(T350:BJ350,BL350:BT350,BV350:CB350,CD350:EY350,FE350:FM350)&gt;0,COUNT(T350:BJ350,BL350:BT350,BV350:CB350,CD350:EY350,FE350:FM350),"")</f>
      </c>
      <c r="E350" s="96">
        <f>IF(H350=1,COUNT(R350:EY350,FE350:FM350),"")</f>
        <v>0</v>
      </c>
      <c r="F350" s="96">
        <f>IF(H350=1,COUNT(T350:BJ350,BL350:BT350,BV350:CB350,CD350:EY350,FE350:FM350),"")</f>
        <v>0</v>
      </c>
      <c r="G350" s="96">
        <f>IF($B350&gt;=1,$M350,"")</f>
      </c>
      <c r="H350" s="149">
        <f>IF(AND(M350&gt;0,M350&lt;=STATS!$C$22),1,"")</f>
        <v>1</v>
      </c>
      <c r="J350" s="34">
        <v>349</v>
      </c>
      <c r="K350" s="165">
        <v>46.12315</v>
      </c>
      <c r="L350" s="165">
        <v>-91.21631</v>
      </c>
      <c r="M350" s="10">
        <v>10</v>
      </c>
      <c r="N350" s="10" t="s">
        <v>563</v>
      </c>
      <c r="O350" s="190" t="s">
        <v>648</v>
      </c>
      <c r="R350" s="17"/>
      <c r="S350" s="17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EZ350" s="146"/>
      <c r="FA350" s="146"/>
      <c r="FB350" s="146"/>
      <c r="FC350" s="146"/>
      <c r="FD350" s="146"/>
    </row>
    <row r="351" spans="2:160" ht="12.75">
      <c r="B351" s="96">
        <f>COUNT(R351:EY351,FE351:FM351)</f>
        <v>3</v>
      </c>
      <c r="C351" s="96">
        <f>IF(COUNT(R351:EY351,FE351:FM351)&gt;0,COUNT(R351:EY351,FE351:FM351),"")</f>
        <v>3</v>
      </c>
      <c r="D351" s="96">
        <f>IF(COUNT(T351:BJ351,BL351:BT351,BV351:CB351,CD351:EY351,FE351:FM351)&gt;0,COUNT(T351:BJ351,BL351:BT351,BV351:CB351,CD351:EY351,FE351:FM351),"")</f>
        <v>3</v>
      </c>
      <c r="E351" s="96">
        <f>IF(H351=1,COUNT(R351:EY351,FE351:FM351),"")</f>
        <v>3</v>
      </c>
      <c r="F351" s="96">
        <f>IF(H351=1,COUNT(T351:BJ351,BL351:BT351,BV351:CB351,CD351:EY351,FE351:FM351),"")</f>
        <v>3</v>
      </c>
      <c r="G351" s="96">
        <f>IF($B351&gt;=1,$M351,"")</f>
        <v>5</v>
      </c>
      <c r="H351" s="149">
        <f>IF(AND(M351&gt;0,M351&lt;=STATS!$C$22),1,"")</f>
        <v>1</v>
      </c>
      <c r="J351" s="34">
        <v>350</v>
      </c>
      <c r="K351" s="165">
        <v>46.12315</v>
      </c>
      <c r="L351" s="165">
        <v>-91.21585</v>
      </c>
      <c r="M351" s="10">
        <v>5</v>
      </c>
      <c r="N351" s="10" t="s">
        <v>563</v>
      </c>
      <c r="O351" s="190" t="s">
        <v>648</v>
      </c>
      <c r="Q351" s="10">
        <v>3</v>
      </c>
      <c r="R351" s="17"/>
      <c r="S351" s="17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>
        <v>1</v>
      </c>
      <c r="AF351" s="36"/>
      <c r="AG351" s="36"/>
      <c r="AH351" s="36"/>
      <c r="BO351" s="10" t="s">
        <v>566</v>
      </c>
      <c r="CY351" s="10">
        <v>3</v>
      </c>
      <c r="DE351" s="10">
        <v>1</v>
      </c>
      <c r="EZ351" s="146"/>
      <c r="FA351" s="146"/>
      <c r="FB351" s="146">
        <v>1</v>
      </c>
      <c r="FC351" s="146"/>
      <c r="FD351" s="146"/>
    </row>
    <row r="352" spans="2:160" ht="12.75">
      <c r="B352" s="96">
        <f>COUNT(R352:EY352,FE352:FM352)</f>
        <v>2</v>
      </c>
      <c r="C352" s="96">
        <f>IF(COUNT(R352:EY352,FE352:FM352)&gt;0,COUNT(R352:EY352,FE352:FM352),"")</f>
        <v>2</v>
      </c>
      <c r="D352" s="96">
        <f>IF(COUNT(T352:BJ352,BL352:BT352,BV352:CB352,CD352:EY352,FE352:FM352)&gt;0,COUNT(T352:BJ352,BL352:BT352,BV352:CB352,CD352:EY352,FE352:FM352),"")</f>
        <v>2</v>
      </c>
      <c r="E352" s="96">
        <f>IF(H352=1,COUNT(R352:EY352,FE352:FM352),"")</f>
        <v>2</v>
      </c>
      <c r="F352" s="96">
        <f>IF(H352=1,COUNT(T352:BJ352,BL352:BT352,BV352:CB352,CD352:EY352,FE352:FM352),"")</f>
        <v>2</v>
      </c>
      <c r="G352" s="96">
        <f>IF($B352&gt;=1,$M352,"")</f>
        <v>10</v>
      </c>
      <c r="H352" s="149">
        <f>IF(AND(M352&gt;0,M352&lt;=STATS!$C$22),1,"")</f>
        <v>1</v>
      </c>
      <c r="J352" s="34">
        <v>351</v>
      </c>
      <c r="K352" s="165">
        <v>46.12316</v>
      </c>
      <c r="L352" s="165">
        <v>-91.21538</v>
      </c>
      <c r="M352" s="10">
        <v>10</v>
      </c>
      <c r="N352" s="10" t="s">
        <v>563</v>
      </c>
      <c r="O352" s="190" t="s">
        <v>648</v>
      </c>
      <c r="Q352" s="10">
        <v>1</v>
      </c>
      <c r="R352" s="17"/>
      <c r="S352" s="17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>
        <v>1</v>
      </c>
      <c r="AF352" s="36"/>
      <c r="AG352" s="36"/>
      <c r="AH352" s="36"/>
      <c r="BW352" s="10">
        <v>1</v>
      </c>
      <c r="EZ352" s="146"/>
      <c r="FA352" s="146"/>
      <c r="FB352" s="146">
        <v>1</v>
      </c>
      <c r="FC352" s="146"/>
      <c r="FD352" s="146"/>
    </row>
    <row r="353" spans="2:160" ht="12.75">
      <c r="B353" s="96">
        <f>COUNT(R353:EY353,FE353:FM353)</f>
        <v>0</v>
      </c>
      <c r="C353" s="96">
        <f>IF(COUNT(R353:EY353,FE353:FM353)&gt;0,COUNT(R353:EY353,FE353:FM353),"")</f>
      </c>
      <c r="D353" s="96">
        <f>IF(COUNT(T353:BJ353,BL353:BT353,BV353:CB353,CD353:EY353,FE353:FM353)&gt;0,COUNT(T353:BJ353,BL353:BT353,BV353:CB353,CD353:EY353,FE353:FM353),"")</f>
      </c>
      <c r="E353" s="96">
        <f>IF(H353=1,COUNT(R353:EY353,FE353:FM353),"")</f>
      </c>
      <c r="F353" s="96">
        <f>IF(H353=1,COUNT(T353:BJ353,BL353:BT353,BV353:CB353,CD353:EY353,FE353:FM353),"")</f>
      </c>
      <c r="G353" s="96">
        <f>IF($B353&gt;=1,$M353,"")</f>
      </c>
      <c r="H353" s="149">
        <f>IF(AND(M353&gt;0,M353&lt;=STATS!$C$22),1,"")</f>
      </c>
      <c r="J353" s="34">
        <v>352</v>
      </c>
      <c r="K353" s="165">
        <v>46.12316</v>
      </c>
      <c r="L353" s="165">
        <v>-91.21492</v>
      </c>
      <c r="M353" s="10">
        <v>15.5</v>
      </c>
      <c r="R353" s="17"/>
      <c r="S353" s="17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EZ353" s="146"/>
      <c r="FA353" s="146"/>
      <c r="FB353" s="146"/>
      <c r="FC353" s="146"/>
      <c r="FD353" s="146"/>
    </row>
    <row r="354" spans="2:160" ht="12.75">
      <c r="B354" s="96">
        <f>COUNT(R354:EY354,FE354:FM354)</f>
        <v>0</v>
      </c>
      <c r="C354" s="96">
        <f>IF(COUNT(R354:EY354,FE354:FM354)&gt;0,COUNT(R354:EY354,FE354:FM354),"")</f>
      </c>
      <c r="D354" s="96">
        <f>IF(COUNT(T354:BJ354,BL354:BT354,BV354:CB354,CD354:EY354,FE354:FM354)&gt;0,COUNT(T354:BJ354,BL354:BT354,BV354:CB354,CD354:EY354,FE354:FM354),"")</f>
      </c>
      <c r="E354" s="96">
        <f>IF(H354=1,COUNT(R354:EY354,FE354:FM354),"")</f>
        <v>0</v>
      </c>
      <c r="F354" s="96">
        <f>IF(H354=1,COUNT(T354:BJ354,BL354:BT354,BV354:CB354,CD354:EY354,FE354:FM354),"")</f>
        <v>0</v>
      </c>
      <c r="G354" s="96">
        <f>IF($B354&gt;=1,$M354,"")</f>
      </c>
      <c r="H354" s="149">
        <f>IF(AND(M354&gt;0,M354&lt;=STATS!$C$22),1,"")</f>
        <v>1</v>
      </c>
      <c r="J354" s="34">
        <v>353</v>
      </c>
      <c r="K354" s="165">
        <v>46.12317</v>
      </c>
      <c r="L354" s="165">
        <v>-91.21445</v>
      </c>
      <c r="M354" s="10">
        <v>13</v>
      </c>
      <c r="N354" s="10" t="s">
        <v>563</v>
      </c>
      <c r="O354" s="190" t="s">
        <v>648</v>
      </c>
      <c r="R354" s="17"/>
      <c r="S354" s="17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EZ354" s="146"/>
      <c r="FA354" s="146"/>
      <c r="FB354" s="146"/>
      <c r="FC354" s="146"/>
      <c r="FD354" s="146"/>
    </row>
    <row r="355" spans="2:160" ht="12.75">
      <c r="B355" s="96">
        <f>COUNT(R355:EY355,FE355:FM355)</f>
        <v>0</v>
      </c>
      <c r="C355" s="96">
        <f>IF(COUNT(R355:EY355,FE355:FM355)&gt;0,COUNT(R355:EY355,FE355:FM355),"")</f>
      </c>
      <c r="D355" s="96">
        <f>IF(COUNT(T355:BJ355,BL355:BT355,BV355:CB355,CD355:EY355,FE355:FM355)&gt;0,COUNT(T355:BJ355,BL355:BT355,BV355:CB355,CD355:EY355,FE355:FM355),"")</f>
      </c>
      <c r="E355" s="96">
        <f>IF(H355=1,COUNT(R355:EY355,FE355:FM355),"")</f>
        <v>0</v>
      </c>
      <c r="F355" s="96">
        <f>IF(H355=1,COUNT(T355:BJ355,BL355:BT355,BV355:CB355,CD355:EY355,FE355:FM355),"")</f>
        <v>0</v>
      </c>
      <c r="G355" s="96">
        <f>IF($B355&gt;=1,$M355,"")</f>
      </c>
      <c r="H355" s="149">
        <f>IF(AND(M355&gt;0,M355&lt;=STATS!$C$22),1,"")</f>
        <v>1</v>
      </c>
      <c r="J355" s="34">
        <v>354</v>
      </c>
      <c r="K355" s="165">
        <v>46.12317</v>
      </c>
      <c r="L355" s="165">
        <v>-91.21398</v>
      </c>
      <c r="M355" s="10">
        <v>13</v>
      </c>
      <c r="N355" s="10" t="s">
        <v>563</v>
      </c>
      <c r="O355" s="190" t="s">
        <v>648</v>
      </c>
      <c r="R355" s="17"/>
      <c r="S355" s="17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EZ355" s="146"/>
      <c r="FA355" s="146"/>
      <c r="FB355" s="146"/>
      <c r="FC355" s="146"/>
      <c r="FD355" s="146"/>
    </row>
    <row r="356" spans="2:160" ht="12.75">
      <c r="B356" s="96">
        <f>COUNT(R356:EY356,FE356:FM356)</f>
        <v>1</v>
      </c>
      <c r="C356" s="96">
        <f>IF(COUNT(R356:EY356,FE356:FM356)&gt;0,COUNT(R356:EY356,FE356:FM356),"")</f>
        <v>1</v>
      </c>
      <c r="D356" s="96">
        <f>IF(COUNT(T356:BJ356,BL356:BT356,BV356:CB356,CD356:EY356,FE356:FM356)&gt;0,COUNT(T356:BJ356,BL356:BT356,BV356:CB356,CD356:EY356,FE356:FM356),"")</f>
        <v>1</v>
      </c>
      <c r="E356" s="96">
        <f>IF(H356=1,COUNT(R356:EY356,FE356:FM356),"")</f>
        <v>1</v>
      </c>
      <c r="F356" s="96">
        <f>IF(H356=1,COUNT(T356:BJ356,BL356:BT356,BV356:CB356,CD356:EY356,FE356:FM356),"")</f>
        <v>1</v>
      </c>
      <c r="G356" s="96">
        <f>IF($B356&gt;=1,$M356,"")</f>
        <v>6.5</v>
      </c>
      <c r="H356" s="149">
        <f>IF(AND(M356&gt;0,M356&lt;=STATS!$C$22),1,"")</f>
        <v>1</v>
      </c>
      <c r="J356" s="34">
        <v>355</v>
      </c>
      <c r="K356" s="165">
        <v>46.12318</v>
      </c>
      <c r="L356" s="165">
        <v>-91.21352</v>
      </c>
      <c r="M356" s="10">
        <v>6.5</v>
      </c>
      <c r="N356" s="10" t="s">
        <v>563</v>
      </c>
      <c r="O356" s="190" t="s">
        <v>648</v>
      </c>
      <c r="Q356" s="10">
        <v>2</v>
      </c>
      <c r="R356" s="17"/>
      <c r="S356" s="17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>
        <v>2</v>
      </c>
      <c r="AF356" s="36"/>
      <c r="AG356" s="36"/>
      <c r="AH356" s="36"/>
      <c r="BO356" s="10" t="s">
        <v>566</v>
      </c>
      <c r="CI356" s="10" t="s">
        <v>566</v>
      </c>
      <c r="EZ356" s="146"/>
      <c r="FA356" s="146"/>
      <c r="FB356" s="146"/>
      <c r="FC356" s="146"/>
      <c r="FD356" s="146"/>
    </row>
    <row r="357" spans="2:160" ht="12.75">
      <c r="B357" s="96">
        <f>COUNT(R357:EY357,FE357:FM357)</f>
        <v>0</v>
      </c>
      <c r="C357" s="96">
        <f>IF(COUNT(R357:EY357,FE357:FM357)&gt;0,COUNT(R357:EY357,FE357:FM357),"")</f>
      </c>
      <c r="D357" s="96">
        <f>IF(COUNT(T357:BJ357,BL357:BT357,BV357:CB357,CD357:EY357,FE357:FM357)&gt;0,COUNT(T357:BJ357,BL357:BT357,BV357:CB357,CD357:EY357,FE357:FM357),"")</f>
      </c>
      <c r="E357" s="96">
        <f>IF(H357=1,COUNT(R357:EY357,FE357:FM357),"")</f>
        <v>0</v>
      </c>
      <c r="F357" s="96">
        <f>IF(H357=1,COUNT(T357:BJ357,BL357:BT357,BV357:CB357,CD357:EY357,FE357:FM357),"")</f>
        <v>0</v>
      </c>
      <c r="G357" s="96">
        <f>IF($B357&gt;=1,$M357,"")</f>
      </c>
      <c r="H357" s="149">
        <f>IF(AND(M357&gt;0,M357&lt;=STATS!$C$22),1,"")</f>
        <v>1</v>
      </c>
      <c r="J357" s="34">
        <v>356</v>
      </c>
      <c r="K357" s="165">
        <v>46.12318</v>
      </c>
      <c r="L357" s="165">
        <v>-91.21305</v>
      </c>
      <c r="M357" s="10">
        <v>12.5</v>
      </c>
      <c r="N357" s="10" t="s">
        <v>563</v>
      </c>
      <c r="O357" s="190" t="s">
        <v>648</v>
      </c>
      <c r="R357" s="17"/>
      <c r="S357" s="17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EZ357" s="146"/>
      <c r="FA357" s="146"/>
      <c r="FB357" s="146"/>
      <c r="FC357" s="146"/>
      <c r="FD357" s="146"/>
    </row>
    <row r="358" spans="2:160" ht="12.75">
      <c r="B358" s="96">
        <f>COUNT(R358:EY358,FE358:FM358)</f>
        <v>0</v>
      </c>
      <c r="C358" s="96">
        <f>IF(COUNT(R358:EY358,FE358:FM358)&gt;0,COUNT(R358:EY358,FE358:FM358),"")</f>
      </c>
      <c r="D358" s="96">
        <f>IF(COUNT(T358:BJ358,BL358:BT358,BV358:CB358,CD358:EY358,FE358:FM358)&gt;0,COUNT(T358:BJ358,BL358:BT358,BV358:CB358,CD358:EY358,FE358:FM358),"")</f>
      </c>
      <c r="E358" s="96">
        <f>IF(H358=1,COUNT(R358:EY358,FE358:FM358),"")</f>
      </c>
      <c r="F358" s="96">
        <f>IF(H358=1,COUNT(T358:BJ358,BL358:BT358,BV358:CB358,CD358:EY358,FE358:FM358),"")</f>
      </c>
      <c r="G358" s="96">
        <f>IF($B358&gt;=1,$M358,"")</f>
      </c>
      <c r="H358" s="149">
        <f>IF(AND(M358&gt;0,M358&lt;=STATS!$C$22),1,"")</f>
      </c>
      <c r="J358" s="34">
        <v>357</v>
      </c>
      <c r="K358" s="165">
        <v>46.12319</v>
      </c>
      <c r="L358" s="165">
        <v>-91.21259</v>
      </c>
      <c r="M358" s="10">
        <v>18</v>
      </c>
      <c r="R358" s="17"/>
      <c r="S358" s="17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EZ358" s="146"/>
      <c r="FA358" s="146"/>
      <c r="FB358" s="146"/>
      <c r="FC358" s="146"/>
      <c r="FD358" s="146"/>
    </row>
    <row r="359" spans="2:160" ht="12.75">
      <c r="B359" s="96">
        <f>COUNT(R359:EY359,FE359:FM359)</f>
        <v>0</v>
      </c>
      <c r="C359" s="96">
        <f>IF(COUNT(R359:EY359,FE359:FM359)&gt;0,COUNT(R359:EY359,FE359:FM359),"")</f>
      </c>
      <c r="D359" s="96">
        <f>IF(COUNT(T359:BJ359,BL359:BT359,BV359:CB359,CD359:EY359,FE359:FM359)&gt;0,COUNT(T359:BJ359,BL359:BT359,BV359:CB359,CD359:EY359,FE359:FM359),"")</f>
      </c>
      <c r="E359" s="96">
        <f>IF(H359=1,COUNT(R359:EY359,FE359:FM359),"")</f>
      </c>
      <c r="F359" s="96">
        <f>IF(H359=1,COUNT(T359:BJ359,BL359:BT359,BV359:CB359,CD359:EY359,FE359:FM359),"")</f>
      </c>
      <c r="G359" s="96">
        <f>IF($B359&gt;=1,$M359,"")</f>
      </c>
      <c r="H359" s="149">
        <f>IF(AND(M359&gt;0,M359&lt;=STATS!$C$22),1,"")</f>
      </c>
      <c r="J359" s="34">
        <v>358</v>
      </c>
      <c r="K359" s="165">
        <v>46.12319</v>
      </c>
      <c r="L359" s="165">
        <v>-91.21212</v>
      </c>
      <c r="M359" s="10">
        <v>17.5</v>
      </c>
      <c r="R359" s="17"/>
      <c r="S359" s="17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EZ359" s="146"/>
      <c r="FA359" s="146"/>
      <c r="FB359" s="146"/>
      <c r="FC359" s="146"/>
      <c r="FD359" s="146"/>
    </row>
    <row r="360" spans="2:160" ht="12.75">
      <c r="B360" s="96">
        <f>COUNT(R360:EY360,FE360:FM360)</f>
        <v>0</v>
      </c>
      <c r="C360" s="96">
        <f>IF(COUNT(R360:EY360,FE360:FM360)&gt;0,COUNT(R360:EY360,FE360:FM360),"")</f>
      </c>
      <c r="D360" s="96">
        <f>IF(COUNT(T360:BJ360,BL360:BT360,BV360:CB360,CD360:EY360,FE360:FM360)&gt;0,COUNT(T360:BJ360,BL360:BT360,BV360:CB360,CD360:EY360,FE360:FM360),"")</f>
      </c>
      <c r="E360" s="96">
        <f>IF(H360=1,COUNT(R360:EY360,FE360:FM360),"")</f>
        <v>0</v>
      </c>
      <c r="F360" s="96">
        <f>IF(H360=1,COUNT(T360:BJ360,BL360:BT360,BV360:CB360,CD360:EY360,FE360:FM360),"")</f>
        <v>0</v>
      </c>
      <c r="G360" s="96">
        <f>IF($B360&gt;=1,$M360,"")</f>
      </c>
      <c r="H360" s="149">
        <f>IF(AND(M360&gt;0,M360&lt;=STATS!$C$22),1,"")</f>
        <v>1</v>
      </c>
      <c r="J360" s="34">
        <v>359</v>
      </c>
      <c r="K360" s="165">
        <v>46.1232</v>
      </c>
      <c r="L360" s="165">
        <v>-91.21165</v>
      </c>
      <c r="M360" s="10">
        <v>11.5</v>
      </c>
      <c r="N360" s="10" t="s">
        <v>563</v>
      </c>
      <c r="O360" s="190" t="s">
        <v>648</v>
      </c>
      <c r="R360" s="17"/>
      <c r="S360" s="17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EZ360" s="146"/>
      <c r="FA360" s="146"/>
      <c r="FB360" s="146"/>
      <c r="FC360" s="146"/>
      <c r="FD360" s="146"/>
    </row>
    <row r="361" spans="2:160" ht="12.75">
      <c r="B361" s="96">
        <f>COUNT(R361:EY361,FE361:FM361)</f>
        <v>1</v>
      </c>
      <c r="C361" s="96">
        <f>IF(COUNT(R361:EY361,FE361:FM361)&gt;0,COUNT(R361:EY361,FE361:FM361),"")</f>
        <v>1</v>
      </c>
      <c r="D361" s="96">
        <f>IF(COUNT(T361:BJ361,BL361:BT361,BV361:CB361,CD361:EY361,FE361:FM361)&gt;0,COUNT(T361:BJ361,BL361:BT361,BV361:CB361,CD361:EY361,FE361:FM361),"")</f>
        <v>1</v>
      </c>
      <c r="E361" s="96">
        <f>IF(H361=1,COUNT(R361:EY361,FE361:FM361),"")</f>
        <v>1</v>
      </c>
      <c r="F361" s="96">
        <f>IF(H361=1,COUNT(T361:BJ361,BL361:BT361,BV361:CB361,CD361:EY361,FE361:FM361),"")</f>
        <v>1</v>
      </c>
      <c r="G361" s="96">
        <f>IF($B361&gt;=1,$M361,"")</f>
        <v>8</v>
      </c>
      <c r="H361" s="149">
        <f>IF(AND(M361&gt;0,M361&lt;=STATS!$C$22),1,"")</f>
        <v>1</v>
      </c>
      <c r="J361" s="34">
        <v>360</v>
      </c>
      <c r="K361" s="165">
        <v>46.1232</v>
      </c>
      <c r="L361" s="165">
        <v>-91.21119</v>
      </c>
      <c r="M361" s="10">
        <v>8</v>
      </c>
      <c r="N361" s="10" t="s">
        <v>563</v>
      </c>
      <c r="O361" s="190" t="s">
        <v>648</v>
      </c>
      <c r="Q361" s="10">
        <v>1</v>
      </c>
      <c r="R361" s="17"/>
      <c r="S361" s="17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BR361" s="10">
        <v>1</v>
      </c>
      <c r="EZ361" s="146"/>
      <c r="FA361" s="146"/>
      <c r="FB361" s="146"/>
      <c r="FC361" s="146"/>
      <c r="FD361" s="146"/>
    </row>
    <row r="362" spans="2:160" ht="12.75">
      <c r="B362" s="96">
        <f>COUNT(R362:EY362,FE362:FM362)</f>
        <v>8</v>
      </c>
      <c r="C362" s="96">
        <f>IF(COUNT(R362:EY362,FE362:FM362)&gt;0,COUNT(R362:EY362,FE362:FM362),"")</f>
        <v>8</v>
      </c>
      <c r="D362" s="96">
        <f>IF(COUNT(T362:BJ362,BL362:BT362,BV362:CB362,CD362:EY362,FE362:FM362)&gt;0,COUNT(T362:BJ362,BL362:BT362,BV362:CB362,CD362:EY362,FE362:FM362),"")</f>
        <v>8</v>
      </c>
      <c r="E362" s="96">
        <f>IF(H362=1,COUNT(R362:EY362,FE362:FM362),"")</f>
        <v>8</v>
      </c>
      <c r="F362" s="96">
        <f>IF(H362=1,COUNT(T362:BJ362,BL362:BT362,BV362:CB362,CD362:EY362,FE362:FM362),"")</f>
        <v>8</v>
      </c>
      <c r="G362" s="96">
        <f>IF($B362&gt;=1,$M362,"")</f>
        <v>2.5</v>
      </c>
      <c r="H362" s="149">
        <f>IF(AND(M362&gt;0,M362&lt;=STATS!$C$22),1,"")</f>
        <v>1</v>
      </c>
      <c r="J362" s="34">
        <v>361</v>
      </c>
      <c r="K362" s="165">
        <v>46.12344</v>
      </c>
      <c r="L362" s="165">
        <v>-91.21958</v>
      </c>
      <c r="M362" s="10">
        <v>2.5</v>
      </c>
      <c r="N362" s="10" t="s">
        <v>563</v>
      </c>
      <c r="O362" s="190" t="s">
        <v>648</v>
      </c>
      <c r="Q362" s="10">
        <v>2</v>
      </c>
      <c r="R362" s="17"/>
      <c r="S362" s="17"/>
      <c r="T362" s="36"/>
      <c r="U362" s="36"/>
      <c r="V362" s="36"/>
      <c r="W362" s="36"/>
      <c r="X362" s="36">
        <v>1</v>
      </c>
      <c r="Y362" s="36"/>
      <c r="Z362" s="36"/>
      <c r="AA362" s="36"/>
      <c r="AB362" s="36"/>
      <c r="AC362" s="36"/>
      <c r="AD362" s="36"/>
      <c r="AE362" s="36"/>
      <c r="AF362" s="36"/>
      <c r="AG362" s="36">
        <v>2</v>
      </c>
      <c r="AH362" s="36"/>
      <c r="BQ362" s="10" t="s">
        <v>566</v>
      </c>
      <c r="CA362" s="10">
        <v>1</v>
      </c>
      <c r="CB362" s="10">
        <v>1</v>
      </c>
      <c r="DE362" s="10">
        <v>1</v>
      </c>
      <c r="EM362" s="10">
        <v>1</v>
      </c>
      <c r="ER362" s="10">
        <v>1</v>
      </c>
      <c r="EX362" s="10">
        <v>1</v>
      </c>
      <c r="EZ362" s="146"/>
      <c r="FA362" s="146"/>
      <c r="FB362" s="146">
        <v>1</v>
      </c>
      <c r="FC362" s="146"/>
      <c r="FD362" s="146"/>
    </row>
    <row r="363" spans="2:160" ht="12.75">
      <c r="B363" s="96">
        <f>COUNT(R363:EY363,FE363:FM363)</f>
        <v>4</v>
      </c>
      <c r="C363" s="96">
        <f>IF(COUNT(R363:EY363,FE363:FM363)&gt;0,COUNT(R363:EY363,FE363:FM363),"")</f>
        <v>4</v>
      </c>
      <c r="D363" s="96">
        <f>IF(COUNT(T363:BJ363,BL363:BT363,BV363:CB363,CD363:EY363,FE363:FM363)&gt;0,COUNT(T363:BJ363,BL363:BT363,BV363:CB363,CD363:EY363,FE363:FM363),"")</f>
        <v>4</v>
      </c>
      <c r="E363" s="96">
        <f>IF(H363=1,COUNT(R363:EY363,FE363:FM363),"")</f>
        <v>4</v>
      </c>
      <c r="F363" s="96">
        <f>IF(H363=1,COUNT(T363:BJ363,BL363:BT363,BV363:CB363,CD363:EY363,FE363:FM363),"")</f>
        <v>4</v>
      </c>
      <c r="G363" s="96">
        <f>IF($B363&gt;=1,$M363,"")</f>
        <v>2.5</v>
      </c>
      <c r="H363" s="149">
        <f>IF(AND(M363&gt;0,M363&lt;=STATS!$C$22),1,"")</f>
        <v>1</v>
      </c>
      <c r="J363" s="34">
        <v>362</v>
      </c>
      <c r="K363" s="165">
        <v>46.12344</v>
      </c>
      <c r="L363" s="165">
        <v>-91.21912</v>
      </c>
      <c r="M363" s="10">
        <v>2.5</v>
      </c>
      <c r="N363" s="10" t="s">
        <v>563</v>
      </c>
      <c r="O363" s="190" t="s">
        <v>648</v>
      </c>
      <c r="Q363" s="10">
        <v>3</v>
      </c>
      <c r="R363" s="17"/>
      <c r="S363" s="17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W363" s="10">
        <v>1</v>
      </c>
      <c r="BR363" s="10">
        <v>1</v>
      </c>
      <c r="CB363" s="10">
        <v>3</v>
      </c>
      <c r="CM363" s="10">
        <v>1</v>
      </c>
      <c r="CY363" s="10" t="s">
        <v>566</v>
      </c>
      <c r="ER363" s="10" t="s">
        <v>566</v>
      </c>
      <c r="EZ363" s="146"/>
      <c r="FA363" s="146"/>
      <c r="FB363" s="146"/>
      <c r="FC363" s="146"/>
      <c r="FD363" s="146"/>
    </row>
    <row r="364" spans="2:160" ht="12.75">
      <c r="B364" s="96">
        <f>COUNT(R364:EY364,FE364:FM364)</f>
        <v>4</v>
      </c>
      <c r="C364" s="96">
        <f>IF(COUNT(R364:EY364,FE364:FM364)&gt;0,COUNT(R364:EY364,FE364:FM364),"")</f>
        <v>4</v>
      </c>
      <c r="D364" s="96">
        <f>IF(COUNT(T364:BJ364,BL364:BT364,BV364:CB364,CD364:EY364,FE364:FM364)&gt;0,COUNT(T364:BJ364,BL364:BT364,BV364:CB364,CD364:EY364,FE364:FM364),"")</f>
        <v>4</v>
      </c>
      <c r="E364" s="96">
        <f>IF(H364=1,COUNT(R364:EY364,FE364:FM364),"")</f>
        <v>4</v>
      </c>
      <c r="F364" s="96">
        <f>IF(H364=1,COUNT(T364:BJ364,BL364:BT364,BV364:CB364,CD364:EY364,FE364:FM364),"")</f>
        <v>4</v>
      </c>
      <c r="G364" s="96">
        <f>IF($B364&gt;=1,$M364,"")</f>
        <v>3.5</v>
      </c>
      <c r="H364" s="149">
        <f>IF(AND(M364&gt;0,M364&lt;=STATS!$C$22),1,"")</f>
        <v>1</v>
      </c>
      <c r="J364" s="34">
        <v>363</v>
      </c>
      <c r="K364" s="165">
        <v>46.12345</v>
      </c>
      <c r="L364" s="165">
        <v>-91.21865</v>
      </c>
      <c r="M364" s="10">
        <v>3.5</v>
      </c>
      <c r="N364" s="10" t="s">
        <v>563</v>
      </c>
      <c r="O364" s="190" t="s">
        <v>648</v>
      </c>
      <c r="Q364" s="10">
        <v>2</v>
      </c>
      <c r="R364" s="17"/>
      <c r="S364" s="17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>
        <v>2</v>
      </c>
      <c r="AH364" s="36"/>
      <c r="BO364" s="10">
        <v>1</v>
      </c>
      <c r="CA364" s="10">
        <v>2</v>
      </c>
      <c r="CB364" s="10">
        <v>1</v>
      </c>
      <c r="DE364" s="10" t="s">
        <v>566</v>
      </c>
      <c r="EZ364" s="146"/>
      <c r="FA364" s="146"/>
      <c r="FB364" s="146"/>
      <c r="FC364" s="146"/>
      <c r="FD364" s="146"/>
    </row>
    <row r="365" spans="2:160" ht="12.75">
      <c r="B365" s="96">
        <f>COUNT(R365:EY365,FE365:FM365)</f>
        <v>1</v>
      </c>
      <c r="C365" s="96">
        <f>IF(COUNT(R365:EY365,FE365:FM365)&gt;0,COUNT(R365:EY365,FE365:FM365),"")</f>
        <v>1</v>
      </c>
      <c r="D365" s="96">
        <f>IF(COUNT(T365:BJ365,BL365:BT365,BV365:CB365,CD365:EY365,FE365:FM365)&gt;0,COUNT(T365:BJ365,BL365:BT365,BV365:CB365,CD365:EY365,FE365:FM365),"")</f>
        <v>1</v>
      </c>
      <c r="E365" s="96">
        <f>IF(H365=1,COUNT(R365:EY365,FE365:FM365),"")</f>
        <v>1</v>
      </c>
      <c r="F365" s="96">
        <f>IF(H365=1,COUNT(T365:BJ365,BL365:BT365,BV365:CB365,CD365:EY365,FE365:FM365),"")</f>
        <v>1</v>
      </c>
      <c r="G365" s="96">
        <f>IF($B365&gt;=1,$M365,"")</f>
        <v>10</v>
      </c>
      <c r="H365" s="149">
        <f>IF(AND(M365&gt;0,M365&lt;=STATS!$C$22),1,"")</f>
        <v>1</v>
      </c>
      <c r="J365" s="34">
        <v>364</v>
      </c>
      <c r="K365" s="165">
        <v>46.12345</v>
      </c>
      <c r="L365" s="165">
        <v>-91.21818</v>
      </c>
      <c r="M365" s="10">
        <v>10</v>
      </c>
      <c r="N365" s="10" t="s">
        <v>563</v>
      </c>
      <c r="O365" s="190" t="s">
        <v>648</v>
      </c>
      <c r="Q365" s="10">
        <v>1</v>
      </c>
      <c r="R365" s="17"/>
      <c r="S365" s="17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BW365" s="10">
        <v>1</v>
      </c>
      <c r="EZ365" s="146"/>
      <c r="FA365" s="146"/>
      <c r="FB365" s="146"/>
      <c r="FC365" s="146"/>
      <c r="FD365" s="146"/>
    </row>
    <row r="366" spans="2:160" ht="12.75">
      <c r="B366" s="96">
        <f>COUNT(R366:EY366,FE366:FM366)</f>
        <v>1</v>
      </c>
      <c r="C366" s="96">
        <f>IF(COUNT(R366:EY366,FE366:FM366)&gt;0,COUNT(R366:EY366,FE366:FM366),"")</f>
        <v>1</v>
      </c>
      <c r="D366" s="96">
        <f>IF(COUNT(T366:BJ366,BL366:BT366,BV366:CB366,CD366:EY366,FE366:FM366)&gt;0,COUNT(T366:BJ366,BL366:BT366,BV366:CB366,CD366:EY366,FE366:FM366),"")</f>
        <v>1</v>
      </c>
      <c r="E366" s="96">
        <f>IF(H366=1,COUNT(R366:EY366,FE366:FM366),"")</f>
        <v>1</v>
      </c>
      <c r="F366" s="96">
        <f>IF(H366=1,COUNT(T366:BJ366,BL366:BT366,BV366:CB366,CD366:EY366,FE366:FM366),"")</f>
        <v>1</v>
      </c>
      <c r="G366" s="96">
        <f>IF($B366&gt;=1,$M366,"")</f>
        <v>12.5</v>
      </c>
      <c r="H366" s="149">
        <f>IF(AND(M366&gt;0,M366&lt;=STATS!$C$22),1,"")</f>
        <v>1</v>
      </c>
      <c r="J366" s="34">
        <v>365</v>
      </c>
      <c r="K366" s="165">
        <v>46.12346</v>
      </c>
      <c r="L366" s="165">
        <v>-91.21772</v>
      </c>
      <c r="M366" s="10">
        <v>12.5</v>
      </c>
      <c r="N366" s="10" t="s">
        <v>563</v>
      </c>
      <c r="O366" s="190" t="s">
        <v>648</v>
      </c>
      <c r="Q366" s="10">
        <v>1</v>
      </c>
      <c r="R366" s="17"/>
      <c r="S366" s="17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BW366" s="10">
        <v>1</v>
      </c>
      <c r="EZ366" s="146"/>
      <c r="FA366" s="146"/>
      <c r="FB366" s="146"/>
      <c r="FC366" s="146"/>
      <c r="FD366" s="146"/>
    </row>
    <row r="367" spans="2:160" ht="12.75">
      <c r="B367" s="96">
        <f>COUNT(R367:EY367,FE367:FM367)</f>
        <v>0</v>
      </c>
      <c r="C367" s="96">
        <f>IF(COUNT(R367:EY367,FE367:FM367)&gt;0,COUNT(R367:EY367,FE367:FM367),"")</f>
      </c>
      <c r="D367" s="96">
        <f>IF(COUNT(T367:BJ367,BL367:BT367,BV367:CB367,CD367:EY367,FE367:FM367)&gt;0,COUNT(T367:BJ367,BL367:BT367,BV367:CB367,CD367:EY367,FE367:FM367),"")</f>
      </c>
      <c r="E367" s="96">
        <f>IF(H367=1,COUNT(R367:EY367,FE367:FM367),"")</f>
        <v>0</v>
      </c>
      <c r="F367" s="96">
        <f>IF(H367=1,COUNT(T367:BJ367,BL367:BT367,BV367:CB367,CD367:EY367,FE367:FM367),"")</f>
        <v>0</v>
      </c>
      <c r="G367" s="96">
        <f>IF($B367&gt;=1,$M367,"")</f>
      </c>
      <c r="H367" s="149">
        <f>IF(AND(M367&gt;0,M367&lt;=STATS!$C$22),1,"")</f>
        <v>1</v>
      </c>
      <c r="J367" s="34">
        <v>366</v>
      </c>
      <c r="K367" s="165">
        <v>46.12346</v>
      </c>
      <c r="L367" s="165">
        <v>-91.21725</v>
      </c>
      <c r="M367" s="10">
        <v>14</v>
      </c>
      <c r="N367" s="10" t="s">
        <v>563</v>
      </c>
      <c r="O367" s="190" t="s">
        <v>648</v>
      </c>
      <c r="R367" s="17"/>
      <c r="S367" s="17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EZ367" s="146"/>
      <c r="FA367" s="146"/>
      <c r="FB367" s="146"/>
      <c r="FC367" s="146"/>
      <c r="FD367" s="146"/>
    </row>
    <row r="368" spans="2:160" ht="12.75">
      <c r="B368" s="96">
        <f>COUNT(R368:EY368,FE368:FM368)</f>
        <v>1</v>
      </c>
      <c r="C368" s="96">
        <f>IF(COUNT(R368:EY368,FE368:FM368)&gt;0,COUNT(R368:EY368,FE368:FM368),"")</f>
        <v>1</v>
      </c>
      <c r="D368" s="96">
        <f>IF(COUNT(T368:BJ368,BL368:BT368,BV368:CB368,CD368:EY368,FE368:FM368)&gt;0,COUNT(T368:BJ368,BL368:BT368,BV368:CB368,CD368:EY368,FE368:FM368),"")</f>
        <v>1</v>
      </c>
      <c r="E368" s="96">
        <f>IF(H368=1,COUNT(R368:EY368,FE368:FM368),"")</f>
        <v>1</v>
      </c>
      <c r="F368" s="96">
        <f>IF(H368=1,COUNT(T368:BJ368,BL368:BT368,BV368:CB368,CD368:EY368,FE368:FM368),"")</f>
        <v>1</v>
      </c>
      <c r="G368" s="96">
        <f>IF($B368&gt;=1,$M368,"")</f>
        <v>12.5</v>
      </c>
      <c r="H368" s="149">
        <f>IF(AND(M368&gt;0,M368&lt;=STATS!$C$22),1,"")</f>
        <v>1</v>
      </c>
      <c r="J368" s="34">
        <v>367</v>
      </c>
      <c r="K368" s="165">
        <v>46.12347</v>
      </c>
      <c r="L368" s="165">
        <v>-91.21679</v>
      </c>
      <c r="M368" s="10">
        <v>12.5</v>
      </c>
      <c r="N368" s="10" t="s">
        <v>563</v>
      </c>
      <c r="O368" s="190" t="s">
        <v>648</v>
      </c>
      <c r="Q368" s="10">
        <v>1</v>
      </c>
      <c r="R368" s="17"/>
      <c r="S368" s="17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BW368" s="10">
        <v>1</v>
      </c>
      <c r="EZ368" s="146"/>
      <c r="FA368" s="146"/>
      <c r="FB368" s="146"/>
      <c r="FC368" s="146"/>
      <c r="FD368" s="146"/>
    </row>
    <row r="369" spans="2:160" ht="12.75">
      <c r="B369" s="96">
        <f>COUNT(R369:EY369,FE369:FM369)</f>
        <v>0</v>
      </c>
      <c r="C369" s="96">
        <f>IF(COUNT(R369:EY369,FE369:FM369)&gt;0,COUNT(R369:EY369,FE369:FM369),"")</f>
      </c>
      <c r="D369" s="96">
        <f>IF(COUNT(T369:BJ369,BL369:BT369,BV369:CB369,CD369:EY369,FE369:FM369)&gt;0,COUNT(T369:BJ369,BL369:BT369,BV369:CB369,CD369:EY369,FE369:FM369),"")</f>
      </c>
      <c r="E369" s="96">
        <f>IF(H369=1,COUNT(R369:EY369,FE369:FM369),"")</f>
        <v>0</v>
      </c>
      <c r="F369" s="96">
        <f>IF(H369=1,COUNT(T369:BJ369,BL369:BT369,BV369:CB369,CD369:EY369,FE369:FM369),"")</f>
        <v>0</v>
      </c>
      <c r="G369" s="96">
        <f>IF($B369&gt;=1,$M369,"")</f>
      </c>
      <c r="H369" s="149">
        <f>IF(AND(M369&gt;0,M369&lt;=STATS!$C$22),1,"")</f>
        <v>1</v>
      </c>
      <c r="J369" s="34">
        <v>368</v>
      </c>
      <c r="K369" s="165">
        <v>46.12347</v>
      </c>
      <c r="L369" s="165">
        <v>-91.21632</v>
      </c>
      <c r="M369" s="10">
        <v>10</v>
      </c>
      <c r="N369" s="10" t="s">
        <v>563</v>
      </c>
      <c r="O369" s="190" t="s">
        <v>648</v>
      </c>
      <c r="R369" s="17"/>
      <c r="S369" s="17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EZ369" s="146"/>
      <c r="FA369" s="146"/>
      <c r="FB369" s="146"/>
      <c r="FC369" s="146"/>
      <c r="FD369" s="146"/>
    </row>
    <row r="370" spans="2:160" ht="12.75">
      <c r="B370" s="96">
        <f>COUNT(R370:EY370,FE370:FM370)</f>
        <v>7</v>
      </c>
      <c r="C370" s="96">
        <f>IF(COUNT(R370:EY370,FE370:FM370)&gt;0,COUNT(R370:EY370,FE370:FM370),"")</f>
        <v>7</v>
      </c>
      <c r="D370" s="96">
        <f>IF(COUNT(T370:BJ370,BL370:BT370,BV370:CB370,CD370:EY370,FE370:FM370)&gt;0,COUNT(T370:BJ370,BL370:BT370,BV370:CB370,CD370:EY370,FE370:FM370),"")</f>
        <v>7</v>
      </c>
      <c r="E370" s="96">
        <f>IF(H370=1,COUNT(R370:EY370,FE370:FM370),"")</f>
        <v>7</v>
      </c>
      <c r="F370" s="96">
        <f>IF(H370=1,COUNT(T370:BJ370,BL370:BT370,BV370:CB370,CD370:EY370,FE370:FM370),"")</f>
        <v>7</v>
      </c>
      <c r="G370" s="96">
        <f>IF($B370&gt;=1,$M370,"")</f>
        <v>4</v>
      </c>
      <c r="H370" s="149">
        <f>IF(AND(M370&gt;0,M370&lt;=STATS!$C$22),1,"")</f>
        <v>1</v>
      </c>
      <c r="J370" s="34">
        <v>369</v>
      </c>
      <c r="K370" s="165">
        <v>46.12348</v>
      </c>
      <c r="L370" s="165">
        <v>-91.21585</v>
      </c>
      <c r="M370" s="10">
        <v>4</v>
      </c>
      <c r="N370" s="10" t="s">
        <v>563</v>
      </c>
      <c r="O370" s="190" t="s">
        <v>648</v>
      </c>
      <c r="Q370" s="10">
        <v>3</v>
      </c>
      <c r="R370" s="17"/>
      <c r="S370" s="17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Q370" s="10">
        <v>1</v>
      </c>
      <c r="AW370" s="10">
        <v>1</v>
      </c>
      <c r="BO370" s="10">
        <v>2</v>
      </c>
      <c r="BR370" s="10">
        <v>1</v>
      </c>
      <c r="CA370" s="10">
        <v>3</v>
      </c>
      <c r="CN370" s="10" t="s">
        <v>566</v>
      </c>
      <c r="CO370" s="10">
        <v>1</v>
      </c>
      <c r="CY370" s="10">
        <v>1</v>
      </c>
      <c r="EZ370" s="146"/>
      <c r="FA370" s="146"/>
      <c r="FB370" s="146"/>
      <c r="FC370" s="146"/>
      <c r="FD370" s="146"/>
    </row>
    <row r="371" spans="2:160" ht="12.75">
      <c r="B371" s="96">
        <f>COUNT(R371:EY371,FE371:FM371)</f>
        <v>5</v>
      </c>
      <c r="C371" s="96">
        <f>IF(COUNT(R371:EY371,FE371:FM371)&gt;0,COUNT(R371:EY371,FE371:FM371),"")</f>
        <v>5</v>
      </c>
      <c r="D371" s="96">
        <f>IF(COUNT(T371:BJ371,BL371:BT371,BV371:CB371,CD371:EY371,FE371:FM371)&gt;0,COUNT(T371:BJ371,BL371:BT371,BV371:CB371,CD371:EY371,FE371:FM371),"")</f>
        <v>5</v>
      </c>
      <c r="E371" s="96">
        <f>IF(H371=1,COUNT(R371:EY371,FE371:FM371),"")</f>
        <v>5</v>
      </c>
      <c r="F371" s="96">
        <f>IF(H371=1,COUNT(T371:BJ371,BL371:BT371,BV371:CB371,CD371:EY371,FE371:FM371),"")</f>
        <v>5</v>
      </c>
      <c r="G371" s="96">
        <f>IF($B371&gt;=1,$M371,"")</f>
        <v>4</v>
      </c>
      <c r="H371" s="149">
        <f>IF(AND(M371&gt;0,M371&lt;=STATS!$C$22),1,"")</f>
        <v>1</v>
      </c>
      <c r="J371" s="34">
        <v>370</v>
      </c>
      <c r="K371" s="165">
        <v>46.12348</v>
      </c>
      <c r="L371" s="165">
        <v>-91.21539</v>
      </c>
      <c r="M371" s="10">
        <v>4</v>
      </c>
      <c r="N371" s="10" t="s">
        <v>563</v>
      </c>
      <c r="O371" s="190" t="s">
        <v>648</v>
      </c>
      <c r="Q371" s="10">
        <v>2</v>
      </c>
      <c r="R371" s="17"/>
      <c r="S371" s="17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BR371" s="10">
        <v>1</v>
      </c>
      <c r="BW371" s="10">
        <v>1</v>
      </c>
      <c r="CA371" s="10">
        <v>2</v>
      </c>
      <c r="CY371" s="10">
        <v>1</v>
      </c>
      <c r="DE371" s="10">
        <v>2</v>
      </c>
      <c r="EZ371" s="146"/>
      <c r="FA371" s="146"/>
      <c r="FB371" s="146"/>
      <c r="FC371" s="146"/>
      <c r="FD371" s="146"/>
    </row>
    <row r="372" spans="2:160" ht="12.75">
      <c r="B372" s="96">
        <f>COUNT(R372:EY372,FE372:FM372)</f>
        <v>4</v>
      </c>
      <c r="C372" s="96">
        <f>IF(COUNT(R372:EY372,FE372:FM372)&gt;0,COUNT(R372:EY372,FE372:FM372),"")</f>
        <v>4</v>
      </c>
      <c r="D372" s="96">
        <f>IF(COUNT(T372:BJ372,BL372:BT372,BV372:CB372,CD372:EY372,FE372:FM372)&gt;0,COUNT(T372:BJ372,BL372:BT372,BV372:CB372,CD372:EY372,FE372:FM372),"")</f>
        <v>4</v>
      </c>
      <c r="E372" s="96">
        <f>IF(H372=1,COUNT(R372:EY372,FE372:FM372),"")</f>
        <v>4</v>
      </c>
      <c r="F372" s="96">
        <f>IF(H372=1,COUNT(T372:BJ372,BL372:BT372,BV372:CB372,CD372:EY372,FE372:FM372),"")</f>
        <v>4</v>
      </c>
      <c r="G372" s="96">
        <f>IF($B372&gt;=1,$M372,"")</f>
        <v>6</v>
      </c>
      <c r="H372" s="149">
        <f>IF(AND(M372&gt;0,M372&lt;=STATS!$C$22),1,"")</f>
        <v>1</v>
      </c>
      <c r="J372" s="34">
        <v>371</v>
      </c>
      <c r="K372" s="165">
        <v>46.12349</v>
      </c>
      <c r="L372" s="165">
        <v>-91.21492</v>
      </c>
      <c r="M372" s="10">
        <v>6</v>
      </c>
      <c r="N372" s="10" t="s">
        <v>563</v>
      </c>
      <c r="O372" s="190" t="s">
        <v>648</v>
      </c>
      <c r="Q372" s="10">
        <v>2</v>
      </c>
      <c r="R372" s="17"/>
      <c r="S372" s="17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>
        <v>1</v>
      </c>
      <c r="AH372" s="36"/>
      <c r="BO372" s="10">
        <v>1</v>
      </c>
      <c r="BW372" s="10">
        <v>2</v>
      </c>
      <c r="CY372" s="10">
        <v>1</v>
      </c>
      <c r="EZ372" s="146"/>
      <c r="FA372" s="146"/>
      <c r="FB372" s="146">
        <v>1</v>
      </c>
      <c r="FC372" s="146"/>
      <c r="FD372" s="146"/>
    </row>
    <row r="373" spans="2:160" ht="12.75">
      <c r="B373" s="96">
        <f>COUNT(R373:EY373,FE373:FM373)</f>
        <v>0</v>
      </c>
      <c r="C373" s="96">
        <f>IF(COUNT(R373:EY373,FE373:FM373)&gt;0,COUNT(R373:EY373,FE373:FM373),"")</f>
      </c>
      <c r="D373" s="96">
        <f>IF(COUNT(T373:BJ373,BL373:BT373,BV373:CB373,CD373:EY373,FE373:FM373)&gt;0,COUNT(T373:BJ373,BL373:BT373,BV373:CB373,CD373:EY373,FE373:FM373),"")</f>
      </c>
      <c r="E373" s="96">
        <f>IF(H373=1,COUNT(R373:EY373,FE373:FM373),"")</f>
        <v>0</v>
      </c>
      <c r="F373" s="96">
        <f>IF(H373=1,COUNT(T373:BJ373,BL373:BT373,BV373:CB373,CD373:EY373,FE373:FM373),"")</f>
        <v>0</v>
      </c>
      <c r="G373" s="96">
        <f>IF($B373&gt;=1,$M373,"")</f>
      </c>
      <c r="H373" s="149">
        <f>IF(AND(M373&gt;0,M373&lt;=STATS!$C$22),1,"")</f>
        <v>1</v>
      </c>
      <c r="J373" s="34">
        <v>372</v>
      </c>
      <c r="K373" s="165">
        <v>46.12349</v>
      </c>
      <c r="L373" s="165">
        <v>-91.21446</v>
      </c>
      <c r="M373" s="10">
        <v>10.5</v>
      </c>
      <c r="N373" s="10" t="s">
        <v>563</v>
      </c>
      <c r="O373" s="190" t="s">
        <v>648</v>
      </c>
      <c r="R373" s="17"/>
      <c r="S373" s="17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EZ373" s="146"/>
      <c r="FA373" s="146"/>
      <c r="FB373" s="146"/>
      <c r="FC373" s="146"/>
      <c r="FD373" s="146"/>
    </row>
    <row r="374" spans="2:160" ht="12.75">
      <c r="B374" s="96">
        <f>COUNT(R374:EY374,FE374:FM374)</f>
        <v>2</v>
      </c>
      <c r="C374" s="96">
        <f>IF(COUNT(R374:EY374,FE374:FM374)&gt;0,COUNT(R374:EY374,FE374:FM374),"")</f>
        <v>2</v>
      </c>
      <c r="D374" s="96">
        <f>IF(COUNT(T374:BJ374,BL374:BT374,BV374:CB374,CD374:EY374,FE374:FM374)&gt;0,COUNT(T374:BJ374,BL374:BT374,BV374:CB374,CD374:EY374,FE374:FM374),"")</f>
        <v>2</v>
      </c>
      <c r="E374" s="96">
        <f>IF(H374=1,COUNT(R374:EY374,FE374:FM374),"")</f>
        <v>2</v>
      </c>
      <c r="F374" s="96">
        <f>IF(H374=1,COUNT(T374:BJ374,BL374:BT374,BV374:CB374,CD374:EY374,FE374:FM374),"")</f>
        <v>2</v>
      </c>
      <c r="G374" s="96">
        <f>IF($B374&gt;=1,$M374,"")</f>
        <v>11</v>
      </c>
      <c r="H374" s="149">
        <f>IF(AND(M374&gt;0,M374&lt;=STATS!$C$22),1,"")</f>
        <v>1</v>
      </c>
      <c r="J374" s="34">
        <v>373</v>
      </c>
      <c r="K374" s="165">
        <v>46.1235</v>
      </c>
      <c r="L374" s="165">
        <v>-91.21399</v>
      </c>
      <c r="M374" s="10">
        <v>11</v>
      </c>
      <c r="N374" s="10" t="s">
        <v>563</v>
      </c>
      <c r="O374" s="190" t="s">
        <v>648</v>
      </c>
      <c r="Q374" s="10">
        <v>1</v>
      </c>
      <c r="R374" s="17"/>
      <c r="S374" s="17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>
        <v>1</v>
      </c>
      <c r="AF374" s="36"/>
      <c r="AG374" s="36"/>
      <c r="AH374" s="36"/>
      <c r="BW374" s="10">
        <v>1</v>
      </c>
      <c r="EZ374" s="146"/>
      <c r="FA374" s="146"/>
      <c r="FB374" s="146"/>
      <c r="FC374" s="146"/>
      <c r="FD374" s="146"/>
    </row>
    <row r="375" spans="2:160" ht="12.75">
      <c r="B375" s="96">
        <f>COUNT(R375:EY375,FE375:FM375)</f>
        <v>0</v>
      </c>
      <c r="C375" s="96">
        <f>IF(COUNT(R375:EY375,FE375:FM375)&gt;0,COUNT(R375:EY375,FE375:FM375),"")</f>
      </c>
      <c r="D375" s="96">
        <f>IF(COUNT(T375:BJ375,BL375:BT375,BV375:CB375,CD375:EY375,FE375:FM375)&gt;0,COUNT(T375:BJ375,BL375:BT375,BV375:CB375,CD375:EY375,FE375:FM375),"")</f>
      </c>
      <c r="E375" s="96">
        <f>IF(H375=1,COUNT(R375:EY375,FE375:FM375),"")</f>
        <v>0</v>
      </c>
      <c r="F375" s="96">
        <f>IF(H375=1,COUNT(T375:BJ375,BL375:BT375,BV375:CB375,CD375:EY375,FE375:FM375),"")</f>
        <v>0</v>
      </c>
      <c r="G375" s="96">
        <f>IF($B375&gt;=1,$M375,"")</f>
      </c>
      <c r="H375" s="149">
        <f>IF(AND(M375&gt;0,M375&lt;=STATS!$C$22),1,"")</f>
        <v>1</v>
      </c>
      <c r="J375" s="34">
        <v>374</v>
      </c>
      <c r="K375" s="165">
        <v>46.1235</v>
      </c>
      <c r="L375" s="165">
        <v>-91.21353</v>
      </c>
      <c r="M375" s="10">
        <v>10</v>
      </c>
      <c r="N375" s="10" t="s">
        <v>563</v>
      </c>
      <c r="O375" s="190" t="s">
        <v>648</v>
      </c>
      <c r="R375" s="17"/>
      <c r="S375" s="17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EZ375" s="146"/>
      <c r="FA375" s="146"/>
      <c r="FB375" s="146"/>
      <c r="FC375" s="146"/>
      <c r="FD375" s="146"/>
    </row>
    <row r="376" spans="2:160" ht="12.75">
      <c r="B376" s="96">
        <f>COUNT(R376:EY376,FE376:FM376)</f>
        <v>0</v>
      </c>
      <c r="C376" s="96">
        <f>IF(COUNT(R376:EY376,FE376:FM376)&gt;0,COUNT(R376:EY376,FE376:FM376),"")</f>
      </c>
      <c r="D376" s="96">
        <f>IF(COUNT(T376:BJ376,BL376:BT376,BV376:CB376,CD376:EY376,FE376:FM376)&gt;0,COUNT(T376:BJ376,BL376:BT376,BV376:CB376,CD376:EY376,FE376:FM376),"")</f>
      </c>
      <c r="E376" s="96">
        <f>IF(H376=1,COUNT(R376:EY376,FE376:FM376),"")</f>
        <v>0</v>
      </c>
      <c r="F376" s="96">
        <f>IF(H376=1,COUNT(T376:BJ376,BL376:BT376,BV376:CB376,CD376:EY376,FE376:FM376),"")</f>
        <v>0</v>
      </c>
      <c r="G376" s="96">
        <f>IF($B376&gt;=1,$M376,"")</f>
      </c>
      <c r="H376" s="149">
        <f>IF(AND(M376&gt;0,M376&lt;=STATS!$C$22),1,"")</f>
        <v>1</v>
      </c>
      <c r="J376" s="34">
        <v>375</v>
      </c>
      <c r="K376" s="165">
        <v>46.12351</v>
      </c>
      <c r="L376" s="165">
        <v>-91.21306</v>
      </c>
      <c r="M376" s="10">
        <v>12</v>
      </c>
      <c r="N376" s="10" t="s">
        <v>563</v>
      </c>
      <c r="O376" s="190" t="s">
        <v>648</v>
      </c>
      <c r="R376" s="17"/>
      <c r="S376" s="17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EZ376" s="146"/>
      <c r="FA376" s="146"/>
      <c r="FB376" s="146"/>
      <c r="FC376" s="146"/>
      <c r="FD376" s="146"/>
    </row>
    <row r="377" spans="2:160" ht="12.75">
      <c r="B377" s="96">
        <f>COUNT(R377:EY377,FE377:FM377)</f>
        <v>2</v>
      </c>
      <c r="C377" s="96">
        <f>IF(COUNT(R377:EY377,FE377:FM377)&gt;0,COUNT(R377:EY377,FE377:FM377),"")</f>
        <v>2</v>
      </c>
      <c r="D377" s="96">
        <f>IF(COUNT(T377:BJ377,BL377:BT377,BV377:CB377,CD377:EY377,FE377:FM377)&gt;0,COUNT(T377:BJ377,BL377:BT377,BV377:CB377,CD377:EY377,FE377:FM377),"")</f>
        <v>2</v>
      </c>
      <c r="E377" s="96">
        <f>IF(H377=1,COUNT(R377:EY377,FE377:FM377),"")</f>
        <v>2</v>
      </c>
      <c r="F377" s="96">
        <f>IF(H377=1,COUNT(T377:BJ377,BL377:BT377,BV377:CB377,CD377:EY377,FE377:FM377),"")</f>
        <v>2</v>
      </c>
      <c r="G377" s="96">
        <f>IF($B377&gt;=1,$M377,"")</f>
        <v>8.5</v>
      </c>
      <c r="H377" s="149">
        <f>IF(AND(M377&gt;0,M377&lt;=STATS!$C$22),1,"")</f>
        <v>1</v>
      </c>
      <c r="J377" s="34">
        <v>376</v>
      </c>
      <c r="K377" s="165">
        <v>46.12351</v>
      </c>
      <c r="L377" s="165">
        <v>-91.21259</v>
      </c>
      <c r="M377" s="10">
        <v>8.5</v>
      </c>
      <c r="N377" s="10" t="s">
        <v>563</v>
      </c>
      <c r="O377" s="190" t="s">
        <v>648</v>
      </c>
      <c r="Q377" s="10">
        <v>1</v>
      </c>
      <c r="R377" s="17"/>
      <c r="S377" s="17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>
        <v>1</v>
      </c>
      <c r="AF377" s="36"/>
      <c r="AG377" s="36"/>
      <c r="AH377" s="36"/>
      <c r="BW377" s="10">
        <v>1</v>
      </c>
      <c r="DE377" s="10" t="s">
        <v>566</v>
      </c>
      <c r="EZ377" s="146"/>
      <c r="FA377" s="146"/>
      <c r="FB377" s="146">
        <v>1</v>
      </c>
      <c r="FC377" s="146"/>
      <c r="FD377" s="146"/>
    </row>
    <row r="378" spans="2:160" ht="12.75">
      <c r="B378" s="96">
        <f>COUNT(R378:EY378,FE378:FM378)</f>
        <v>3</v>
      </c>
      <c r="C378" s="96">
        <f>IF(COUNT(R378:EY378,FE378:FM378)&gt;0,COUNT(R378:EY378,FE378:FM378),"")</f>
        <v>3</v>
      </c>
      <c r="D378" s="96">
        <f>IF(COUNT(T378:BJ378,BL378:BT378,BV378:CB378,CD378:EY378,FE378:FM378)&gt;0,COUNT(T378:BJ378,BL378:BT378,BV378:CB378,CD378:EY378,FE378:FM378),"")</f>
        <v>3</v>
      </c>
      <c r="E378" s="96">
        <f>IF(H378=1,COUNT(R378:EY378,FE378:FM378),"")</f>
        <v>3</v>
      </c>
      <c r="F378" s="96">
        <f>IF(H378=1,COUNT(T378:BJ378,BL378:BT378,BV378:CB378,CD378:EY378,FE378:FM378),"")</f>
        <v>3</v>
      </c>
      <c r="G378" s="96">
        <f>IF($B378&gt;=1,$M378,"")</f>
        <v>3.5</v>
      </c>
      <c r="H378" s="149">
        <f>IF(AND(M378&gt;0,M378&lt;=STATS!$C$22),1,"")</f>
        <v>1</v>
      </c>
      <c r="J378" s="34">
        <v>377</v>
      </c>
      <c r="K378" s="165">
        <v>46.12352</v>
      </c>
      <c r="L378" s="165">
        <v>-91.21213</v>
      </c>
      <c r="M378" s="10">
        <v>3.5</v>
      </c>
      <c r="N378" s="10" t="s">
        <v>564</v>
      </c>
      <c r="O378" s="190" t="s">
        <v>648</v>
      </c>
      <c r="Q378" s="10">
        <v>2</v>
      </c>
      <c r="R378" s="17"/>
      <c r="S378" s="17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>
        <v>2</v>
      </c>
      <c r="AH378" s="36"/>
      <c r="AO378" s="10">
        <v>1</v>
      </c>
      <c r="BR378" s="10">
        <v>1</v>
      </c>
      <c r="CI378" s="10" t="s">
        <v>566</v>
      </c>
      <c r="EZ378" s="146"/>
      <c r="FA378" s="146"/>
      <c r="FB378" s="146"/>
      <c r="FC378" s="146"/>
      <c r="FD378" s="146"/>
    </row>
    <row r="379" spans="2:160" ht="12.75">
      <c r="B379" s="96">
        <f>COUNT(R379:EY379,FE379:FM379)</f>
        <v>3</v>
      </c>
      <c r="C379" s="96">
        <f>IF(COUNT(R379:EY379,FE379:FM379)&gt;0,COUNT(R379:EY379,FE379:FM379),"")</f>
        <v>3</v>
      </c>
      <c r="D379" s="96">
        <f>IF(COUNT(T379:BJ379,BL379:BT379,BV379:CB379,CD379:EY379,FE379:FM379)&gt;0,COUNT(T379:BJ379,BL379:BT379,BV379:CB379,CD379:EY379,FE379:FM379),"")</f>
        <v>3</v>
      </c>
      <c r="E379" s="96">
        <f>IF(H379=1,COUNT(R379:EY379,FE379:FM379),"")</f>
        <v>3</v>
      </c>
      <c r="F379" s="96">
        <f>IF(H379=1,COUNT(T379:BJ379,BL379:BT379,BV379:CB379,CD379:EY379,FE379:FM379),"")</f>
        <v>3</v>
      </c>
      <c r="G379" s="96">
        <f>IF($B379&gt;=1,$M379,"")</f>
        <v>3.5</v>
      </c>
      <c r="H379" s="149">
        <f>IF(AND(M379&gt;0,M379&lt;=STATS!$C$22),1,"")</f>
        <v>1</v>
      </c>
      <c r="J379" s="34">
        <v>378</v>
      </c>
      <c r="K379" s="165">
        <v>46.12377</v>
      </c>
      <c r="L379" s="165">
        <v>-91.21912</v>
      </c>
      <c r="M379" s="10">
        <v>3.5</v>
      </c>
      <c r="N379" s="10" t="s">
        <v>563</v>
      </c>
      <c r="O379" s="190" t="s">
        <v>648</v>
      </c>
      <c r="Q379" s="10">
        <v>3</v>
      </c>
      <c r="R379" s="17"/>
      <c r="S379" s="17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>
        <v>3</v>
      </c>
      <c r="AH379" s="36"/>
      <c r="BO379" s="10">
        <v>1</v>
      </c>
      <c r="DE379" s="10">
        <v>1</v>
      </c>
      <c r="EZ379" s="146"/>
      <c r="FA379" s="146"/>
      <c r="FB379" s="146">
        <v>1</v>
      </c>
      <c r="FC379" s="146"/>
      <c r="FD379" s="146"/>
    </row>
    <row r="380" spans="2:160" ht="12.75">
      <c r="B380" s="96">
        <f>COUNT(R380:EY380,FE380:FM380)</f>
        <v>7</v>
      </c>
      <c r="C380" s="96">
        <f>IF(COUNT(R380:EY380,FE380:FM380)&gt;0,COUNT(R380:EY380,FE380:FM380),"")</f>
        <v>7</v>
      </c>
      <c r="D380" s="96">
        <f>IF(COUNT(T380:BJ380,BL380:BT380,BV380:CB380,CD380:EY380,FE380:FM380)&gt;0,COUNT(T380:BJ380,BL380:BT380,BV380:CB380,CD380:EY380,FE380:FM380),"")</f>
        <v>7</v>
      </c>
      <c r="E380" s="96">
        <f>IF(H380=1,COUNT(R380:EY380,FE380:FM380),"")</f>
        <v>7</v>
      </c>
      <c r="F380" s="96">
        <f>IF(H380=1,COUNT(T380:BJ380,BL380:BT380,BV380:CB380,CD380:EY380,FE380:FM380),"")</f>
        <v>7</v>
      </c>
      <c r="G380" s="96">
        <f>IF($B380&gt;=1,$M380,"")</f>
        <v>5</v>
      </c>
      <c r="H380" s="149">
        <f>IF(AND(M380&gt;0,M380&lt;=STATS!$C$22),1,"")</f>
        <v>1</v>
      </c>
      <c r="J380" s="34">
        <v>379</v>
      </c>
      <c r="K380" s="165">
        <v>46.12377</v>
      </c>
      <c r="L380" s="165">
        <v>-91.21866</v>
      </c>
      <c r="M380" s="10">
        <v>5</v>
      </c>
      <c r="N380" s="10" t="s">
        <v>563</v>
      </c>
      <c r="O380" s="190" t="s">
        <v>648</v>
      </c>
      <c r="Q380" s="10">
        <v>2</v>
      </c>
      <c r="R380" s="17"/>
      <c r="S380" s="17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>
        <v>1</v>
      </c>
      <c r="AF380" s="36"/>
      <c r="AG380" s="36"/>
      <c r="AH380" s="36"/>
      <c r="BR380" s="10">
        <v>1</v>
      </c>
      <c r="CB380" s="10">
        <v>1</v>
      </c>
      <c r="CO380" s="10">
        <v>1</v>
      </c>
      <c r="CS380" s="10">
        <v>1</v>
      </c>
      <c r="DA380" s="10">
        <v>1</v>
      </c>
      <c r="DE380" s="10">
        <v>2</v>
      </c>
      <c r="EZ380" s="146"/>
      <c r="FA380" s="146"/>
      <c r="FB380" s="146"/>
      <c r="FC380" s="146"/>
      <c r="FD380" s="146"/>
    </row>
    <row r="381" spans="2:160" ht="12.75">
      <c r="B381" s="96">
        <f>COUNT(R381:EY381,FE381:FM381)</f>
        <v>0</v>
      </c>
      <c r="C381" s="96">
        <f>IF(COUNT(R381:EY381,FE381:FM381)&gt;0,COUNT(R381:EY381,FE381:FM381),"")</f>
      </c>
      <c r="D381" s="96">
        <f>IF(COUNT(T381:BJ381,BL381:BT381,BV381:CB381,CD381:EY381,FE381:FM381)&gt;0,COUNT(T381:BJ381,BL381:BT381,BV381:CB381,CD381:EY381,FE381:FM381),"")</f>
      </c>
      <c r="E381" s="96">
        <f>IF(H381=1,COUNT(R381:EY381,FE381:FM381),"")</f>
        <v>0</v>
      </c>
      <c r="F381" s="96">
        <f>IF(H381=1,COUNT(T381:BJ381,BL381:BT381,BV381:CB381,CD381:EY381,FE381:FM381),"")</f>
        <v>0</v>
      </c>
      <c r="G381" s="96">
        <f>IF($B381&gt;=1,$M381,"")</f>
      </c>
      <c r="H381" s="149">
        <f>IF(AND(M381&gt;0,M381&lt;=STATS!$C$22),1,"")</f>
        <v>1</v>
      </c>
      <c r="J381" s="34">
        <v>380</v>
      </c>
      <c r="K381" s="165">
        <v>46.12378</v>
      </c>
      <c r="L381" s="165">
        <v>-91.21819</v>
      </c>
      <c r="M381" s="10">
        <v>10</v>
      </c>
      <c r="N381" s="10" t="s">
        <v>563</v>
      </c>
      <c r="O381" s="190" t="s">
        <v>648</v>
      </c>
      <c r="R381" s="17"/>
      <c r="S381" s="17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EZ381" s="146"/>
      <c r="FA381" s="146"/>
      <c r="FB381" s="146"/>
      <c r="FC381" s="146"/>
      <c r="FD381" s="146"/>
    </row>
    <row r="382" spans="2:160" ht="12.75">
      <c r="B382" s="96">
        <f>COUNT(R382:EY382,FE382:FM382)</f>
        <v>2</v>
      </c>
      <c r="C382" s="96">
        <f>IF(COUNT(R382:EY382,FE382:FM382)&gt;0,COUNT(R382:EY382,FE382:FM382),"")</f>
        <v>2</v>
      </c>
      <c r="D382" s="96">
        <f>IF(COUNT(T382:BJ382,BL382:BT382,BV382:CB382,CD382:EY382,FE382:FM382)&gt;0,COUNT(T382:BJ382,BL382:BT382,BV382:CB382,CD382:EY382,FE382:FM382),"")</f>
        <v>2</v>
      </c>
      <c r="E382" s="96">
        <f>IF(H382=1,COUNT(R382:EY382,FE382:FM382),"")</f>
        <v>2</v>
      </c>
      <c r="F382" s="96">
        <f>IF(H382=1,COUNT(T382:BJ382,BL382:BT382,BV382:CB382,CD382:EY382,FE382:FM382),"")</f>
        <v>2</v>
      </c>
      <c r="G382" s="96">
        <f>IF($B382&gt;=1,$M382,"")</f>
        <v>9.5</v>
      </c>
      <c r="H382" s="149">
        <f>IF(AND(M382&gt;0,M382&lt;=STATS!$C$22),1,"")</f>
        <v>1</v>
      </c>
      <c r="J382" s="34">
        <v>381</v>
      </c>
      <c r="K382" s="165">
        <v>46.12378</v>
      </c>
      <c r="L382" s="165">
        <v>-91.21773</v>
      </c>
      <c r="M382" s="10">
        <v>9.5</v>
      </c>
      <c r="N382" s="10" t="s">
        <v>563</v>
      </c>
      <c r="O382" s="190" t="s">
        <v>648</v>
      </c>
      <c r="Q382" s="10">
        <v>1</v>
      </c>
      <c r="R382" s="17"/>
      <c r="S382" s="17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BW382" s="10">
        <v>1</v>
      </c>
      <c r="CY382" s="10">
        <v>1</v>
      </c>
      <c r="EZ382" s="146"/>
      <c r="FA382" s="146"/>
      <c r="FB382" s="146"/>
      <c r="FC382" s="146"/>
      <c r="FD382" s="146"/>
    </row>
    <row r="383" spans="2:160" ht="12.75">
      <c r="B383" s="96">
        <f>COUNT(R383:EY383,FE383:FM383)</f>
        <v>0</v>
      </c>
      <c r="C383" s="96">
        <f>IF(COUNT(R383:EY383,FE383:FM383)&gt;0,COUNT(R383:EY383,FE383:FM383),"")</f>
      </c>
      <c r="D383" s="96">
        <f>IF(COUNT(T383:BJ383,BL383:BT383,BV383:CB383,CD383:EY383,FE383:FM383)&gt;0,COUNT(T383:BJ383,BL383:BT383,BV383:CB383,CD383:EY383,FE383:FM383),"")</f>
      </c>
      <c r="E383" s="96">
        <f>IF(H383=1,COUNT(R383:EY383,FE383:FM383),"")</f>
        <v>0</v>
      </c>
      <c r="F383" s="96">
        <f>IF(H383=1,COUNT(T383:BJ383,BL383:BT383,BV383:CB383,CD383:EY383,FE383:FM383),"")</f>
        <v>0</v>
      </c>
      <c r="G383" s="96">
        <f>IF($B383&gt;=1,$M383,"")</f>
      </c>
      <c r="H383" s="149">
        <f>IF(AND(M383&gt;0,M383&lt;=STATS!$C$22),1,"")</f>
        <v>1</v>
      </c>
      <c r="J383" s="34">
        <v>382</v>
      </c>
      <c r="K383" s="165">
        <v>46.12379</v>
      </c>
      <c r="L383" s="165">
        <v>-91.21726</v>
      </c>
      <c r="M383" s="10">
        <v>12</v>
      </c>
      <c r="N383" s="10" t="s">
        <v>563</v>
      </c>
      <c r="O383" s="190" t="s">
        <v>648</v>
      </c>
      <c r="R383" s="17"/>
      <c r="S383" s="17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EZ383" s="146"/>
      <c r="FA383" s="146"/>
      <c r="FB383" s="146"/>
      <c r="FC383" s="146"/>
      <c r="FD383" s="146"/>
    </row>
    <row r="384" spans="2:160" ht="12.75">
      <c r="B384" s="96">
        <f>COUNT(R384:EY384,FE384:FM384)</f>
        <v>4</v>
      </c>
      <c r="C384" s="96">
        <f>IF(COUNT(R384:EY384,FE384:FM384)&gt;0,COUNT(R384:EY384,FE384:FM384),"")</f>
        <v>4</v>
      </c>
      <c r="D384" s="96">
        <f>IF(COUNT(T384:BJ384,BL384:BT384,BV384:CB384,CD384:EY384,FE384:FM384)&gt;0,COUNT(T384:BJ384,BL384:BT384,BV384:CB384,CD384:EY384,FE384:FM384),"")</f>
        <v>4</v>
      </c>
      <c r="E384" s="96">
        <f>IF(H384=1,COUNT(R384:EY384,FE384:FM384),"")</f>
        <v>4</v>
      </c>
      <c r="F384" s="96">
        <f>IF(H384=1,COUNT(T384:BJ384,BL384:BT384,BV384:CB384,CD384:EY384,FE384:FM384),"")</f>
        <v>4</v>
      </c>
      <c r="G384" s="96">
        <f>IF($B384&gt;=1,$M384,"")</f>
        <v>7.5</v>
      </c>
      <c r="H384" s="149">
        <f>IF(AND(M384&gt;0,M384&lt;=STATS!$C$22),1,"")</f>
        <v>1</v>
      </c>
      <c r="J384" s="34">
        <v>383</v>
      </c>
      <c r="K384" s="165">
        <v>46.12379</v>
      </c>
      <c r="L384" s="165">
        <v>-91.21679</v>
      </c>
      <c r="M384" s="10">
        <v>7.5</v>
      </c>
      <c r="N384" s="10" t="s">
        <v>563</v>
      </c>
      <c r="O384" s="190" t="s">
        <v>648</v>
      </c>
      <c r="Q384" s="10">
        <v>2</v>
      </c>
      <c r="R384" s="17"/>
      <c r="S384" s="17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BO384" s="10">
        <v>1</v>
      </c>
      <c r="BW384" s="10">
        <v>2</v>
      </c>
      <c r="CY384" s="10">
        <v>2</v>
      </c>
      <c r="DE384" s="10">
        <v>1</v>
      </c>
      <c r="EZ384" s="146"/>
      <c r="FA384" s="146"/>
      <c r="FB384" s="146"/>
      <c r="FC384" s="146"/>
      <c r="FD384" s="146"/>
    </row>
    <row r="385" spans="2:160" ht="12.75">
      <c r="B385" s="96">
        <f>COUNT(R385:EY385,FE385:FM385)</f>
        <v>6</v>
      </c>
      <c r="C385" s="96">
        <f>IF(COUNT(R385:EY385,FE385:FM385)&gt;0,COUNT(R385:EY385,FE385:FM385),"")</f>
        <v>6</v>
      </c>
      <c r="D385" s="96">
        <f>IF(COUNT(T385:BJ385,BL385:BT385,BV385:CB385,CD385:EY385,FE385:FM385)&gt;0,COUNT(T385:BJ385,BL385:BT385,BV385:CB385,CD385:EY385,FE385:FM385),"")</f>
        <v>6</v>
      </c>
      <c r="E385" s="96">
        <f>IF(H385=1,COUNT(R385:EY385,FE385:FM385),"")</f>
        <v>6</v>
      </c>
      <c r="F385" s="96">
        <f>IF(H385=1,COUNT(T385:BJ385,BL385:BT385,BV385:CB385,CD385:EY385,FE385:FM385),"")</f>
        <v>6</v>
      </c>
      <c r="G385" s="96">
        <f>IF($B385&gt;=1,$M385,"")</f>
        <v>3.5</v>
      </c>
      <c r="H385" s="149">
        <f>IF(AND(M385&gt;0,M385&lt;=STATS!$C$22),1,"")</f>
        <v>1</v>
      </c>
      <c r="J385" s="34">
        <v>384</v>
      </c>
      <c r="K385" s="165">
        <v>46.1238</v>
      </c>
      <c r="L385" s="165">
        <v>-91.21633</v>
      </c>
      <c r="M385" s="10">
        <v>3.5</v>
      </c>
      <c r="N385" s="10" t="s">
        <v>563</v>
      </c>
      <c r="O385" s="190" t="s">
        <v>648</v>
      </c>
      <c r="Q385" s="10">
        <v>2</v>
      </c>
      <c r="R385" s="17"/>
      <c r="S385" s="17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>
        <v>2</v>
      </c>
      <c r="AH385" s="36"/>
      <c r="BR385" s="10">
        <v>1</v>
      </c>
      <c r="CA385" s="10">
        <v>1</v>
      </c>
      <c r="CB385" s="10">
        <v>2</v>
      </c>
      <c r="CO385" s="10" t="s">
        <v>566</v>
      </c>
      <c r="CS385" s="10">
        <v>1</v>
      </c>
      <c r="CY385" s="10" t="s">
        <v>566</v>
      </c>
      <c r="ER385" s="10">
        <v>1</v>
      </c>
      <c r="EZ385" s="146"/>
      <c r="FA385" s="146"/>
      <c r="FB385" s="146"/>
      <c r="FC385" s="146"/>
      <c r="FD385" s="146"/>
    </row>
    <row r="386" spans="2:160" ht="12.75">
      <c r="B386" s="96">
        <f>COUNT(R386:EY386,FE386:FM386)</f>
        <v>7</v>
      </c>
      <c r="C386" s="96">
        <f>IF(COUNT(R386:EY386,FE386:FM386)&gt;0,COUNT(R386:EY386,FE386:FM386),"")</f>
        <v>7</v>
      </c>
      <c r="D386" s="96">
        <f>IF(COUNT(T386:BJ386,BL386:BT386,BV386:CB386,CD386:EY386,FE386:FM386)&gt;0,COUNT(T386:BJ386,BL386:BT386,BV386:CB386,CD386:EY386,FE386:FM386),"")</f>
        <v>7</v>
      </c>
      <c r="E386" s="96">
        <f>IF(H386=1,COUNT(R386:EY386,FE386:FM386),"")</f>
        <v>7</v>
      </c>
      <c r="F386" s="96">
        <f>IF(H386=1,COUNT(T386:BJ386,BL386:BT386,BV386:CB386,CD386:EY386,FE386:FM386),"")</f>
        <v>7</v>
      </c>
      <c r="G386" s="96">
        <f>IF($B386&gt;=1,$M386,"")</f>
        <v>3</v>
      </c>
      <c r="H386" s="149">
        <f>IF(AND(M386&gt;0,M386&lt;=STATS!$C$22),1,"")</f>
        <v>1</v>
      </c>
      <c r="J386" s="34">
        <v>385</v>
      </c>
      <c r="K386" s="165">
        <v>46.1238</v>
      </c>
      <c r="L386" s="165">
        <v>-91.21586</v>
      </c>
      <c r="M386" s="10">
        <v>3</v>
      </c>
      <c r="N386" s="10" t="s">
        <v>563</v>
      </c>
      <c r="O386" s="190" t="s">
        <v>648</v>
      </c>
      <c r="Q386" s="10">
        <v>3</v>
      </c>
      <c r="R386" s="17"/>
      <c r="S386" s="17"/>
      <c r="T386" s="36"/>
      <c r="U386" s="36"/>
      <c r="V386" s="36">
        <v>1</v>
      </c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>
        <v>1</v>
      </c>
      <c r="AH386" s="36"/>
      <c r="BR386" s="10">
        <v>1</v>
      </c>
      <c r="CA386" s="10">
        <v>1</v>
      </c>
      <c r="CB386" s="10">
        <v>3</v>
      </c>
      <c r="CG386" s="10" t="s">
        <v>566</v>
      </c>
      <c r="CO386" s="10" t="s">
        <v>566</v>
      </c>
      <c r="CY386" s="10" t="s">
        <v>566</v>
      </c>
      <c r="DY386" s="10">
        <v>1</v>
      </c>
      <c r="ER386" s="10">
        <v>1</v>
      </c>
      <c r="EZ386" s="146"/>
      <c r="FA386" s="146"/>
      <c r="FB386" s="146"/>
      <c r="FC386" s="146"/>
      <c r="FD386" s="146"/>
    </row>
    <row r="387" spans="2:160" ht="12.75">
      <c r="B387" s="96">
        <f>COUNT(R387:EY387,FE387:FM387)</f>
        <v>7</v>
      </c>
      <c r="C387" s="96">
        <f>IF(COUNT(R387:EY387,FE387:FM387)&gt;0,COUNT(R387:EY387,FE387:FM387),"")</f>
        <v>7</v>
      </c>
      <c r="D387" s="96">
        <f>IF(COUNT(T387:BJ387,BL387:BT387,BV387:CB387,CD387:EY387,FE387:FM387)&gt;0,COUNT(T387:BJ387,BL387:BT387,BV387:CB387,CD387:EY387,FE387:FM387),"")</f>
        <v>7</v>
      </c>
      <c r="E387" s="96">
        <f>IF(H387=1,COUNT(R387:EY387,FE387:FM387),"")</f>
        <v>7</v>
      </c>
      <c r="F387" s="96">
        <f>IF(H387=1,COUNT(T387:BJ387,BL387:BT387,BV387:CB387,CD387:EY387,FE387:FM387),"")</f>
        <v>7</v>
      </c>
      <c r="G387" s="96">
        <f>IF($B387&gt;=1,$M387,"")</f>
        <v>3.5</v>
      </c>
      <c r="H387" s="149">
        <f>IF(AND(M387&gt;0,M387&lt;=STATS!$C$22),1,"")</f>
        <v>1</v>
      </c>
      <c r="J387" s="34">
        <v>386</v>
      </c>
      <c r="K387" s="165">
        <v>46.12381</v>
      </c>
      <c r="L387" s="165">
        <v>-91.2154</v>
      </c>
      <c r="M387" s="10">
        <v>3.5</v>
      </c>
      <c r="N387" s="10" t="s">
        <v>563</v>
      </c>
      <c r="O387" s="190" t="s">
        <v>648</v>
      </c>
      <c r="Q387" s="10">
        <v>3</v>
      </c>
      <c r="R387" s="17"/>
      <c r="S387" s="17"/>
      <c r="T387" s="36"/>
      <c r="U387" s="36"/>
      <c r="V387" s="36"/>
      <c r="W387" s="36"/>
      <c r="X387" s="36">
        <v>1</v>
      </c>
      <c r="Y387" s="36"/>
      <c r="Z387" s="36"/>
      <c r="AA387" s="36"/>
      <c r="AB387" s="36"/>
      <c r="AC387" s="36"/>
      <c r="AD387" s="36"/>
      <c r="AE387" s="36"/>
      <c r="AF387" s="36"/>
      <c r="AG387" s="36">
        <v>3</v>
      </c>
      <c r="AH387" s="36"/>
      <c r="AW387" s="10" t="s">
        <v>566</v>
      </c>
      <c r="BO387" s="10">
        <v>1</v>
      </c>
      <c r="CA387" s="10">
        <v>1</v>
      </c>
      <c r="CB387" s="10">
        <v>2</v>
      </c>
      <c r="CI387" s="10" t="s">
        <v>566</v>
      </c>
      <c r="DE387" s="10">
        <v>1</v>
      </c>
      <c r="DY387" s="10">
        <v>1</v>
      </c>
      <c r="EZ387" s="146"/>
      <c r="FA387" s="146"/>
      <c r="FB387" s="146"/>
      <c r="FC387" s="146"/>
      <c r="FD387" s="146"/>
    </row>
    <row r="388" spans="2:160" ht="12.75">
      <c r="B388" s="96">
        <f>COUNT(R388:EY388,FE388:FM388)</f>
        <v>4</v>
      </c>
      <c r="C388" s="96">
        <f>IF(COUNT(R388:EY388,FE388:FM388)&gt;0,COUNT(R388:EY388,FE388:FM388),"")</f>
        <v>4</v>
      </c>
      <c r="D388" s="96">
        <f>IF(COUNT(T388:BJ388,BL388:BT388,BV388:CB388,CD388:EY388,FE388:FM388)&gt;0,COUNT(T388:BJ388,BL388:BT388,BV388:CB388,CD388:EY388,FE388:FM388),"")</f>
        <v>4</v>
      </c>
      <c r="E388" s="96">
        <f>IF(H388=1,COUNT(R388:EY388,FE388:FM388),"")</f>
        <v>4</v>
      </c>
      <c r="F388" s="96">
        <f>IF(H388=1,COUNT(T388:BJ388,BL388:BT388,BV388:CB388,CD388:EY388,FE388:FM388),"")</f>
        <v>4</v>
      </c>
      <c r="G388" s="96">
        <f>IF($B388&gt;=1,$M388,"")</f>
        <v>4.5</v>
      </c>
      <c r="H388" s="149">
        <f>IF(AND(M388&gt;0,M388&lt;=STATS!$C$22),1,"")</f>
        <v>1</v>
      </c>
      <c r="J388" s="34">
        <v>387</v>
      </c>
      <c r="K388" s="165">
        <v>46.12381</v>
      </c>
      <c r="L388" s="165">
        <v>-91.21493</v>
      </c>
      <c r="M388" s="10">
        <v>4.5</v>
      </c>
      <c r="N388" s="10" t="s">
        <v>563</v>
      </c>
      <c r="O388" s="190" t="s">
        <v>648</v>
      </c>
      <c r="Q388" s="10">
        <v>3</v>
      </c>
      <c r="R388" s="17"/>
      <c r="S388" s="17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BR388" s="10">
        <v>1</v>
      </c>
      <c r="CA388" s="10">
        <v>3</v>
      </c>
      <c r="CB388" s="10">
        <v>1</v>
      </c>
      <c r="CO388" s="10" t="s">
        <v>566</v>
      </c>
      <c r="CY388" s="10" t="s">
        <v>566</v>
      </c>
      <c r="ER388" s="10">
        <v>1</v>
      </c>
      <c r="EZ388" s="146"/>
      <c r="FA388" s="146"/>
      <c r="FB388" s="146"/>
      <c r="FC388" s="146"/>
      <c r="FD388" s="146"/>
    </row>
    <row r="389" spans="2:160" ht="12.75">
      <c r="B389" s="96">
        <f>COUNT(R389:EY389,FE389:FM389)</f>
        <v>3</v>
      </c>
      <c r="C389" s="96">
        <f>IF(COUNT(R389:EY389,FE389:FM389)&gt;0,COUNT(R389:EY389,FE389:FM389),"")</f>
        <v>3</v>
      </c>
      <c r="D389" s="96">
        <f>IF(COUNT(T389:BJ389,BL389:BT389,BV389:CB389,CD389:EY389,FE389:FM389)&gt;0,COUNT(T389:BJ389,BL389:BT389,BV389:CB389,CD389:EY389,FE389:FM389),"")</f>
        <v>3</v>
      </c>
      <c r="E389" s="96">
        <f>IF(H389=1,COUNT(R389:EY389,FE389:FM389),"")</f>
        <v>3</v>
      </c>
      <c r="F389" s="96">
        <f>IF(H389=1,COUNT(T389:BJ389,BL389:BT389,BV389:CB389,CD389:EY389,FE389:FM389),"")</f>
        <v>3</v>
      </c>
      <c r="G389" s="96">
        <f>IF($B389&gt;=1,$M389,"")</f>
        <v>8.5</v>
      </c>
      <c r="H389" s="149">
        <f>IF(AND(M389&gt;0,M389&lt;=STATS!$C$22),1,"")</f>
        <v>1</v>
      </c>
      <c r="J389" s="34">
        <v>388</v>
      </c>
      <c r="K389" s="165">
        <v>46.12382</v>
      </c>
      <c r="L389" s="165">
        <v>-91.21447</v>
      </c>
      <c r="M389" s="10">
        <v>8.5</v>
      </c>
      <c r="N389" s="10" t="s">
        <v>563</v>
      </c>
      <c r="O389" s="190" t="s">
        <v>648</v>
      </c>
      <c r="Q389" s="10">
        <v>2</v>
      </c>
      <c r="R389" s="17"/>
      <c r="S389" s="17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>
        <v>1</v>
      </c>
      <c r="AF389" s="36"/>
      <c r="AG389" s="36"/>
      <c r="AH389" s="36"/>
      <c r="BR389" s="10">
        <v>1</v>
      </c>
      <c r="BW389" s="10">
        <v>2</v>
      </c>
      <c r="EZ389" s="146"/>
      <c r="FA389" s="146"/>
      <c r="FB389" s="146"/>
      <c r="FC389" s="146"/>
      <c r="FD389" s="146"/>
    </row>
    <row r="390" spans="2:160" ht="12.75">
      <c r="B390" s="96">
        <f>COUNT(R390:EY390,FE390:FM390)</f>
        <v>1</v>
      </c>
      <c r="C390" s="96">
        <f>IF(COUNT(R390:EY390,FE390:FM390)&gt;0,COUNT(R390:EY390,FE390:FM390),"")</f>
        <v>1</v>
      </c>
      <c r="D390" s="96">
        <f>IF(COUNT(T390:BJ390,BL390:BT390,BV390:CB390,CD390:EY390,FE390:FM390)&gt;0,COUNT(T390:BJ390,BL390:BT390,BV390:CB390,CD390:EY390,FE390:FM390),"")</f>
        <v>1</v>
      </c>
      <c r="E390" s="96">
        <f>IF(H390=1,COUNT(R390:EY390,FE390:FM390),"")</f>
        <v>1</v>
      </c>
      <c r="F390" s="96">
        <f>IF(H390=1,COUNT(T390:BJ390,BL390:BT390,BV390:CB390,CD390:EY390,FE390:FM390),"")</f>
        <v>1</v>
      </c>
      <c r="G390" s="96">
        <f>IF($B390&gt;=1,$M390,"")</f>
        <v>10</v>
      </c>
      <c r="H390" s="149">
        <f>IF(AND(M390&gt;0,M390&lt;=STATS!$C$22),1,"")</f>
        <v>1</v>
      </c>
      <c r="J390" s="34">
        <v>389</v>
      </c>
      <c r="K390" s="165">
        <v>46.12382</v>
      </c>
      <c r="L390" s="165">
        <v>-91.214</v>
      </c>
      <c r="M390" s="10">
        <v>10</v>
      </c>
      <c r="N390" s="10" t="s">
        <v>563</v>
      </c>
      <c r="O390" s="190" t="s">
        <v>648</v>
      </c>
      <c r="Q390" s="10">
        <v>2</v>
      </c>
      <c r="R390" s="17"/>
      <c r="S390" s="17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BW390" s="10">
        <v>2</v>
      </c>
      <c r="EZ390" s="146"/>
      <c r="FA390" s="146"/>
      <c r="FB390" s="146"/>
      <c r="FC390" s="146"/>
      <c r="FD390" s="146"/>
    </row>
    <row r="391" spans="2:160" ht="12.75">
      <c r="B391" s="96">
        <f>COUNT(R391:EY391,FE391:FM391)</f>
        <v>2</v>
      </c>
      <c r="C391" s="96">
        <f>IF(COUNT(R391:EY391,FE391:FM391)&gt;0,COUNT(R391:EY391,FE391:FM391),"")</f>
        <v>2</v>
      </c>
      <c r="D391" s="96">
        <f>IF(COUNT(T391:BJ391,BL391:BT391,BV391:CB391,CD391:EY391,FE391:FM391)&gt;0,COUNT(T391:BJ391,BL391:BT391,BV391:CB391,CD391:EY391,FE391:FM391),"")</f>
        <v>2</v>
      </c>
      <c r="E391" s="96">
        <f>IF(H391=1,COUNT(R391:EY391,FE391:FM391),"")</f>
        <v>2</v>
      </c>
      <c r="F391" s="96">
        <f>IF(H391=1,COUNT(T391:BJ391,BL391:BT391,BV391:CB391,CD391:EY391,FE391:FM391),"")</f>
        <v>2</v>
      </c>
      <c r="G391" s="96">
        <f>IF($B391&gt;=1,$M391,"")</f>
        <v>9</v>
      </c>
      <c r="H391" s="149">
        <f>IF(AND(M391&gt;0,M391&lt;=STATS!$C$22),1,"")</f>
        <v>1</v>
      </c>
      <c r="J391" s="34">
        <v>390</v>
      </c>
      <c r="K391" s="165">
        <v>46.12383</v>
      </c>
      <c r="L391" s="165">
        <v>-91.21353</v>
      </c>
      <c r="M391" s="10">
        <v>9</v>
      </c>
      <c r="N391" s="10" t="s">
        <v>563</v>
      </c>
      <c r="O391" s="190" t="s">
        <v>648</v>
      </c>
      <c r="Q391" s="10">
        <v>1</v>
      </c>
      <c r="R391" s="17"/>
      <c r="S391" s="17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BR391" s="10">
        <v>1</v>
      </c>
      <c r="BW391" s="10">
        <v>1</v>
      </c>
      <c r="EZ391" s="146"/>
      <c r="FA391" s="146"/>
      <c r="FB391" s="146">
        <v>1</v>
      </c>
      <c r="FC391" s="146"/>
      <c r="FD391" s="146"/>
    </row>
    <row r="392" spans="2:160" ht="12.75">
      <c r="B392" s="96">
        <f>COUNT(R392:EY392,FE392:FM392)</f>
        <v>5</v>
      </c>
      <c r="C392" s="96">
        <f>IF(COUNT(R392:EY392,FE392:FM392)&gt;0,COUNT(R392:EY392,FE392:FM392),"")</f>
        <v>5</v>
      </c>
      <c r="D392" s="96">
        <f>IF(COUNT(T392:BJ392,BL392:BT392,BV392:CB392,CD392:EY392,FE392:FM392)&gt;0,COUNT(T392:BJ392,BL392:BT392,BV392:CB392,CD392:EY392,FE392:FM392),"")</f>
        <v>5</v>
      </c>
      <c r="E392" s="96">
        <f>IF(H392=1,COUNT(R392:EY392,FE392:FM392),"")</f>
        <v>5</v>
      </c>
      <c r="F392" s="96">
        <f>IF(H392=1,COUNT(T392:BJ392,BL392:BT392,BV392:CB392,CD392:EY392,FE392:FM392),"")</f>
        <v>5</v>
      </c>
      <c r="G392" s="96">
        <f>IF($B392&gt;=1,$M392,"")</f>
        <v>4.5</v>
      </c>
      <c r="H392" s="149">
        <f>IF(AND(M392&gt;0,M392&lt;=STATS!$C$22),1,"")</f>
        <v>1</v>
      </c>
      <c r="J392" s="34">
        <v>391</v>
      </c>
      <c r="K392" s="165">
        <v>46.12383</v>
      </c>
      <c r="L392" s="165">
        <v>-91.21307</v>
      </c>
      <c r="M392" s="10">
        <v>4.5</v>
      </c>
      <c r="N392" s="10" t="s">
        <v>563</v>
      </c>
      <c r="O392" s="190" t="s">
        <v>648</v>
      </c>
      <c r="Q392" s="10">
        <v>2</v>
      </c>
      <c r="R392" s="17"/>
      <c r="S392" s="17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>
        <v>1</v>
      </c>
      <c r="AH392" s="36"/>
      <c r="AQ392" s="10">
        <v>1</v>
      </c>
      <c r="BO392" s="10" t="s">
        <v>566</v>
      </c>
      <c r="CW392" s="10">
        <v>2</v>
      </c>
      <c r="CY392" s="10">
        <v>1</v>
      </c>
      <c r="DE392" s="10">
        <v>2</v>
      </c>
      <c r="EZ392" s="146"/>
      <c r="FA392" s="146"/>
      <c r="FB392" s="146"/>
      <c r="FC392" s="146"/>
      <c r="FD392" s="146"/>
    </row>
    <row r="393" spans="2:160" ht="12.75">
      <c r="B393" s="96">
        <f>COUNT(R393:EY393,FE393:FM393)</f>
        <v>3</v>
      </c>
      <c r="C393" s="96">
        <f>IF(COUNT(R393:EY393,FE393:FM393)&gt;0,COUNT(R393:EY393,FE393:FM393),"")</f>
        <v>3</v>
      </c>
      <c r="D393" s="96">
        <f>IF(COUNT(T393:BJ393,BL393:BT393,BV393:CB393,CD393:EY393,FE393:FM393)&gt;0,COUNT(T393:BJ393,BL393:BT393,BV393:CB393,CD393:EY393,FE393:FM393),"")</f>
        <v>3</v>
      </c>
      <c r="E393" s="96">
        <f>IF(H393=1,COUNT(R393:EY393,FE393:FM393),"")</f>
        <v>3</v>
      </c>
      <c r="F393" s="96">
        <f>IF(H393=1,COUNT(T393:BJ393,BL393:BT393,BV393:CB393,CD393:EY393,FE393:FM393),"")</f>
        <v>3</v>
      </c>
      <c r="G393" s="96">
        <f>IF($B393&gt;=1,$M393,"")</f>
        <v>2.5</v>
      </c>
      <c r="H393" s="149">
        <f>IF(AND(M393&gt;0,M393&lt;=STATS!$C$22),1,"")</f>
        <v>1</v>
      </c>
      <c r="J393" s="34">
        <v>392</v>
      </c>
      <c r="K393" s="165">
        <v>46.12384</v>
      </c>
      <c r="L393" s="165">
        <v>-91.2126</v>
      </c>
      <c r="M393" s="10">
        <v>2.5</v>
      </c>
      <c r="N393" s="10" t="s">
        <v>565</v>
      </c>
      <c r="O393" s="190" t="s">
        <v>648</v>
      </c>
      <c r="Q393" s="10">
        <v>3</v>
      </c>
      <c r="R393" s="17"/>
      <c r="S393" s="17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>
        <v>3</v>
      </c>
      <c r="AH393" s="36"/>
      <c r="AO393" s="10" t="s">
        <v>566</v>
      </c>
      <c r="BR393" s="10">
        <v>1</v>
      </c>
      <c r="DQ393" s="10" t="s">
        <v>566</v>
      </c>
      <c r="ES393" s="10">
        <v>1</v>
      </c>
      <c r="EZ393" s="146"/>
      <c r="FA393" s="146"/>
      <c r="FB393" s="146"/>
      <c r="FC393" s="146"/>
      <c r="FD393" s="146"/>
    </row>
    <row r="394" spans="2:160" ht="12.75">
      <c r="B394" s="96">
        <f>COUNT(R394:EY394,FE394:FM394)</f>
        <v>8</v>
      </c>
      <c r="C394" s="96">
        <f>IF(COUNT(R394:EY394,FE394:FM394)&gt;0,COUNT(R394:EY394,FE394:FM394),"")</f>
        <v>8</v>
      </c>
      <c r="D394" s="96">
        <f>IF(COUNT(T394:BJ394,BL394:BT394,BV394:CB394,CD394:EY394,FE394:FM394)&gt;0,COUNT(T394:BJ394,BL394:BT394,BV394:CB394,CD394:EY394,FE394:FM394),"")</f>
        <v>8</v>
      </c>
      <c r="E394" s="96">
        <f>IF(H394=1,COUNT(R394:EY394,FE394:FM394),"")</f>
        <v>8</v>
      </c>
      <c r="F394" s="96">
        <f>IF(H394=1,COUNT(T394:BJ394,BL394:BT394,BV394:CB394,CD394:EY394,FE394:FM394),"")</f>
        <v>8</v>
      </c>
      <c r="G394" s="96">
        <f>IF($B394&gt;=1,$M394,"")</f>
        <v>3</v>
      </c>
      <c r="H394" s="149">
        <f>IF(AND(M394&gt;0,M394&lt;=STATS!$C$22),1,"")</f>
        <v>1</v>
      </c>
      <c r="J394" s="34">
        <v>393</v>
      </c>
      <c r="K394" s="165">
        <v>46.12409</v>
      </c>
      <c r="L394" s="165">
        <v>-91.21913</v>
      </c>
      <c r="M394" s="10">
        <v>3</v>
      </c>
      <c r="N394" s="10" t="s">
        <v>563</v>
      </c>
      <c r="O394" s="190" t="s">
        <v>648</v>
      </c>
      <c r="Q394" s="10">
        <v>3</v>
      </c>
      <c r="R394" s="17"/>
      <c r="S394" s="17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 t="s">
        <v>566</v>
      </c>
      <c r="AF394" s="36"/>
      <c r="AG394" s="36">
        <v>2</v>
      </c>
      <c r="AH394" s="36"/>
      <c r="AQ394" s="10">
        <v>1</v>
      </c>
      <c r="BO394" s="10">
        <v>1</v>
      </c>
      <c r="BR394" s="10">
        <v>1</v>
      </c>
      <c r="CB394" s="10">
        <v>1</v>
      </c>
      <c r="CO394" s="10">
        <v>2</v>
      </c>
      <c r="DA394" s="10">
        <v>2</v>
      </c>
      <c r="DE394" s="10" t="s">
        <v>566</v>
      </c>
      <c r="EF394" s="10">
        <v>1</v>
      </c>
      <c r="EZ394" s="146"/>
      <c r="FA394" s="146"/>
      <c r="FB394" s="146">
        <v>2</v>
      </c>
      <c r="FC394" s="146"/>
      <c r="FD394" s="146"/>
    </row>
    <row r="395" spans="2:160" ht="12.75">
      <c r="B395" s="96">
        <f>COUNT(R395:EY395,FE395:FM395)</f>
        <v>5</v>
      </c>
      <c r="C395" s="96">
        <f>IF(COUNT(R395:EY395,FE395:FM395)&gt;0,COUNT(R395:EY395,FE395:FM395),"")</f>
        <v>5</v>
      </c>
      <c r="D395" s="96">
        <f>IF(COUNT(T395:BJ395,BL395:BT395,BV395:CB395,CD395:EY395,FE395:FM395)&gt;0,COUNT(T395:BJ395,BL395:BT395,BV395:CB395,CD395:EY395,FE395:FM395),"")</f>
        <v>5</v>
      </c>
      <c r="E395" s="96">
        <f>IF(H395=1,COUNT(R395:EY395,FE395:FM395),"")</f>
        <v>5</v>
      </c>
      <c r="F395" s="96">
        <f>IF(H395=1,COUNT(T395:BJ395,BL395:BT395,BV395:CB395,CD395:EY395,FE395:FM395),"")</f>
        <v>5</v>
      </c>
      <c r="G395" s="96">
        <f>IF($B395&gt;=1,$M395,"")</f>
        <v>4</v>
      </c>
      <c r="H395" s="149">
        <f>IF(AND(M395&gt;0,M395&lt;=STATS!$C$22),1,"")</f>
        <v>1</v>
      </c>
      <c r="J395" s="34">
        <v>394</v>
      </c>
      <c r="K395" s="165">
        <v>46.1241</v>
      </c>
      <c r="L395" s="165">
        <v>-91.21867</v>
      </c>
      <c r="M395" s="10">
        <v>4</v>
      </c>
      <c r="N395" s="10" t="s">
        <v>563</v>
      </c>
      <c r="O395" s="190" t="s">
        <v>648</v>
      </c>
      <c r="Q395" s="10">
        <v>3</v>
      </c>
      <c r="R395" s="17"/>
      <c r="S395" s="17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>
        <v>1</v>
      </c>
      <c r="AF395" s="36"/>
      <c r="AG395" s="36"/>
      <c r="AH395" s="36"/>
      <c r="BO395" s="10">
        <v>1</v>
      </c>
      <c r="CA395" s="10">
        <v>3</v>
      </c>
      <c r="CB395" s="10">
        <v>1</v>
      </c>
      <c r="DE395" s="10">
        <v>1</v>
      </c>
      <c r="EZ395" s="146"/>
      <c r="FA395" s="146"/>
      <c r="FB395" s="146"/>
      <c r="FC395" s="146"/>
      <c r="FD395" s="146"/>
    </row>
    <row r="396" spans="2:160" ht="12.75">
      <c r="B396" s="96">
        <f>COUNT(R396:EY396,FE396:FM396)</f>
        <v>6</v>
      </c>
      <c r="C396" s="96">
        <f>IF(COUNT(R396:EY396,FE396:FM396)&gt;0,COUNT(R396:EY396,FE396:FM396),"")</f>
        <v>6</v>
      </c>
      <c r="D396" s="96">
        <f>IF(COUNT(T396:BJ396,BL396:BT396,BV396:CB396,CD396:EY396,FE396:FM396)&gt;0,COUNT(T396:BJ396,BL396:BT396,BV396:CB396,CD396:EY396,FE396:FM396),"")</f>
        <v>6</v>
      </c>
      <c r="E396" s="96">
        <f>IF(H396=1,COUNT(R396:EY396,FE396:FM396),"")</f>
        <v>6</v>
      </c>
      <c r="F396" s="96">
        <f>IF(H396=1,COUNT(T396:BJ396,BL396:BT396,BV396:CB396,CD396:EY396,FE396:FM396),"")</f>
        <v>6</v>
      </c>
      <c r="G396" s="96">
        <f>IF($B396&gt;=1,$M396,"")</f>
        <v>3</v>
      </c>
      <c r="H396" s="149">
        <f>IF(AND(M396&gt;0,M396&lt;=STATS!$C$22),1,"")</f>
        <v>1</v>
      </c>
      <c r="J396" s="34">
        <v>395</v>
      </c>
      <c r="K396" s="165">
        <v>46.1241</v>
      </c>
      <c r="L396" s="165">
        <v>-91.2182</v>
      </c>
      <c r="M396" s="10">
        <v>3</v>
      </c>
      <c r="N396" s="10" t="s">
        <v>563</v>
      </c>
      <c r="O396" s="190" t="s">
        <v>648</v>
      </c>
      <c r="Q396" s="10">
        <v>2</v>
      </c>
      <c r="R396" s="17"/>
      <c r="S396" s="17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 t="s">
        <v>566</v>
      </c>
      <c r="AF396" s="36"/>
      <c r="AG396" s="36">
        <v>2</v>
      </c>
      <c r="AH396" s="36"/>
      <c r="AW396" s="10">
        <v>1</v>
      </c>
      <c r="BR396" s="10" t="s">
        <v>566</v>
      </c>
      <c r="CA396" s="10" t="s">
        <v>566</v>
      </c>
      <c r="CB396" s="10">
        <v>2</v>
      </c>
      <c r="DA396" s="10">
        <v>1</v>
      </c>
      <c r="DE396" s="10">
        <v>1</v>
      </c>
      <c r="EF396" s="10">
        <v>1</v>
      </c>
      <c r="EZ396" s="146"/>
      <c r="FA396" s="146"/>
      <c r="FB396" s="146">
        <v>1</v>
      </c>
      <c r="FC396" s="146"/>
      <c r="FD396" s="146"/>
    </row>
    <row r="397" spans="2:160" ht="12.75">
      <c r="B397" s="96">
        <f>COUNT(R397:EY397,FE397:FM397)</f>
        <v>6</v>
      </c>
      <c r="C397" s="96">
        <f>IF(COUNT(R397:EY397,FE397:FM397)&gt;0,COUNT(R397:EY397,FE397:FM397),"")</f>
        <v>6</v>
      </c>
      <c r="D397" s="96">
        <f>IF(COUNT(T397:BJ397,BL397:BT397,BV397:CB397,CD397:EY397,FE397:FM397)&gt;0,COUNT(T397:BJ397,BL397:BT397,BV397:CB397,CD397:EY397,FE397:FM397),"")</f>
        <v>6</v>
      </c>
      <c r="E397" s="96">
        <f>IF(H397=1,COUNT(R397:EY397,FE397:FM397),"")</f>
        <v>6</v>
      </c>
      <c r="F397" s="96">
        <f>IF(H397=1,COUNT(T397:BJ397,BL397:BT397,BV397:CB397,CD397:EY397,FE397:FM397),"")</f>
        <v>6</v>
      </c>
      <c r="G397" s="96">
        <f>IF($B397&gt;=1,$M397,"")</f>
        <v>4.5</v>
      </c>
      <c r="H397" s="149">
        <f>IF(AND(M397&gt;0,M397&lt;=STATS!$C$22),1,"")</f>
        <v>1</v>
      </c>
      <c r="J397" s="34">
        <v>396</v>
      </c>
      <c r="K397" s="165">
        <v>46.12411</v>
      </c>
      <c r="L397" s="165">
        <v>-91.21773</v>
      </c>
      <c r="M397" s="10">
        <v>4.5</v>
      </c>
      <c r="N397" s="10" t="s">
        <v>563</v>
      </c>
      <c r="O397" s="190" t="s">
        <v>648</v>
      </c>
      <c r="Q397" s="10">
        <v>2</v>
      </c>
      <c r="R397" s="17"/>
      <c r="S397" s="17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>
        <v>1</v>
      </c>
      <c r="AF397" s="36"/>
      <c r="AG397" s="36"/>
      <c r="AH397" s="36"/>
      <c r="BO397" s="10">
        <v>1</v>
      </c>
      <c r="CI397" s="10">
        <v>1</v>
      </c>
      <c r="CO397" s="10">
        <v>2</v>
      </c>
      <c r="DA397" s="10">
        <v>2</v>
      </c>
      <c r="DE397" s="10">
        <v>1</v>
      </c>
      <c r="EZ397" s="146"/>
      <c r="FA397" s="146"/>
      <c r="FB397" s="146"/>
      <c r="FC397" s="146"/>
      <c r="FD397" s="146"/>
    </row>
    <row r="398" spans="2:160" ht="12.75">
      <c r="B398" s="96">
        <f>COUNT(R398:EY398,FE398:FM398)</f>
        <v>4</v>
      </c>
      <c r="C398" s="96">
        <f>IF(COUNT(R398:EY398,FE398:FM398)&gt;0,COUNT(R398:EY398,FE398:FM398),"")</f>
        <v>4</v>
      </c>
      <c r="D398" s="96">
        <f>IF(COUNT(T398:BJ398,BL398:BT398,BV398:CB398,CD398:EY398,FE398:FM398)&gt;0,COUNT(T398:BJ398,BL398:BT398,BV398:CB398,CD398:EY398,FE398:FM398),"")</f>
        <v>4</v>
      </c>
      <c r="E398" s="96">
        <f>IF(H398=1,COUNT(R398:EY398,FE398:FM398),"")</f>
        <v>4</v>
      </c>
      <c r="F398" s="96">
        <f>IF(H398=1,COUNT(T398:BJ398,BL398:BT398,BV398:CB398,CD398:EY398,FE398:FM398),"")</f>
        <v>4</v>
      </c>
      <c r="G398" s="96">
        <f>IF($B398&gt;=1,$M398,"")</f>
        <v>4</v>
      </c>
      <c r="H398" s="149">
        <f>IF(AND(M398&gt;0,M398&lt;=STATS!$C$22),1,"")</f>
        <v>1</v>
      </c>
      <c r="J398" s="34">
        <v>397</v>
      </c>
      <c r="K398" s="165">
        <v>46.12411</v>
      </c>
      <c r="L398" s="165">
        <v>-91.21727</v>
      </c>
      <c r="M398" s="10">
        <v>4</v>
      </c>
      <c r="N398" s="10" t="s">
        <v>563</v>
      </c>
      <c r="O398" s="190" t="s">
        <v>648</v>
      </c>
      <c r="Q398" s="10">
        <v>3</v>
      </c>
      <c r="R398" s="17"/>
      <c r="S398" s="17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W398" s="10" t="s">
        <v>566</v>
      </c>
      <c r="BO398" s="10" t="s">
        <v>566</v>
      </c>
      <c r="CA398" s="10">
        <v>3</v>
      </c>
      <c r="CB398" s="10">
        <v>1</v>
      </c>
      <c r="CS398" s="10" t="s">
        <v>566</v>
      </c>
      <c r="CY398" s="10">
        <v>1</v>
      </c>
      <c r="DA398" s="10">
        <v>1</v>
      </c>
      <c r="DE398" s="10" t="s">
        <v>566</v>
      </c>
      <c r="ER398" s="10" t="s">
        <v>566</v>
      </c>
      <c r="EZ398" s="146"/>
      <c r="FA398" s="146"/>
      <c r="FB398" s="146"/>
      <c r="FC398" s="146"/>
      <c r="FD398" s="146"/>
    </row>
    <row r="399" spans="2:160" ht="12.75">
      <c r="B399" s="96">
        <f>COUNT(R399:EY399,FE399:FM399)</f>
        <v>7</v>
      </c>
      <c r="C399" s="96">
        <f>IF(COUNT(R399:EY399,FE399:FM399)&gt;0,COUNT(R399:EY399,FE399:FM399),"")</f>
        <v>7</v>
      </c>
      <c r="D399" s="96">
        <f>IF(COUNT(T399:BJ399,BL399:BT399,BV399:CB399,CD399:EY399,FE399:FM399)&gt;0,COUNT(T399:BJ399,BL399:BT399,BV399:CB399,CD399:EY399,FE399:FM399),"")</f>
        <v>7</v>
      </c>
      <c r="E399" s="96">
        <f>IF(H399=1,COUNT(R399:EY399,FE399:FM399),"")</f>
        <v>7</v>
      </c>
      <c r="F399" s="96">
        <f>IF(H399=1,COUNT(T399:BJ399,BL399:BT399,BV399:CB399,CD399:EY399,FE399:FM399),"")</f>
        <v>7</v>
      </c>
      <c r="G399" s="96">
        <f>IF($B399&gt;=1,$M399,"")</f>
        <v>3</v>
      </c>
      <c r="H399" s="149">
        <f>IF(AND(M399&gt;0,M399&lt;=STATS!$C$22),1,"")</f>
        <v>1</v>
      </c>
      <c r="J399" s="34">
        <v>398</v>
      </c>
      <c r="K399" s="165">
        <v>46.12412</v>
      </c>
      <c r="L399" s="165">
        <v>-91.2168</v>
      </c>
      <c r="M399" s="10">
        <v>3</v>
      </c>
      <c r="N399" s="10" t="s">
        <v>563</v>
      </c>
      <c r="O399" s="190" t="s">
        <v>648</v>
      </c>
      <c r="Q399" s="10">
        <v>3</v>
      </c>
      <c r="R399" s="17"/>
      <c r="S399" s="17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>
        <v>1</v>
      </c>
      <c r="AF399" s="36"/>
      <c r="AG399" s="36">
        <v>2</v>
      </c>
      <c r="AH399" s="36"/>
      <c r="BO399" s="10">
        <v>1</v>
      </c>
      <c r="CA399" s="10">
        <v>2</v>
      </c>
      <c r="CB399" s="10">
        <v>2</v>
      </c>
      <c r="CG399" s="10" t="s">
        <v>566</v>
      </c>
      <c r="CO399" s="10">
        <v>1</v>
      </c>
      <c r="DE399" s="10">
        <v>1</v>
      </c>
      <c r="EZ399" s="146"/>
      <c r="FA399" s="146"/>
      <c r="FB399" s="146"/>
      <c r="FC399" s="146"/>
      <c r="FD399" s="146"/>
    </row>
    <row r="400" spans="2:160" ht="12.75">
      <c r="B400" s="96">
        <f>COUNT(R400:EY400,FE400:FM400)</f>
        <v>7</v>
      </c>
      <c r="C400" s="96">
        <f>IF(COUNT(R400:EY400,FE400:FM400)&gt;0,COUNT(R400:EY400,FE400:FM400),"")</f>
        <v>7</v>
      </c>
      <c r="D400" s="96">
        <f>IF(COUNT(T400:BJ400,BL400:BT400,BV400:CB400,CD400:EY400,FE400:FM400)&gt;0,COUNT(T400:BJ400,BL400:BT400,BV400:CB400,CD400:EY400,FE400:FM400),"")</f>
        <v>7</v>
      </c>
      <c r="E400" s="96">
        <f>IF(H400=1,COUNT(R400:EY400,FE400:FM400),"")</f>
        <v>7</v>
      </c>
      <c r="F400" s="96">
        <f>IF(H400=1,COUNT(T400:BJ400,BL400:BT400,BV400:CB400,CD400:EY400,FE400:FM400),"")</f>
        <v>7</v>
      </c>
      <c r="G400" s="96">
        <f>IF($B400&gt;=1,$M400,"")</f>
        <v>2.5</v>
      </c>
      <c r="H400" s="149">
        <f>IF(AND(M400&gt;0,M400&lt;=STATS!$C$22),1,"")</f>
        <v>1</v>
      </c>
      <c r="J400" s="34">
        <v>399</v>
      </c>
      <c r="K400" s="165">
        <v>46.12414</v>
      </c>
      <c r="L400" s="165">
        <v>-91.21494</v>
      </c>
      <c r="M400" s="10">
        <v>2.5</v>
      </c>
      <c r="N400" s="10" t="s">
        <v>563</v>
      </c>
      <c r="O400" s="190" t="s">
        <v>648</v>
      </c>
      <c r="Q400" s="10">
        <v>3</v>
      </c>
      <c r="R400" s="17"/>
      <c r="S400" s="17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>
        <v>2</v>
      </c>
      <c r="AF400" s="36"/>
      <c r="AG400" s="36">
        <v>2</v>
      </c>
      <c r="AH400" s="36"/>
      <c r="AQ400" s="10">
        <v>1</v>
      </c>
      <c r="BQ400" s="10">
        <v>1</v>
      </c>
      <c r="CA400" s="10">
        <v>2</v>
      </c>
      <c r="CB400" s="10">
        <v>2</v>
      </c>
      <c r="DE400" s="10">
        <v>1</v>
      </c>
      <c r="DY400" s="10" t="s">
        <v>566</v>
      </c>
      <c r="EZ400" s="146"/>
      <c r="FA400" s="146"/>
      <c r="FB400" s="146"/>
      <c r="FC400" s="146"/>
      <c r="FD400" s="146"/>
    </row>
    <row r="401" spans="2:160" ht="12.75">
      <c r="B401" s="96">
        <f>COUNT(R401:EY401,FE401:FM401)</f>
        <v>7</v>
      </c>
      <c r="C401" s="96">
        <f>IF(COUNT(R401:EY401,FE401:FM401)&gt;0,COUNT(R401:EY401,FE401:FM401),"")</f>
        <v>7</v>
      </c>
      <c r="D401" s="96">
        <f>IF(COUNT(T401:BJ401,BL401:BT401,BV401:CB401,CD401:EY401,FE401:FM401)&gt;0,COUNT(T401:BJ401,BL401:BT401,BV401:CB401,CD401:EY401,FE401:FM401),"")</f>
        <v>7</v>
      </c>
      <c r="E401" s="96">
        <f>IF(H401=1,COUNT(R401:EY401,FE401:FM401),"")</f>
        <v>7</v>
      </c>
      <c r="F401" s="96">
        <f>IF(H401=1,COUNT(T401:BJ401,BL401:BT401,BV401:CB401,CD401:EY401,FE401:FM401),"")</f>
        <v>7</v>
      </c>
      <c r="G401" s="96">
        <f>IF($B401&gt;=1,$M401,"")</f>
        <v>4</v>
      </c>
      <c r="H401" s="149">
        <f>IF(AND(M401&gt;0,M401&lt;=STATS!$C$22),1,"")</f>
        <v>1</v>
      </c>
      <c r="J401" s="34">
        <v>400</v>
      </c>
      <c r="K401" s="165">
        <v>46.12414</v>
      </c>
      <c r="L401" s="165">
        <v>-91.21447</v>
      </c>
      <c r="M401" s="10">
        <v>4</v>
      </c>
      <c r="N401" s="10" t="s">
        <v>563</v>
      </c>
      <c r="O401" s="190" t="s">
        <v>648</v>
      </c>
      <c r="Q401" s="10">
        <v>3</v>
      </c>
      <c r="R401" s="17"/>
      <c r="S401" s="17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>
        <v>2</v>
      </c>
      <c r="AF401" s="36"/>
      <c r="AG401" s="36"/>
      <c r="AH401" s="36"/>
      <c r="AW401" s="10">
        <v>1</v>
      </c>
      <c r="BO401" s="10">
        <v>2</v>
      </c>
      <c r="CB401" s="10">
        <v>1</v>
      </c>
      <c r="CN401" s="10" t="s">
        <v>566</v>
      </c>
      <c r="CO401" s="10">
        <v>1</v>
      </c>
      <c r="DA401" s="10">
        <v>1</v>
      </c>
      <c r="DE401" s="10">
        <v>1</v>
      </c>
      <c r="ER401" s="10" t="s">
        <v>566</v>
      </c>
      <c r="EZ401" s="146"/>
      <c r="FA401" s="146"/>
      <c r="FB401" s="146"/>
      <c r="FC401" s="146"/>
      <c r="FD401" s="146"/>
    </row>
    <row r="402" spans="2:160" ht="12.75">
      <c r="B402" s="96">
        <f>COUNT(R402:EY402,FE402:FM402)</f>
        <v>4</v>
      </c>
      <c r="C402" s="96">
        <f>IF(COUNT(R402:EY402,FE402:FM402)&gt;0,COUNT(R402:EY402,FE402:FM402),"")</f>
        <v>4</v>
      </c>
      <c r="D402" s="96">
        <f>IF(COUNT(T402:BJ402,BL402:BT402,BV402:CB402,CD402:EY402,FE402:FM402)&gt;0,COUNT(T402:BJ402,BL402:BT402,BV402:CB402,CD402:EY402,FE402:FM402),"")</f>
        <v>4</v>
      </c>
      <c r="E402" s="96">
        <f>IF(H402=1,COUNT(R402:EY402,FE402:FM402),"")</f>
        <v>4</v>
      </c>
      <c r="F402" s="96">
        <f>IF(H402=1,COUNT(T402:BJ402,BL402:BT402,BV402:CB402,CD402:EY402,FE402:FM402),"")</f>
        <v>4</v>
      </c>
      <c r="G402" s="96">
        <f>IF($B402&gt;=1,$M402,"")</f>
        <v>5</v>
      </c>
      <c r="H402" s="149">
        <f>IF(AND(M402&gt;0,M402&lt;=STATS!$C$22),1,"")</f>
        <v>1</v>
      </c>
      <c r="J402" s="34">
        <v>401</v>
      </c>
      <c r="K402" s="165">
        <v>46.12415</v>
      </c>
      <c r="L402" s="165">
        <v>-91.21401</v>
      </c>
      <c r="M402" s="10">
        <v>5</v>
      </c>
      <c r="N402" s="10" t="s">
        <v>563</v>
      </c>
      <c r="O402" s="190" t="s">
        <v>648</v>
      </c>
      <c r="Q402" s="10">
        <v>2</v>
      </c>
      <c r="R402" s="17"/>
      <c r="S402" s="17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>
        <v>1</v>
      </c>
      <c r="AF402" s="36"/>
      <c r="AG402" s="36"/>
      <c r="AH402" s="36"/>
      <c r="BO402" s="10">
        <v>2</v>
      </c>
      <c r="CB402" s="10" t="s">
        <v>566</v>
      </c>
      <c r="CZ402" s="10" t="s">
        <v>566</v>
      </c>
      <c r="DA402" s="10">
        <v>1</v>
      </c>
      <c r="DE402" s="10">
        <v>1</v>
      </c>
      <c r="EZ402" s="146"/>
      <c r="FA402" s="146"/>
      <c r="FB402" s="146"/>
      <c r="FC402" s="146"/>
      <c r="FD402" s="146"/>
    </row>
    <row r="403" spans="2:160" ht="12.75">
      <c r="B403" s="96">
        <f>COUNT(R403:EY403,FE403:FM403)</f>
        <v>5</v>
      </c>
      <c r="C403" s="96">
        <f>IF(COUNT(R403:EY403,FE403:FM403)&gt;0,COUNT(R403:EY403,FE403:FM403),"")</f>
        <v>5</v>
      </c>
      <c r="D403" s="96">
        <f>IF(COUNT(T403:BJ403,BL403:BT403,BV403:CB403,CD403:EY403,FE403:FM403)&gt;0,COUNT(T403:BJ403,BL403:BT403,BV403:CB403,CD403:EY403,FE403:FM403),"")</f>
        <v>5</v>
      </c>
      <c r="E403" s="96">
        <f>IF(H403=1,COUNT(R403:EY403,FE403:FM403),"")</f>
        <v>5</v>
      </c>
      <c r="F403" s="96">
        <f>IF(H403=1,COUNT(T403:BJ403,BL403:BT403,BV403:CB403,CD403:EY403,FE403:FM403),"")</f>
        <v>5</v>
      </c>
      <c r="G403" s="96">
        <f>IF($B403&gt;=1,$M403,"")</f>
        <v>4</v>
      </c>
      <c r="H403" s="149">
        <f>IF(AND(M403&gt;0,M403&lt;=STATS!$C$22),1,"")</f>
        <v>1</v>
      </c>
      <c r="J403" s="34">
        <v>402</v>
      </c>
      <c r="K403" s="165">
        <v>46.12415</v>
      </c>
      <c r="L403" s="165">
        <v>-91.21354</v>
      </c>
      <c r="M403" s="10">
        <v>4</v>
      </c>
      <c r="N403" s="10" t="s">
        <v>563</v>
      </c>
      <c r="O403" s="190" t="s">
        <v>648</v>
      </c>
      <c r="Q403" s="10">
        <v>3</v>
      </c>
      <c r="R403" s="17"/>
      <c r="S403" s="17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>
        <v>1</v>
      </c>
      <c r="AF403" s="36"/>
      <c r="AG403" s="36"/>
      <c r="AH403" s="36"/>
      <c r="BO403" s="10" t="s">
        <v>566</v>
      </c>
      <c r="BR403" s="10">
        <v>1</v>
      </c>
      <c r="CA403" s="10">
        <v>3</v>
      </c>
      <c r="CB403" s="10">
        <v>1</v>
      </c>
      <c r="DE403" s="10">
        <v>1</v>
      </c>
      <c r="ER403" s="10" t="s">
        <v>566</v>
      </c>
      <c r="EZ403" s="146"/>
      <c r="FA403" s="146"/>
      <c r="FB403" s="146">
        <v>1</v>
      </c>
      <c r="FC403" s="146"/>
      <c r="FD403" s="146"/>
    </row>
    <row r="404" spans="2:160" ht="12.75">
      <c r="B404" s="96">
        <f>COUNT(R404:EY404,FE404:FM404)</f>
        <v>5</v>
      </c>
      <c r="C404" s="96">
        <f>IF(COUNT(R404:EY404,FE404:FM404)&gt;0,COUNT(R404:EY404,FE404:FM404),"")</f>
        <v>5</v>
      </c>
      <c r="D404" s="96">
        <f>IF(COUNT(T404:BJ404,BL404:BT404,BV404:CB404,CD404:EY404,FE404:FM404)&gt;0,COUNT(T404:BJ404,BL404:BT404,BV404:CB404,CD404:EY404,FE404:FM404),"")</f>
        <v>5</v>
      </c>
      <c r="E404" s="96">
        <f>IF(H404=1,COUNT(R404:EY404,FE404:FM404),"")</f>
        <v>5</v>
      </c>
      <c r="F404" s="96">
        <f>IF(H404=1,COUNT(T404:BJ404,BL404:BT404,BV404:CB404,CD404:EY404,FE404:FM404),"")</f>
        <v>5</v>
      </c>
      <c r="G404" s="96">
        <f>IF($B404&gt;=1,$M404,"")</f>
        <v>3</v>
      </c>
      <c r="H404" s="149">
        <f>IF(AND(M404&gt;0,M404&lt;=STATS!$C$22),1,"")</f>
        <v>1</v>
      </c>
      <c r="J404" s="34">
        <v>403</v>
      </c>
      <c r="K404" s="165">
        <v>46.12416</v>
      </c>
      <c r="L404" s="165">
        <v>-91.21307</v>
      </c>
      <c r="M404" s="10">
        <v>3</v>
      </c>
      <c r="N404" s="10" t="s">
        <v>563</v>
      </c>
      <c r="O404" s="190" t="s">
        <v>648</v>
      </c>
      <c r="Q404" s="10">
        <v>2</v>
      </c>
      <c r="R404" s="17"/>
      <c r="S404" s="17"/>
      <c r="T404" s="36"/>
      <c r="U404" s="36"/>
      <c r="V404" s="36" t="s">
        <v>566</v>
      </c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W404" s="10">
        <v>2</v>
      </c>
      <c r="BR404" s="10">
        <v>1</v>
      </c>
      <c r="CA404" s="10" t="s">
        <v>566</v>
      </c>
      <c r="CB404" s="10">
        <v>1</v>
      </c>
      <c r="CI404" s="10">
        <v>1</v>
      </c>
      <c r="CW404" s="10">
        <v>1</v>
      </c>
      <c r="CY404" s="10" t="s">
        <v>566</v>
      </c>
      <c r="DE404" s="10" t="s">
        <v>566</v>
      </c>
      <c r="ER404" s="10" t="s">
        <v>566</v>
      </c>
      <c r="EZ404" s="146"/>
      <c r="FA404" s="146"/>
      <c r="FB404" s="146"/>
      <c r="FC404" s="146"/>
      <c r="FD404" s="146"/>
    </row>
  </sheetData>
  <sheetProtection formatCells="0" sort="0"/>
  <protectedRanges>
    <protectedRange sqref="N338:N404" name="Range1"/>
    <protectedRange sqref="N304:N337" name="Range1_2"/>
    <protectedRange sqref="P2:Q8 O2:O404 N2:N303" name="Range1_3"/>
    <protectedRange sqref="K2:L8" name="Range1_1_1_1"/>
  </protectedRanges>
  <dataValidations count="9">
    <dataValidation type="list" allowBlank="1" showInputMessage="1" showErrorMessage="1" sqref="Q405:AF65536 X1 AC1 AE1:AF1 Q1 EZ405:EZ65536">
      <formula1>"V,v,1,2,3"</formula1>
    </dataValidation>
    <dataValidation type="whole" allowBlank="1" showInputMessage="1" showErrorMessage="1" errorTitle="Presence/Absence Data" error="Enter 1 if present" sqref="FA405:FM65536 AG405:EY65536">
      <formula1>1</formula1>
      <formula2>1</formula2>
    </dataValidation>
    <dataValidation type="list" allowBlank="1" showInputMessage="1" showErrorMessage="1" sqref="O405:O65536">
      <formula1>"R,P"</formula1>
    </dataValidation>
    <dataValidation type="list" allowBlank="1" showInputMessage="1" showErrorMessage="1" sqref="O2:O404">
      <formula1>"R,r,P,p"</formula1>
    </dataValidation>
    <dataValidation allowBlank="1" showInputMessage="1" showErrorMessage="1" promptTitle="Comments section" prompt="Enter comments for non-sampled depths as:&#10;&#10;NONNAVIGABLE (PLANTS)&#10;TERRESTRIAL&#10;DEEP&#10;SHALLOW&#10;ROCKS&#10;DOCK&#10;SWIM AREA&#10;TEMPORARY OBSTACLE&#10;NO INFORMATION&#10;OTHER" sqref="P1:P81 P84:P65536"/>
    <dataValidation type="list" allowBlank="1" showInputMessage="1" showErrorMessage="1" error="Please enter an overall rake fullness of 1, 2, 3 or leave cell blank if no plants found" sqref="Q2:Q404">
      <formula1>"1,2,3"</formula1>
    </dataValidation>
    <dataValidation type="list" allowBlank="1" showInputMessage="1" showErrorMessage="1" error="Please enter a rake fullness rating of 1, 2, 3 or V (visual).  If species not found, leave cell blank." sqref="R2:FM404">
      <formula1>"V,v,1,2,3"</formula1>
    </dataValidation>
    <dataValidation type="decimal" allowBlank="1" showInputMessage="1" showErrorMessage="1" error="Is your depth really more than 99 feet?" sqref="M2:M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404">
      <formula1>"M,m,s,S,R,r"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B23" sqref="B23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4" max="5" width="4.710937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7" t="s">
        <v>19</v>
      </c>
    </row>
    <row r="2" spans="1:2" ht="12.75">
      <c r="A2" s="71" t="s">
        <v>93</v>
      </c>
      <c r="B2" t="str">
        <f>IF('ENTRY '!I2="","",'ENTRY '!I2)</f>
        <v>North Lake (Spider Chain)</v>
      </c>
    </row>
    <row r="3" spans="1:2" ht="12.75">
      <c r="A3" s="71" t="s">
        <v>44</v>
      </c>
      <c r="B3">
        <f>IF('ENTRY '!I3="","",'ENTRY '!I3)</f>
        <v>2436000</v>
      </c>
    </row>
    <row r="4" spans="1:2" ht="12.75">
      <c r="A4" s="71" t="s">
        <v>94</v>
      </c>
      <c r="B4" s="74" t="str">
        <f>IF('ENTRY '!I4="","",'ENTRY '!I4)</f>
        <v>Sawyer Co.</v>
      </c>
    </row>
    <row r="5" spans="1:2" ht="12.75">
      <c r="A5" s="72" t="s">
        <v>65</v>
      </c>
      <c r="B5" s="90" t="str">
        <f>IF('ENTRY '!I5="","",'ENTRY '!I5)</f>
        <v>8 1, 2017</v>
      </c>
    </row>
    <row r="6" spans="1:2" ht="12.75">
      <c r="A6" s="72" t="s">
        <v>92</v>
      </c>
      <c r="B6" s="74" t="str">
        <f>IF('ENTRY '!I6="","",'ENTRY '!I6)</f>
        <v>Matthew S. Berg</v>
      </c>
    </row>
    <row r="7" ht="12.75">
      <c r="A7" s="72"/>
    </row>
    <row r="8" spans="1:2" ht="12.75">
      <c r="A8" s="72"/>
      <c r="B8" s="74"/>
    </row>
    <row r="9" spans="1:2" ht="12.75">
      <c r="A9" s="72"/>
      <c r="B9" s="74"/>
    </row>
    <row r="10" spans="1:2" ht="12.75">
      <c r="A10" s="91" t="s">
        <v>83</v>
      </c>
      <c r="B10" s="91" t="s">
        <v>89</v>
      </c>
    </row>
    <row r="11" spans="1:2" ht="12.75">
      <c r="A11" s="73"/>
      <c r="B11" s="92"/>
    </row>
    <row r="12" spans="1:3" ht="12.75">
      <c r="A12" s="73">
        <v>319</v>
      </c>
      <c r="B12" s="172" t="s">
        <v>647</v>
      </c>
      <c r="C12" s="173" t="s">
        <v>621</v>
      </c>
    </row>
    <row r="13" spans="1:2" ht="12.75">
      <c r="A13" s="73">
        <v>1</v>
      </c>
      <c r="B13" s="172" t="s">
        <v>643</v>
      </c>
    </row>
    <row r="14" spans="1:256" ht="12.75">
      <c r="A14" s="73">
        <v>78</v>
      </c>
      <c r="B14" s="172" t="s">
        <v>646</v>
      </c>
      <c r="C14" s="73"/>
      <c r="D14" s="172"/>
      <c r="E14" s="73"/>
      <c r="F14" s="172"/>
      <c r="G14" s="73"/>
      <c r="H14" s="172"/>
      <c r="I14" s="73"/>
      <c r="J14" s="172"/>
      <c r="K14" s="73"/>
      <c r="L14" s="172"/>
      <c r="M14" s="73"/>
      <c r="N14" s="172"/>
      <c r="O14" s="73"/>
      <c r="P14" s="172"/>
      <c r="Q14" s="73"/>
      <c r="R14" s="172"/>
      <c r="S14" s="73"/>
      <c r="T14" s="172"/>
      <c r="U14" s="73"/>
      <c r="V14" s="172"/>
      <c r="W14" s="73"/>
      <c r="X14" s="172"/>
      <c r="Y14" s="73"/>
      <c r="Z14" s="172"/>
      <c r="AA14" s="73"/>
      <c r="AB14" s="172"/>
      <c r="AC14" s="73"/>
      <c r="AD14" s="172"/>
      <c r="AE14" s="73"/>
      <c r="AF14" s="172"/>
      <c r="AG14" s="73"/>
      <c r="AH14" s="172"/>
      <c r="AI14" s="73"/>
      <c r="AJ14" s="172"/>
      <c r="AK14" s="73"/>
      <c r="AL14" s="172"/>
      <c r="AM14" s="73"/>
      <c r="AN14" s="172"/>
      <c r="AO14" s="73"/>
      <c r="AP14" s="172"/>
      <c r="AQ14" s="73"/>
      <c r="AR14" s="172"/>
      <c r="AS14" s="73"/>
      <c r="AT14" s="172"/>
      <c r="AU14" s="73"/>
      <c r="AV14" s="172"/>
      <c r="AW14" s="73"/>
      <c r="AX14" s="172"/>
      <c r="AY14" s="73"/>
      <c r="AZ14" s="172"/>
      <c r="BA14" s="73"/>
      <c r="BB14" s="172"/>
      <c r="BC14" s="73"/>
      <c r="BD14" s="172"/>
      <c r="BE14" s="73"/>
      <c r="BF14" s="172"/>
      <c r="BG14" s="73"/>
      <c r="BH14" s="172"/>
      <c r="BI14" s="73"/>
      <c r="BJ14" s="172"/>
      <c r="BK14" s="73"/>
      <c r="BL14" s="172"/>
      <c r="BM14" s="73"/>
      <c r="BN14" s="172"/>
      <c r="BO14" s="73"/>
      <c r="BP14" s="172"/>
      <c r="BQ14" s="73"/>
      <c r="BR14" s="172"/>
      <c r="BS14" s="73"/>
      <c r="BT14" s="172"/>
      <c r="BU14" s="73"/>
      <c r="BV14" s="172"/>
      <c r="BW14" s="73"/>
      <c r="BX14" s="172"/>
      <c r="BY14" s="73"/>
      <c r="BZ14" s="172"/>
      <c r="CA14" s="73"/>
      <c r="CB14" s="172"/>
      <c r="CC14" s="73"/>
      <c r="CD14" s="172"/>
      <c r="CE14" s="73"/>
      <c r="CF14" s="172"/>
      <c r="CG14" s="73"/>
      <c r="CH14" s="172"/>
      <c r="CI14" s="73"/>
      <c r="CJ14" s="172"/>
      <c r="CK14" s="73"/>
      <c r="CL14" s="172"/>
      <c r="CM14" s="73"/>
      <c r="CN14" s="172"/>
      <c r="CO14" s="73"/>
      <c r="CP14" s="172"/>
      <c r="CQ14" s="73"/>
      <c r="CR14" s="172"/>
      <c r="CS14" s="73"/>
      <c r="CT14" s="172"/>
      <c r="CU14" s="73"/>
      <c r="CV14" s="172"/>
      <c r="CW14" s="73"/>
      <c r="CX14" s="172"/>
      <c r="CY14" s="73"/>
      <c r="CZ14" s="172"/>
      <c r="DA14" s="73"/>
      <c r="DB14" s="172"/>
      <c r="DC14" s="73"/>
      <c r="DD14" s="172"/>
      <c r="DE14" s="73"/>
      <c r="DF14" s="172"/>
      <c r="DG14" s="73"/>
      <c r="DH14" s="172"/>
      <c r="DI14" s="73"/>
      <c r="DJ14" s="172"/>
      <c r="DK14" s="73"/>
      <c r="DL14" s="172"/>
      <c r="DM14" s="73"/>
      <c r="DN14" s="172"/>
      <c r="DO14" s="73"/>
      <c r="DP14" s="172"/>
      <c r="DQ14" s="73"/>
      <c r="DR14" s="172"/>
      <c r="DS14" s="73"/>
      <c r="DT14" s="172"/>
      <c r="DU14" s="73"/>
      <c r="DV14" s="172"/>
      <c r="DW14" s="73"/>
      <c r="DX14" s="172"/>
      <c r="DY14" s="73"/>
      <c r="DZ14" s="172"/>
      <c r="EA14" s="73"/>
      <c r="EB14" s="172"/>
      <c r="EC14" s="73"/>
      <c r="ED14" s="172"/>
      <c r="EE14" s="73"/>
      <c r="EF14" s="172"/>
      <c r="EG14" s="73"/>
      <c r="EH14" s="172"/>
      <c r="EI14" s="73"/>
      <c r="EJ14" s="172"/>
      <c r="EK14" s="73"/>
      <c r="EL14" s="172"/>
      <c r="EM14" s="73"/>
      <c r="EN14" s="172"/>
      <c r="EO14" s="73"/>
      <c r="EP14" s="172"/>
      <c r="EQ14" s="73"/>
      <c r="ER14" s="172"/>
      <c r="ES14" s="73"/>
      <c r="ET14" s="172"/>
      <c r="EU14" s="73"/>
      <c r="EV14" s="172"/>
      <c r="EW14" s="73"/>
      <c r="EX14" s="172"/>
      <c r="EY14" s="73"/>
      <c r="EZ14" s="172"/>
      <c r="FA14" s="73"/>
      <c r="FB14" s="172"/>
      <c r="FC14" s="73"/>
      <c r="FD14" s="172"/>
      <c r="FE14" s="73"/>
      <c r="FF14" s="172"/>
      <c r="FG14" s="73"/>
      <c r="FH14" s="172"/>
      <c r="FI14" s="73"/>
      <c r="FJ14" s="172"/>
      <c r="FK14" s="73"/>
      <c r="FL14" s="172"/>
      <c r="FM14" s="73"/>
      <c r="FN14" s="172"/>
      <c r="FO14" s="73"/>
      <c r="FP14" s="172"/>
      <c r="FQ14" s="73"/>
      <c r="FR14" s="172"/>
      <c r="FS14" s="73"/>
      <c r="FT14" s="172"/>
      <c r="FU14" s="73"/>
      <c r="FV14" s="172"/>
      <c r="FW14" s="73"/>
      <c r="FX14" s="172"/>
      <c r="FY14" s="73"/>
      <c r="FZ14" s="172"/>
      <c r="GA14" s="73"/>
      <c r="GB14" s="172"/>
      <c r="GC14" s="73"/>
      <c r="GD14" s="172"/>
      <c r="GE14" s="73"/>
      <c r="GF14" s="172"/>
      <c r="GG14" s="73"/>
      <c r="GH14" s="172"/>
      <c r="GI14" s="73"/>
      <c r="GJ14" s="172"/>
      <c r="GK14" s="73"/>
      <c r="GL14" s="172"/>
      <c r="GM14" s="73"/>
      <c r="GN14" s="172"/>
      <c r="GO14" s="73"/>
      <c r="GP14" s="172"/>
      <c r="GQ14" s="73"/>
      <c r="GR14" s="172"/>
      <c r="GS14" s="73"/>
      <c r="GT14" s="172"/>
      <c r="GU14" s="73"/>
      <c r="GV14" s="172"/>
      <c r="GW14" s="73"/>
      <c r="GX14" s="172"/>
      <c r="GY14" s="73"/>
      <c r="GZ14" s="172"/>
      <c r="HA14" s="73"/>
      <c r="HB14" s="172"/>
      <c r="HC14" s="73"/>
      <c r="HD14" s="172"/>
      <c r="HE14" s="73"/>
      <c r="HF14" s="172"/>
      <c r="HG14" s="73"/>
      <c r="HH14" s="172"/>
      <c r="HI14" s="73"/>
      <c r="HJ14" s="172"/>
      <c r="HK14" s="73"/>
      <c r="HL14" s="172"/>
      <c r="HM14" s="73"/>
      <c r="HN14" s="172"/>
      <c r="HO14" s="73"/>
      <c r="HP14" s="172"/>
      <c r="HQ14" s="73"/>
      <c r="HR14" s="172"/>
      <c r="HS14" s="73"/>
      <c r="HT14" s="172"/>
      <c r="HU14" s="73"/>
      <c r="HV14" s="172"/>
      <c r="HW14" s="73"/>
      <c r="HX14" s="172"/>
      <c r="HY14" s="73"/>
      <c r="HZ14" s="172"/>
      <c r="IA14" s="73"/>
      <c r="IB14" s="172"/>
      <c r="IC14" s="73"/>
      <c r="ID14" s="172"/>
      <c r="IE14" s="73"/>
      <c r="IF14" s="172"/>
      <c r="IG14" s="73"/>
      <c r="IH14" s="172"/>
      <c r="II14" s="73"/>
      <c r="IJ14" s="172"/>
      <c r="IK14" s="73"/>
      <c r="IL14" s="172"/>
      <c r="IM14" s="73"/>
      <c r="IN14" s="172"/>
      <c r="IO14" s="73"/>
      <c r="IP14" s="172"/>
      <c r="IQ14" s="73"/>
      <c r="IR14" s="172"/>
      <c r="IS14" s="73"/>
      <c r="IT14" s="172"/>
      <c r="IU14" s="73"/>
      <c r="IV14" s="172"/>
    </row>
    <row r="15" spans="1:2" ht="12.75">
      <c r="A15" s="73">
        <v>1</v>
      </c>
      <c r="B15" s="172" t="s">
        <v>642</v>
      </c>
    </row>
    <row r="16" spans="1:4" ht="12.75">
      <c r="A16" s="73">
        <v>110</v>
      </c>
      <c r="B16" s="172" t="s">
        <v>645</v>
      </c>
      <c r="D16" s="2"/>
    </row>
    <row r="17" spans="1:2" ht="12.75">
      <c r="A17" s="73">
        <v>78</v>
      </c>
      <c r="B17" s="172" t="s">
        <v>644</v>
      </c>
    </row>
    <row r="18" spans="1:2" ht="12.75">
      <c r="A18" s="73">
        <v>392</v>
      </c>
      <c r="B18" s="172" t="s">
        <v>641</v>
      </c>
    </row>
    <row r="19" spans="1:2" ht="12.75">
      <c r="A19" s="73">
        <v>223</v>
      </c>
      <c r="B19" s="172" t="s">
        <v>640</v>
      </c>
    </row>
    <row r="20" ht="12.75">
      <c r="B20" s="172"/>
    </row>
    <row r="21" ht="12.75">
      <c r="B21" s="172"/>
    </row>
    <row r="22" ht="12.75">
      <c r="B22" s="172"/>
    </row>
    <row r="23" ht="12.75">
      <c r="B23" s="172"/>
    </row>
    <row r="24" ht="12.75">
      <c r="B24" s="172"/>
    </row>
    <row r="25" ht="12.75">
      <c r="B25" s="172"/>
    </row>
  </sheetData>
  <sheetProtection/>
  <printOptions gridLines="1" heading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Z35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6" sqref="F16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52" bestFit="1" customWidth="1"/>
    <col min="4" max="5" width="6.7109375" style="44" customWidth="1"/>
    <col min="6" max="153" width="6.7109375" style="0" customWidth="1"/>
    <col min="154" max="154" width="5.7109375" style="0" customWidth="1"/>
    <col min="155" max="16384" width="5.7109375" style="37" customWidth="1"/>
  </cols>
  <sheetData>
    <row r="1" spans="1:156" s="25" customFormat="1" ht="138" customHeight="1">
      <c r="A1" s="62"/>
      <c r="B1" s="51" t="s">
        <v>17</v>
      </c>
      <c r="C1" s="154" t="s">
        <v>14</v>
      </c>
      <c r="D1" s="155" t="s">
        <v>408</v>
      </c>
      <c r="E1" s="156" t="s">
        <v>409</v>
      </c>
      <c r="F1" s="157" t="str">
        <f>'ENTRY '!T1</f>
        <v>Acorus americanus,Sweet-flag</v>
      </c>
      <c r="G1" s="157" t="str">
        <f>'ENTRY '!U1</f>
        <v>Alisma triviale,Northern water-plantain</v>
      </c>
      <c r="H1" s="157" t="str">
        <f>'ENTRY '!V1</f>
        <v>Bidens beckii,Water marigold</v>
      </c>
      <c r="I1" s="157" t="str">
        <f>'ENTRY '!W1</f>
        <v>Bolboschoenus fluviatilis,River bulrush</v>
      </c>
      <c r="J1" s="157" t="str">
        <f>'ENTRY '!X1</f>
        <v>Brasenia schreberi,Watershield</v>
      </c>
      <c r="K1" s="157" t="str">
        <f>'ENTRY '!Y1</f>
        <v>Calla palustris,Wild calla</v>
      </c>
      <c r="L1" s="157" t="str">
        <f>'ENTRY '!Z1</f>
        <v>Callitriche hermaphroditica,Autumnal water-starwort</v>
      </c>
      <c r="M1" s="157" t="str">
        <f>'ENTRY '!AA1</f>
        <v>Callitriche heterophylla,Large water-starwort</v>
      </c>
      <c r="N1" s="157" t="str">
        <f>'ENTRY '!AB1</f>
        <v>Callitriche palustris,Common water-starwort</v>
      </c>
      <c r="O1" s="157" t="str">
        <f>'ENTRY '!AC1</f>
        <v>Carex comosa,Bottle brush sedge</v>
      </c>
      <c r="P1" s="157" t="str">
        <f>'ENTRY '!AD1</f>
        <v>Catabrosa aquatica,Brook grass</v>
      </c>
      <c r="Q1" s="157" t="str">
        <f>'ENTRY '!AE1</f>
        <v>Ceratophyllum demersum,Coontail</v>
      </c>
      <c r="R1" s="157" t="str">
        <f>'ENTRY '!AF1</f>
        <v>Ceratophyllum echinatum,Spiny hornwort</v>
      </c>
      <c r="S1" s="157" t="str">
        <f>'ENTRY '!AG1</f>
        <v>Chara sp.,Muskgrass</v>
      </c>
      <c r="T1" s="157" t="str">
        <f>'ENTRY '!AH1</f>
        <v>Comarum palustre,Marsh cinquefoil</v>
      </c>
      <c r="U1" s="157" t="str">
        <f>'ENTRY '!AI1</f>
        <v>Decodon verticillatus,Swamp loosestrife</v>
      </c>
      <c r="V1" s="157" t="str">
        <f>'ENTRY '!AJ1</f>
        <v>Dulichium arundinaceum,Three-way sedge</v>
      </c>
      <c r="W1" s="157" t="str">
        <f>'ENTRY '!AK1</f>
        <v>Elatine minima,Waterwort</v>
      </c>
      <c r="X1" s="157" t="str">
        <f>'ENTRY '!AL1</f>
        <v>Elatine triandra,Greater waterwort</v>
      </c>
      <c r="Y1" s="157" t="str">
        <f>'ENTRY '!AM1</f>
        <v>Eleocharis acicularis,Needle spikerush</v>
      </c>
      <c r="Z1" s="157" t="str">
        <f>'ENTRY '!AN1</f>
        <v>Eleocharis erythropoda,Bald spikerush</v>
      </c>
      <c r="AA1" s="157" t="str">
        <f>'ENTRY '!AO1</f>
        <v>Eleocharis palustris,Creeping spikerush</v>
      </c>
      <c r="AB1" s="157" t="str">
        <f>'ENTRY '!AP1</f>
        <v>Eleocharis robbinsii,Robbins' spikerush</v>
      </c>
      <c r="AC1" s="157" t="str">
        <f>'ENTRY '!AQ1</f>
        <v>Elodea canadensis,Common waterweed</v>
      </c>
      <c r="AD1" s="157" t="str">
        <f>'ENTRY '!AR1</f>
        <v>Elodea nuttallii,Slender waterweed</v>
      </c>
      <c r="AE1" s="157" t="str">
        <f>'ENTRY '!AS1</f>
        <v>Equisetum fluviatile,Water horsetail</v>
      </c>
      <c r="AF1" s="157" t="str">
        <f>'ENTRY '!AT1</f>
        <v>Eriocaulon aquaticum,Pipewort</v>
      </c>
      <c r="AG1" s="157" t="str">
        <f>'ENTRY '!AU1</f>
        <v>Glyceria borealis,Northern manna grass</v>
      </c>
      <c r="AH1" s="157" t="str">
        <f>'ENTRY '!AV1</f>
        <v>Gratiola aurea,Golden hedge-hyssop</v>
      </c>
      <c r="AI1" s="157" t="str">
        <f>'ENTRY '!AW1</f>
        <v>Heteranthera dubia,Water star-grass</v>
      </c>
      <c r="AJ1" s="157" t="str">
        <f>'ENTRY '!AX1</f>
        <v>Iris versicolor,Northern blue flag</v>
      </c>
      <c r="AK1" s="157" t="str">
        <f>'ENTRY '!AY1</f>
        <v>Iris virginica,Southern blue flag</v>
      </c>
      <c r="AL1" s="157" t="str">
        <f>'ENTRY '!AZ1</f>
        <v>Isoetes echinospora,Spiny spored-quillwort</v>
      </c>
      <c r="AM1" s="157" t="str">
        <f>'ENTRY '!BA1</f>
        <v>Isoetes lacustris,Lake quillwort</v>
      </c>
      <c r="AN1" s="157" t="str">
        <f>'ENTRY '!BB1</f>
        <v>Isoetes sp.,Quillwort</v>
      </c>
      <c r="AO1" s="157" t="str">
        <f>'ENTRY '!BC1</f>
        <v>Juncus pelocarpus f. submersus,Brown-fruited rush</v>
      </c>
      <c r="AP1" s="157" t="str">
        <f>'ENTRY '!BD1</f>
        <v>Juncus torreyi,Torrey's rush</v>
      </c>
      <c r="AQ1" s="157" t="str">
        <f>'ENTRY '!BE1</f>
        <v>Lemna minor,Small duckweed</v>
      </c>
      <c r="AR1" s="157" t="str">
        <f>'ENTRY '!BF1</f>
        <v>Lemna perpusilla,Least duckweed</v>
      </c>
      <c r="AS1" s="157" t="str">
        <f>'ENTRY '!BG1</f>
        <v>Lemna trisulca,Forked duckweed</v>
      </c>
      <c r="AT1" s="157" t="str">
        <f>'ENTRY '!BH1</f>
        <v>Littorella uniflora,Littorella</v>
      </c>
      <c r="AU1" s="157" t="str">
        <f>'ENTRY '!BI1</f>
        <v>Lobelia dortmanna,Water lobelia</v>
      </c>
      <c r="AV1" s="157" t="str">
        <f>'ENTRY '!BJ1</f>
        <v>Ludwigia palustris,Marsh purslane</v>
      </c>
      <c r="AW1" s="157" t="str">
        <f>'ENTRY '!BK1</f>
        <v>Lythrum salicaria,Purple loosestrife</v>
      </c>
      <c r="AX1" s="157" t="str">
        <f>'ENTRY '!BL1</f>
        <v>Myriophyllum alterniflorum,Alternate-flowered water-milfoil</v>
      </c>
      <c r="AY1" s="157" t="str">
        <f>'ENTRY '!BM1</f>
        <v>Myriophyllum farwellii,Farwell's water-milfoil</v>
      </c>
      <c r="AZ1" s="157" t="str">
        <f>'ENTRY '!BN1</f>
        <v>Myriophyllum heterophyllum,Various-leaved water-milfoil</v>
      </c>
      <c r="BA1" s="157" t="str">
        <f>'ENTRY '!BO1</f>
        <v>Myriophyllum sibiricum,Northern water-milfoil</v>
      </c>
      <c r="BB1" s="157" t="str">
        <f>'ENTRY '!BP1</f>
        <v>Myriophyllum tenellum,Dwarf water-milfoil</v>
      </c>
      <c r="BC1" s="157" t="str">
        <f>'ENTRY '!BQ1</f>
        <v>Myriophyllum verticillatum,Whorled water-milfoil</v>
      </c>
      <c r="BD1" s="157" t="str">
        <f>'ENTRY '!BR1</f>
        <v>Najas flexilis,Slender naiad</v>
      </c>
      <c r="BE1" s="157" t="str">
        <f>'ENTRY '!BS1</f>
        <v>Najas gracillima,Northern naiad</v>
      </c>
      <c r="BF1" s="157" t="str">
        <f>'ENTRY '!BT1</f>
        <v>Najas guadalupensis,Southern naiad</v>
      </c>
      <c r="BG1" s="157" t="str">
        <f>'ENTRY '!BU1</f>
        <v>Najas marina,Spiny naiad</v>
      </c>
      <c r="BH1" s="157" t="str">
        <f>'ENTRY '!BV1</f>
        <v>Nelumbo lutea,American lotus</v>
      </c>
      <c r="BI1" s="157" t="str">
        <f>'ENTRY '!BW1</f>
        <v>Nitella sp.,Nitella</v>
      </c>
      <c r="BJ1" s="157" t="str">
        <f>'ENTRY '!BX1</f>
        <v>Nuphar advena,Yellow pond lily</v>
      </c>
      <c r="BK1" s="157" t="str">
        <f>'ENTRY '!BY1</f>
        <v>Nuphar microphylla,Small pond lily</v>
      </c>
      <c r="BL1" s="157" t="str">
        <f>'ENTRY '!BZ1</f>
        <v>Nuphar X rubrodisca,Intermediate pond lily</v>
      </c>
      <c r="BM1" s="157" t="str">
        <f>'ENTRY '!CA1</f>
        <v>Nuphar variegata,Spatterdock</v>
      </c>
      <c r="BN1" s="157" t="str">
        <f>'ENTRY '!CB1</f>
        <v>Nymphaea odorata,White water lily</v>
      </c>
      <c r="BO1" s="157" t="str">
        <f>'ENTRY '!CC1</f>
        <v>Phalaris arundinacea,Reed canary grass</v>
      </c>
      <c r="BP1" s="157" t="str">
        <f>'ENTRY '!CD1</f>
        <v>Phragmites australis,Common reed</v>
      </c>
      <c r="BQ1" s="157" t="str">
        <f>'ENTRY '!CE1</f>
        <v>Polygonum amphibium,Water smartweed</v>
      </c>
      <c r="BR1" s="157" t="str">
        <f>'ENTRY '!CF1</f>
        <v>Polygonum punctatum,Dotted smartweed</v>
      </c>
      <c r="BS1" s="157" t="str">
        <f>'ENTRY '!CG1</f>
        <v>Pontederia cordata,Pickerelweed</v>
      </c>
      <c r="BT1" s="157" t="str">
        <f>'ENTRY '!CH1</f>
        <v>Potamogeton alpinus,Alpine pondweed</v>
      </c>
      <c r="BU1" s="157" t="str">
        <f>'ENTRY '!CI1</f>
        <v>Potamogeton amplifolius,Large-leaf pondweed</v>
      </c>
      <c r="BV1" s="157" t="str">
        <f>'ENTRY '!CJ1</f>
        <v>Potamogeton bicupulatus,Snail-seed pondweed</v>
      </c>
      <c r="BW1" s="157" t="str">
        <f>'ENTRY '!CK1</f>
        <v>Potamogeton confervoides,Algal-leaved pondweed</v>
      </c>
      <c r="BX1" s="157" t="str">
        <f>'ENTRY '!CL1</f>
        <v>Potamogeton diversifolius,Water-thread pondweed</v>
      </c>
      <c r="BY1" s="157" t="str">
        <f>'ENTRY '!CM1</f>
        <v>Potamogeton epihydrus,Ribbon-leaf pondweed</v>
      </c>
      <c r="BZ1" s="157" t="str">
        <f>'ENTRY '!CN1</f>
        <v>Potamogeton foliosus,Leafy pondweed</v>
      </c>
      <c r="CA1" s="157" t="str">
        <f>'ENTRY '!CO1</f>
        <v>Potamogeton friesii,Fries' pondweed</v>
      </c>
      <c r="CB1" s="157" t="str">
        <f>'ENTRY '!CP1</f>
        <v>Potamogeton gramineus,Variable pondweed</v>
      </c>
      <c r="CC1" s="157" t="str">
        <f>'ENTRY '!CQ1</f>
        <v>Potamogeton hillii,Hill's pondweed</v>
      </c>
      <c r="CD1" s="157" t="str">
        <f>'ENTRY '!CR1</f>
        <v>Potamogeton illinoensis,Illinois pondweed</v>
      </c>
      <c r="CE1" s="157" t="str">
        <f>'ENTRY '!CS1</f>
        <v>Potamogeton natans,Floating-leaf pondweed</v>
      </c>
      <c r="CF1" s="157" t="str">
        <f>'ENTRY '!CT1</f>
        <v>Potamogeton nodosus,Long-leaf pondweed</v>
      </c>
      <c r="CG1" s="157" t="str">
        <f>'ENTRY '!CU1</f>
        <v>Potamogeton oakesianus,Oakes' pondweed</v>
      </c>
      <c r="CH1" s="157" t="str">
        <f>'ENTRY '!CV1</f>
        <v>Potamogeton obtusifolius,Blunt-leaf pondweed</v>
      </c>
      <c r="CI1" s="157" t="str">
        <f>'ENTRY '!CW1</f>
        <v>Potamogeton praelongus,White-stem pondweed</v>
      </c>
      <c r="CJ1" s="157" t="str">
        <f>'ENTRY '!CX1</f>
        <v>Potamogeton pulcher,Spotted pondweed</v>
      </c>
      <c r="CK1" s="157" t="str">
        <f>'ENTRY '!CY1</f>
        <v>Potamogeton pusillus,Small pondweed</v>
      </c>
      <c r="CL1" s="157" t="str">
        <f>'ENTRY '!CZ1</f>
        <v>Potamogeton richardsonii,Clasping-leaf pondweed</v>
      </c>
      <c r="CM1" s="157" t="str">
        <f>'ENTRY '!DA1</f>
        <v>Potamogeton robbinsii,Fern pondweed</v>
      </c>
      <c r="CN1" s="157" t="str">
        <f>'ENTRY '!DB1</f>
        <v>Potamogeton spirillus,Spiral-fruited pondweed</v>
      </c>
      <c r="CO1" s="157" t="str">
        <f>'ENTRY '!DC1</f>
        <v>Potamogeton strictifolius,Stiff pondweed</v>
      </c>
      <c r="CP1" s="157" t="str">
        <f>'ENTRY '!DD1</f>
        <v>Potamogeton vaseyi,Vasey's pondweed</v>
      </c>
      <c r="CQ1" s="157" t="str">
        <f>'ENTRY '!DE1</f>
        <v>Potamogeton zosteriformis,Flat-stem pondweed</v>
      </c>
      <c r="CR1" s="157" t="str">
        <f>'ENTRY '!DF1</f>
        <v>Ranunculus aquatilis,White water crowfoot</v>
      </c>
      <c r="CS1" s="157" t="str">
        <f>'ENTRY '!DG1</f>
        <v>Ranunculus flabellaris,Yellow water crowfoot</v>
      </c>
      <c r="CT1" s="157" t="str">
        <f>'ENTRY '!DH1</f>
        <v>Ranunculus flammula,Creeping spearwort</v>
      </c>
      <c r="CU1" s="157" t="str">
        <f>'ENTRY '!DI1</f>
        <v>Ruppia cirrhosa,Ditch grass</v>
      </c>
      <c r="CV1" s="157" t="str">
        <f>'ENTRY '!DJ1</f>
        <v>Sagittaria brevirostra,Midwestern arrowhead</v>
      </c>
      <c r="CW1" s="157" t="str">
        <f>'ENTRY '!DK1</f>
        <v>Sagittaria cristata,Crested arrowhead</v>
      </c>
      <c r="CX1" s="157" t="str">
        <f>'ENTRY '!DL1</f>
        <v>Sagittaria cuneata,Arum-leaved arrowhead</v>
      </c>
      <c r="CY1" s="157" t="str">
        <f>'ENTRY '!DM1</f>
        <v>Sagittaria graminea,Grass-leaved arrowhead</v>
      </c>
      <c r="CZ1" s="157" t="str">
        <f>'ENTRY '!DN1</f>
        <v>Sagittaria latifolia,Common arrowhead</v>
      </c>
      <c r="DA1" s="157" t="str">
        <f>'ENTRY '!DO1</f>
        <v>Sagittaria rigida,Sessile-fruited arrowhead</v>
      </c>
      <c r="DB1" s="157" t="str">
        <f>'ENTRY '!DP1</f>
        <v>Sagittaria sp.,Arrowhead</v>
      </c>
      <c r="DC1" s="157" t="str">
        <f>'ENTRY '!DQ1</f>
        <v>Schoenoplectus acutus,Hardstem bulrush</v>
      </c>
      <c r="DD1" s="157" t="str">
        <f>'ENTRY '!DR1</f>
        <v>Schoenoplectus heterochaetus,Slender bulrush</v>
      </c>
      <c r="DE1" s="157" t="str">
        <f>'ENTRY '!DS1</f>
        <v>Schoenoplectus pungens,Three-square bulrush</v>
      </c>
      <c r="DF1" s="157" t="str">
        <f>'ENTRY '!DT1</f>
        <v>Schoenoplectus subterminalis,Water bulrush</v>
      </c>
      <c r="DG1" s="157" t="str">
        <f>'ENTRY '!DU1</f>
        <v>Schoenoplectus tabernaemontani,Softstem bulrush</v>
      </c>
      <c r="DH1" s="157" t="str">
        <f>'ENTRY '!DV1</f>
        <v>Sparganium americanum,American bur-reed</v>
      </c>
      <c r="DI1" s="157" t="str">
        <f>'ENTRY '!DW1</f>
        <v>Sparganium androcladum,Branched bur-reed</v>
      </c>
      <c r="DJ1" s="157" t="str">
        <f>'ENTRY '!DX1</f>
        <v>Sparganium angustifolium,Narrow-leaved bur-reed</v>
      </c>
      <c r="DK1" s="157" t="str">
        <f>'ENTRY '!DY1</f>
        <v>Sparganium emersum,Short-stemmed bur-reed</v>
      </c>
      <c r="DL1" s="157" t="str">
        <f>'ENTRY '!DZ1</f>
        <v>Sparganium eurycarpum,Common bur-reed</v>
      </c>
      <c r="DM1" s="157" t="str">
        <f>'ENTRY '!EA1</f>
        <v>Sparganium fluctuans,Floating-leaf bur-reed</v>
      </c>
      <c r="DN1" s="157" t="str">
        <f>'ENTRY '!EB1</f>
        <v>Sparganium natans,Small bur-reed</v>
      </c>
      <c r="DO1" s="157" t="str">
        <f>'ENTRY '!EC1</f>
        <v>Sparganium sp.,Bur-reed</v>
      </c>
      <c r="DP1" s="157" t="str">
        <f>'ENTRY '!ED1</f>
        <v>Spirodela polyrhiza,Large duckweed</v>
      </c>
      <c r="DQ1" s="157" t="str">
        <f>'ENTRY '!EE1</f>
        <v>Stuckenia filiformis,Fine-leaved pondweed</v>
      </c>
      <c r="DR1" s="157" t="str">
        <f>'ENTRY '!EF1</f>
        <v>Stuckenia pectinata,Sago pondweed</v>
      </c>
      <c r="DS1" s="157" t="str">
        <f>'ENTRY '!EG1</f>
        <v>Stuckenia vaginata,Sheathed pondweed</v>
      </c>
      <c r="DT1" s="157" t="str">
        <f>'ENTRY '!EH1</f>
        <v>Typha angustifolia,Narrow-leaved cattail</v>
      </c>
      <c r="DU1" s="157" t="str">
        <f>'ENTRY '!EI1</f>
        <v>Typha latifolia,Broad-leaved cattail</v>
      </c>
      <c r="DV1" s="157" t="str">
        <f>'ENTRY '!EJ1</f>
        <v>Typha sp.,Cattail</v>
      </c>
      <c r="DW1" s="157" t="str">
        <f>'ENTRY '!EK1</f>
        <v>Utricularia cornuta,Horned pondweed</v>
      </c>
      <c r="DX1" s="157" t="str">
        <f>'ENTRY '!EL1</f>
        <v>Utricularia geminiscapa,Twin-stemmed bladderwort</v>
      </c>
      <c r="DY1" s="157" t="str">
        <f>'ENTRY '!EM1</f>
        <v>Utricularia gibba,Creeping bladderwort</v>
      </c>
      <c r="DZ1" s="157" t="str">
        <f>'ENTRY '!EN1</f>
        <v>Utricularia intermedia,Flat-leaf bladderwort</v>
      </c>
      <c r="EA1" s="157" t="str">
        <f>'ENTRY '!EO1</f>
        <v>Utricularia minor,Small bladderwort</v>
      </c>
      <c r="EB1" s="157" t="str">
        <f>'ENTRY '!EP1</f>
        <v>Utricularia purpurea,Large purple bladderwort</v>
      </c>
      <c r="EC1" s="157" t="str">
        <f>'ENTRY '!EQ1</f>
        <v>Utricularia resupinata,Small purple bladderwort</v>
      </c>
      <c r="ED1" s="157" t="str">
        <f>'ENTRY '!ER1</f>
        <v>Utricularia vulgaris,Common bladderwort</v>
      </c>
      <c r="EE1" s="157" t="str">
        <f>'ENTRY '!ES1</f>
        <v>Vallisneria americana,Wild celery</v>
      </c>
      <c r="EF1" s="157" t="str">
        <f>'ENTRY '!ET1</f>
        <v>Wolffia borealis,Northern watermeal</v>
      </c>
      <c r="EG1" s="157" t="str">
        <f>'ENTRY '!EU1</f>
        <v>Wolffia columbiana,Common watermeal</v>
      </c>
      <c r="EH1" s="157" t="str">
        <f>'ENTRY '!EV1</f>
        <v>Zannichellia palustris,Horned pondweed</v>
      </c>
      <c r="EI1" s="157" t="str">
        <f>'ENTRY '!EW1</f>
        <v>Zizania aquatica,Southern wild rice</v>
      </c>
      <c r="EJ1" s="157" t="str">
        <f>'ENTRY '!EX1</f>
        <v>Zizania palustris,Northern wild rice</v>
      </c>
      <c r="EK1" s="157" t="str">
        <f>'ENTRY '!EY1</f>
        <v>Zizania sp.,Wild rice</v>
      </c>
      <c r="EL1" s="157" t="str">
        <f>'ENTRY '!EZ1</f>
        <v>Aquatic moss</v>
      </c>
      <c r="EM1" s="157" t="str">
        <f>'ENTRY '!FA1</f>
        <v>Freshwater sponge</v>
      </c>
      <c r="EN1" s="157" t="str">
        <f>'ENTRY '!FB1</f>
        <v>Filamentous algae</v>
      </c>
      <c r="EO1" s="157" t="str">
        <f>'ENTRY '!FC1</f>
        <v>Riccia fluitans,Slender riccia</v>
      </c>
      <c r="EP1" s="157" t="str">
        <f>'ENTRY '!FD1</f>
        <v>Ricciocarpus natans,Purple-fringed riccia </v>
      </c>
      <c r="EQ1" s="157" t="str">
        <f>'ENTRY '!FE1</f>
        <v>sp1</v>
      </c>
      <c r="ER1" s="157" t="str">
        <f>'ENTRY '!FF1</f>
        <v>sp2</v>
      </c>
      <c r="ES1" s="157" t="str">
        <f>'ENTRY '!FG1</f>
        <v>sp3</v>
      </c>
      <c r="ET1" s="157" t="str">
        <f>'ENTRY '!FH1</f>
        <v>sp4</v>
      </c>
      <c r="EU1" s="157" t="str">
        <f>'ENTRY '!FI1</f>
        <v>sp5</v>
      </c>
      <c r="EV1" s="157" t="str">
        <f>'ENTRY '!FJ1</f>
        <v>sp6</v>
      </c>
      <c r="EW1" s="157" t="str">
        <f>'ENTRY '!FK1</f>
        <v>sp7</v>
      </c>
      <c r="EX1" s="157" t="str">
        <f>'ENTRY '!FL1</f>
        <v>sp8</v>
      </c>
      <c r="EY1" s="157" t="str">
        <f>'ENTRY '!FM1</f>
        <v>sp9</v>
      </c>
      <c r="EZ1" s="35"/>
    </row>
    <row r="2" spans="1:155" s="25" customFormat="1" ht="12.75" customHeight="1">
      <c r="A2" s="63" t="s">
        <v>93</v>
      </c>
      <c r="B2" s="61" t="str">
        <f>IF('ENTRY '!I2="","",'ENTRY '!I2)</f>
        <v>North Lake (Spider Chain)</v>
      </c>
      <c r="C2" s="50"/>
      <c r="D2" s="46"/>
      <c r="E2" s="39"/>
      <c r="F2" s="60"/>
      <c r="G2" s="60"/>
      <c r="H2" s="60"/>
      <c r="I2" s="60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60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</row>
    <row r="3" spans="1:155" s="25" customFormat="1" ht="12.75" customHeight="1">
      <c r="A3" s="63" t="s">
        <v>44</v>
      </c>
      <c r="B3" s="61">
        <f>IF('ENTRY '!I3="","",'ENTRY '!I3)</f>
        <v>2436000</v>
      </c>
      <c r="C3" s="50"/>
      <c r="D3" s="46"/>
      <c r="E3" s="39"/>
      <c r="F3" s="60"/>
      <c r="G3" s="60"/>
      <c r="H3" s="60"/>
      <c r="I3" s="60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60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</row>
    <row r="4" spans="1:155" s="25" customFormat="1" ht="12.75" customHeight="1">
      <c r="A4" s="63" t="s">
        <v>46</v>
      </c>
      <c r="B4" s="61" t="str">
        <f>IF('ENTRY '!I4="","",'ENTRY '!I4)</f>
        <v>Sawyer Co.</v>
      </c>
      <c r="C4" s="50"/>
      <c r="D4" s="46"/>
      <c r="E4" s="39"/>
      <c r="F4" s="60"/>
      <c r="G4" s="60"/>
      <c r="H4" s="60"/>
      <c r="I4" s="60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60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</row>
    <row r="5" spans="1:155" s="25" customFormat="1" ht="12.75" customHeight="1">
      <c r="A5" s="64" t="s">
        <v>66</v>
      </c>
      <c r="B5" s="68" t="str">
        <f>IF('ENTRY '!I5="","",'ENTRY '!I5)</f>
        <v>8 1, 2017</v>
      </c>
      <c r="C5" s="50"/>
      <c r="D5" s="46"/>
      <c r="E5" s="39"/>
      <c r="F5" s="60"/>
      <c r="G5" s="60"/>
      <c r="H5" s="60"/>
      <c r="I5" s="60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60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</row>
    <row r="6" spans="2:155" s="25" customFormat="1" ht="15" customHeight="1">
      <c r="B6" s="24" t="s">
        <v>42</v>
      </c>
      <c r="C6" s="50"/>
      <c r="D6" s="46"/>
      <c r="E6" s="39"/>
      <c r="F6" s="46"/>
      <c r="G6" s="46"/>
      <c r="H6" s="46"/>
      <c r="I6" s="46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40"/>
      <c r="BO6" s="39"/>
      <c r="BP6" s="40"/>
      <c r="BQ6" s="39"/>
      <c r="BR6" s="39"/>
      <c r="BS6" s="39"/>
      <c r="BT6" s="40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40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46"/>
      <c r="EM6" s="39"/>
      <c r="EN6" s="39"/>
      <c r="EO6" s="39"/>
      <c r="EP6" s="39"/>
      <c r="EQ6" s="41"/>
      <c r="ER6" s="41"/>
      <c r="ES6" s="41"/>
      <c r="ET6" s="41"/>
      <c r="EU6" s="41"/>
      <c r="EV6" s="41"/>
      <c r="EW6" s="41"/>
      <c r="EX6" s="41"/>
      <c r="EY6" s="41"/>
    </row>
    <row r="7" spans="2:155" ht="12.75">
      <c r="B7" s="1" t="s">
        <v>102</v>
      </c>
      <c r="C7" s="65"/>
      <c r="D7" s="47">
        <f>IF(SUM('ENTRY '!R2:R404)=0,"",COUNT('ENTRY '!R2:R404))</f>
      </c>
      <c r="E7" s="47">
        <f>IF(SUM('ENTRY '!S2:S404)=0,"",COUNT('ENTRY '!S2:S404))</f>
      </c>
      <c r="F7" s="47">
        <f>IF(SUM('ENTRY '!T2:T404)=0,"",COUNT('ENTRY '!T2:T404))</f>
      </c>
      <c r="G7" s="47">
        <f>IF(SUM('ENTRY '!U2:U404)=0,"",COUNT('ENTRY '!U2:U404))</f>
      </c>
      <c r="H7" s="47">
        <f>IF(SUM('ENTRY '!V2:V404)=0,"",COUNT('ENTRY '!V2:V404))</f>
        <v>2</v>
      </c>
      <c r="I7" s="47">
        <f>IF(SUM('ENTRY '!W2:W404)=0,"",COUNT('ENTRY '!W2:W404))</f>
      </c>
      <c r="J7" s="47">
        <f>IF(SUM('ENTRY '!X2:X404)=0,"",COUNT('ENTRY '!X2:X404))</f>
        <v>12</v>
      </c>
      <c r="K7" s="47">
        <f>IF(SUM('ENTRY '!Y2:Y404)=0,"",COUNT('ENTRY '!Y2:Y404))</f>
      </c>
      <c r="L7" s="47">
        <f>IF(SUM('ENTRY '!Z2:Z404)=0,"",COUNT('ENTRY '!Z2:Z404))</f>
      </c>
      <c r="M7" s="47">
        <f>IF(SUM('ENTRY '!AA2:AA404)=0,"",COUNT('ENTRY '!AA2:AA404))</f>
      </c>
      <c r="N7" s="47">
        <f>IF(SUM('ENTRY '!AB2:AB404)=0,"",COUNT('ENTRY '!AB2:AB404))</f>
      </c>
      <c r="O7" s="47">
        <f>IF(SUM('ENTRY '!AC2:AC404)=0,"",COUNT('ENTRY '!AC2:AC404))</f>
      </c>
      <c r="P7" s="47">
        <f>IF(SUM('ENTRY '!AD2:AD404)=0,"",COUNT('ENTRY '!AD2:AD404))</f>
      </c>
      <c r="Q7" s="47">
        <f>IF(SUM('ENTRY '!AE2:AE404)=0,"",COUNT('ENTRY '!AE2:AE404))</f>
        <v>77</v>
      </c>
      <c r="R7" s="47">
        <f>IF(SUM('ENTRY '!AF2:AF404)=0,"",COUNT('ENTRY '!AF2:AF404))</f>
      </c>
      <c r="S7" s="47">
        <f>IF(SUM('ENTRY '!AG2:AG404)=0,"",COUNT('ENTRY '!AG2:AG404))</f>
        <v>31</v>
      </c>
      <c r="T7" s="47">
        <f>IF(SUM('ENTRY '!AH2:AH404)=0,"",COUNT('ENTRY '!AH2:AH404))</f>
      </c>
      <c r="U7" s="47">
        <f>IF(SUM('ENTRY '!AI2:AI404)=0,"",COUNT('ENTRY '!AI2:AI404))</f>
      </c>
      <c r="V7" s="47">
        <f>IF(SUM('ENTRY '!AJ2:AJ404)=0,"",COUNT('ENTRY '!AJ2:AJ404))</f>
      </c>
      <c r="W7" s="47">
        <f>IF(SUM('ENTRY '!AK2:AK404)=0,"",COUNT('ENTRY '!AK2:AK404))</f>
      </c>
      <c r="X7" s="47">
        <f>IF(SUM('ENTRY '!AL2:AL404)=0,"",COUNT('ENTRY '!AL2:AL404))</f>
      </c>
      <c r="Y7" s="47">
        <f>IF(SUM('ENTRY '!AM2:AM404)=0,"",COUNT('ENTRY '!AM2:AM404))</f>
      </c>
      <c r="Z7" s="47">
        <f>IF(SUM('ENTRY '!AN2:AN404)=0,"",COUNT('ENTRY '!AN2:AN404))</f>
      </c>
      <c r="AA7" s="47">
        <f>IF(SUM('ENTRY '!AO2:AO404)=0,"",COUNT('ENTRY '!AO2:AO404))</f>
        <v>3</v>
      </c>
      <c r="AB7" s="47">
        <f>IF(SUM('ENTRY '!AP2:AP404)=0,"",COUNT('ENTRY '!AP2:AP404))</f>
      </c>
      <c r="AC7" s="47">
        <f>IF(SUM('ENTRY '!AQ2:AQ404)=0,"",COUNT('ENTRY '!AQ2:AQ404))</f>
        <v>20</v>
      </c>
      <c r="AD7" s="47">
        <f>IF(SUM('ENTRY '!AR2:AR404)=0,"",COUNT('ENTRY '!AR2:AR404))</f>
      </c>
      <c r="AE7" s="47">
        <f>IF(SUM('ENTRY '!AS2:AS404)=0,"",COUNT('ENTRY '!AS2:AS404))</f>
      </c>
      <c r="AF7" s="47">
        <f>IF(SUM('ENTRY '!AT2:AT404)=0,"",COUNT('ENTRY '!AT2:AT404))</f>
      </c>
      <c r="AG7" s="47">
        <f>IF(SUM('ENTRY '!AU2:AU404)=0,"",COUNT('ENTRY '!AU2:AU404))</f>
      </c>
      <c r="AH7" s="47">
        <f>IF(SUM('ENTRY '!AV2:AV404)=0,"",COUNT('ENTRY '!AV2:AV404))</f>
      </c>
      <c r="AI7" s="47">
        <f>IF(SUM('ENTRY '!AW2:AW404)=0,"",COUNT('ENTRY '!AW2:AW404))</f>
        <v>15</v>
      </c>
      <c r="AJ7" s="47">
        <f>IF(SUM('ENTRY '!AX2:AX404)=0,"",COUNT('ENTRY '!AX2:AX404))</f>
      </c>
      <c r="AK7" s="47">
        <f>IF(SUM('ENTRY '!AY2:AY404)=0,"",COUNT('ENTRY '!AY2:AY404))</f>
      </c>
      <c r="AL7" s="47">
        <f>IF(SUM('ENTRY '!AZ2:AZ404)=0,"",COUNT('ENTRY '!AZ2:AZ404))</f>
      </c>
      <c r="AM7" s="47">
        <f>IF(SUM('ENTRY '!BA2:BA404)=0,"",COUNT('ENTRY '!BA2:BA404))</f>
      </c>
      <c r="AN7" s="47">
        <f>IF(SUM('ENTRY '!BB2:BB404)=0,"",COUNT('ENTRY '!BB2:BB404))</f>
      </c>
      <c r="AO7" s="47">
        <f>IF(SUM('ENTRY '!BC2:BC404)=0,"",COUNT('ENTRY '!BC2:BC404))</f>
      </c>
      <c r="AP7" s="47">
        <f>IF(SUM('ENTRY '!BD2:BD404)=0,"",COUNT('ENTRY '!BD2:BD404))</f>
      </c>
      <c r="AQ7" s="47">
        <f>IF(SUM('ENTRY '!BE2:BE404)=0,"",COUNT('ENTRY '!BE2:BE404))</f>
      </c>
      <c r="AR7" s="47">
        <f>IF(SUM('ENTRY '!BF2:BF404)=0,"",COUNT('ENTRY '!BF2:BF404))</f>
      </c>
      <c r="AS7" s="47">
        <f>IF(SUM('ENTRY '!BG2:BG404)=0,"",COUNT('ENTRY '!BG2:BG404))</f>
      </c>
      <c r="AT7" s="47">
        <f>IF(SUM('ENTRY '!BH2:BH404)=0,"",COUNT('ENTRY '!BH2:BH404))</f>
      </c>
      <c r="AU7" s="47">
        <f>IF(SUM('ENTRY '!BI2:BI404)=0,"",COUNT('ENTRY '!BI2:BI404))</f>
      </c>
      <c r="AV7" s="47">
        <f>IF(SUM('ENTRY '!BJ2:BJ404)=0,"",COUNT('ENTRY '!BJ2:BJ404))</f>
      </c>
      <c r="AW7" s="47">
        <f>IF(SUM('ENTRY '!BK2:BK404)=0,"",COUNT('ENTRY '!BK2:BK404))</f>
      </c>
      <c r="AX7" s="47">
        <f>IF(SUM('ENTRY '!BL2:BL404)=0,"",COUNT('ENTRY '!BL2:BL404))</f>
      </c>
      <c r="AY7" s="47">
        <f>IF(SUM('ENTRY '!BM2:BM404)=0,"",COUNT('ENTRY '!BM2:BM404))</f>
      </c>
      <c r="AZ7" s="47">
        <f>IF(SUM('ENTRY '!BN2:BN404)=0,"",COUNT('ENTRY '!BN2:BN404))</f>
      </c>
      <c r="BA7" s="47">
        <f>IF(SUM('ENTRY '!BO2:BO404)=0,"",COUNT('ENTRY '!BO2:BO404))</f>
        <v>47</v>
      </c>
      <c r="BB7" s="47">
        <f>IF(SUM('ENTRY '!BP2:BP404)=0,"",COUNT('ENTRY '!BP2:BP404))</f>
      </c>
      <c r="BC7" s="47">
        <f>IF(SUM('ENTRY '!BQ2:BQ404)=0,"",COUNT('ENTRY '!BQ2:BQ404))</f>
        <v>3</v>
      </c>
      <c r="BD7" s="47">
        <f>IF(SUM('ENTRY '!BR2:BR404)=0,"",COUNT('ENTRY '!BR2:BR404))</f>
        <v>64</v>
      </c>
      <c r="BE7" s="47">
        <f>IF(SUM('ENTRY '!BS2:BS404)=0,"",COUNT('ENTRY '!BS2:BS404))</f>
      </c>
      <c r="BF7" s="47">
        <f>IF(SUM('ENTRY '!BT2:BT404)=0,"",COUNT('ENTRY '!BT2:BT404))</f>
      </c>
      <c r="BG7" s="47">
        <f>IF(SUM('ENTRY '!BU2:BU404)=0,"",COUNT('ENTRY '!BU2:BU404))</f>
      </c>
      <c r="BH7" s="47">
        <f>IF(SUM('ENTRY '!BV2:BV404)=0,"",COUNT('ENTRY '!BV2:BV404))</f>
      </c>
      <c r="BI7" s="47">
        <f>IF(SUM('ENTRY '!BW2:BW404)=0,"",COUNT('ENTRY '!BW2:BW404))</f>
        <v>36</v>
      </c>
      <c r="BJ7" s="47">
        <f>IF(SUM('ENTRY '!BX2:BX404)=0,"",COUNT('ENTRY '!BX2:BX404))</f>
      </c>
      <c r="BK7" s="47">
        <f>IF(SUM('ENTRY '!BY2:BY404)=0,"",COUNT('ENTRY '!BY2:BY404))</f>
      </c>
      <c r="BL7" s="47">
        <f>IF(SUM('ENTRY '!BZ2:BZ404)=0,"",COUNT('ENTRY '!BZ2:BZ404))</f>
      </c>
      <c r="BM7" s="47">
        <f>IF(SUM('ENTRY '!CA2:CA404)=0,"",COUNT('ENTRY '!CA2:CA404))</f>
        <v>45</v>
      </c>
      <c r="BN7" s="47">
        <f>IF(SUM('ENTRY '!CB2:CB404)=0,"",COUNT('ENTRY '!CB2:CB404))</f>
        <v>54</v>
      </c>
      <c r="BO7" s="47">
        <f>IF(SUM('ENTRY '!CC2:CC404)=0,"",COUNT('ENTRY '!CC2:CC404))</f>
      </c>
      <c r="BP7" s="47">
        <f>IF(SUM('ENTRY '!CD2:CD404)=0,"",COUNT('ENTRY '!CD2:CD404))</f>
      </c>
      <c r="BQ7" s="47">
        <f>IF(SUM('ENTRY '!CE2:CE404)=0,"",COUNT('ENTRY '!CE2:CE404))</f>
      </c>
      <c r="BR7" s="47">
        <f>IF(SUM('ENTRY '!CF2:CF404)=0,"",COUNT('ENTRY '!CF2:CF404))</f>
      </c>
      <c r="BS7" s="47">
        <f>IF(SUM('ENTRY '!CG2:CG404)=0,"",COUNT('ENTRY '!CG2:CG404))</f>
        <v>5</v>
      </c>
      <c r="BT7" s="47">
        <f>IF(SUM('ENTRY '!CH2:CH404)=0,"",COUNT('ENTRY '!CH2:CH404))</f>
      </c>
      <c r="BU7" s="47">
        <f>IF(SUM('ENTRY '!CI2:CI404)=0,"",COUNT('ENTRY '!CI2:CI404))</f>
        <v>10</v>
      </c>
      <c r="BV7" s="47">
        <f>IF(SUM('ENTRY '!CJ2:CJ404)=0,"",COUNT('ENTRY '!CJ2:CJ404))</f>
      </c>
      <c r="BW7" s="47">
        <f>IF(SUM('ENTRY '!CK2:CK404)=0,"",COUNT('ENTRY '!CK2:CK404))</f>
      </c>
      <c r="BX7" s="47">
        <f>IF(SUM('ENTRY '!CL2:CL404)=0,"",COUNT('ENTRY '!CL2:CL404))</f>
      </c>
      <c r="BY7" s="47">
        <f>IF(SUM('ENTRY '!CM2:CM404)=0,"",COUNT('ENTRY '!CM2:CM404))</f>
        <v>1</v>
      </c>
      <c r="BZ7" s="47">
        <f>IF(SUM('ENTRY '!CN2:CN404)=0,"",COUNT('ENTRY '!CN2:CN404))</f>
        <v>5</v>
      </c>
      <c r="CA7" s="47">
        <f>IF(SUM('ENTRY '!CO2:CO404)=0,"",COUNT('ENTRY '!CO2:CO404))</f>
        <v>19</v>
      </c>
      <c r="CB7" s="47">
        <f>IF(SUM('ENTRY '!CP2:CP404)=0,"",COUNT('ENTRY '!CP2:CP404))</f>
      </c>
      <c r="CC7" s="47">
        <f>IF(SUM('ENTRY '!CQ2:CQ404)=0,"",COUNT('ENTRY '!CQ2:CQ404))</f>
      </c>
      <c r="CD7" s="47">
        <f>IF(SUM('ENTRY '!CR2:CR404)=0,"",COUNT('ENTRY '!CR2:CR404))</f>
        <v>2</v>
      </c>
      <c r="CE7" s="47">
        <f>IF(SUM('ENTRY '!CS2:CS404)=0,"",COUNT('ENTRY '!CS2:CS404))</f>
        <v>6</v>
      </c>
      <c r="CF7" s="47">
        <f>IF(SUM('ENTRY '!CT2:CT404)=0,"",COUNT('ENTRY '!CT2:CT404))</f>
      </c>
      <c r="CG7" s="47">
        <f>IF(SUM('ENTRY '!CU2:CU404)=0,"",COUNT('ENTRY '!CU2:CU404))</f>
      </c>
      <c r="CH7" s="47">
        <f>IF(SUM('ENTRY '!CV2:CV404)=0,"",COUNT('ENTRY '!CV2:CV404))</f>
      </c>
      <c r="CI7" s="47">
        <f>IF(SUM('ENTRY '!CW2:CW404)=0,"",COUNT('ENTRY '!CW2:CW404))</f>
        <v>13</v>
      </c>
      <c r="CJ7" s="47">
        <f>IF(SUM('ENTRY '!CX2:CX404)=0,"",COUNT('ENTRY '!CX2:CX404))</f>
      </c>
      <c r="CK7" s="47">
        <f>IF(SUM('ENTRY '!CY2:CY404)=0,"",COUNT('ENTRY '!CY2:CY404))</f>
        <v>41</v>
      </c>
      <c r="CL7" s="47">
        <f>IF(SUM('ENTRY '!CZ2:CZ404)=0,"",COUNT('ENTRY '!CZ2:CZ404))</f>
        <v>1</v>
      </c>
      <c r="CM7" s="47">
        <f>IF(SUM('ENTRY '!DA2:DA404)=0,"",COUNT('ENTRY '!DA2:DA404))</f>
        <v>30</v>
      </c>
      <c r="CN7" s="47">
        <f>IF(SUM('ENTRY '!DB2:DB404)=0,"",COUNT('ENTRY '!DB2:DB404))</f>
      </c>
      <c r="CO7" s="47">
        <f>IF(SUM('ENTRY '!DC2:DC404)=0,"",COUNT('ENTRY '!DC2:DC404))</f>
      </c>
      <c r="CP7" s="47">
        <f>IF(SUM('ENTRY '!DD2:DD404)=0,"",COUNT('ENTRY '!DD2:DD404))</f>
      </c>
      <c r="CQ7" s="47">
        <f>IF(SUM('ENTRY '!DE2:DE404)=0,"",COUNT('ENTRY '!DE2:DE404))</f>
        <v>77</v>
      </c>
      <c r="CR7" s="47">
        <f>IF(SUM('ENTRY '!DF2:DF404)=0,"",COUNT('ENTRY '!DF2:DF404))</f>
      </c>
      <c r="CS7" s="47">
        <f>IF(SUM('ENTRY '!DG2:DG404)=0,"",COUNT('ENTRY '!DG2:DG404))</f>
      </c>
      <c r="CT7" s="47">
        <f>IF(SUM('ENTRY '!DH2:DH404)=0,"",COUNT('ENTRY '!DH2:DH404))</f>
      </c>
      <c r="CU7" s="47">
        <f>IF(SUM('ENTRY '!DI2:DI404)=0,"",COUNT('ENTRY '!DI2:DI404))</f>
      </c>
      <c r="CV7" s="47">
        <f>IF(SUM('ENTRY '!DJ2:DJ404)=0,"",COUNT('ENTRY '!DJ2:DJ404))</f>
      </c>
      <c r="CW7" s="47">
        <f>IF(SUM('ENTRY '!DK2:DK404)=0,"",COUNT('ENTRY '!DK2:DK404))</f>
      </c>
      <c r="CX7" s="47">
        <f>IF(SUM('ENTRY '!DL2:DL404)=0,"",COUNT('ENTRY '!DL2:DL404))</f>
      </c>
      <c r="CY7" s="47">
        <f>IF(SUM('ENTRY '!DM2:DM404)=0,"",COUNT('ENTRY '!DM2:DM404))</f>
      </c>
      <c r="CZ7" s="47">
        <f>IF(SUM('ENTRY '!DN2:DN404)=0,"",COUNT('ENTRY '!DN2:DN404))</f>
      </c>
      <c r="DA7" s="47">
        <f>IF(SUM('ENTRY '!DO2:DO404)=0,"",COUNT('ENTRY '!DO2:DO404))</f>
      </c>
      <c r="DB7" s="47">
        <f>IF(SUM('ENTRY '!DP2:DP404)=0,"",COUNT('ENTRY '!DP2:DP404))</f>
      </c>
      <c r="DC7" s="47">
        <f>IF(SUM('ENTRY '!DQ2:DQ404)=0,"",COUNT('ENTRY '!DQ2:DQ404))</f>
        <v>1</v>
      </c>
      <c r="DD7" s="47">
        <f>IF(SUM('ENTRY '!DR2:DR404)=0,"",COUNT('ENTRY '!DR2:DR404))</f>
      </c>
      <c r="DE7" s="47">
        <f>IF(SUM('ENTRY '!DS2:DS404)=0,"",COUNT('ENTRY '!DS2:DS404))</f>
      </c>
      <c r="DF7" s="47">
        <f>IF(SUM('ENTRY '!DT2:DT404)=0,"",COUNT('ENTRY '!DT2:DT404))</f>
      </c>
      <c r="DG7" s="47">
        <f>IF(SUM('ENTRY '!DU2:DU404)=0,"",COUNT('ENTRY '!DU2:DU404))</f>
      </c>
      <c r="DH7" s="47">
        <f>IF(SUM('ENTRY '!DV2:DV404)=0,"",COUNT('ENTRY '!DV2:DV404))</f>
      </c>
      <c r="DI7" s="47">
        <f>IF(SUM('ENTRY '!DW2:DW404)=0,"",COUNT('ENTRY '!DW2:DW404))</f>
      </c>
      <c r="DJ7" s="47">
        <f>IF(SUM('ENTRY '!DX2:DX404)=0,"",COUNT('ENTRY '!DX2:DX404))</f>
      </c>
      <c r="DK7" s="47">
        <f>IF(SUM('ENTRY '!DY2:DY404)=0,"",COUNT('ENTRY '!DY2:DY404))</f>
        <v>5</v>
      </c>
      <c r="DL7" s="47">
        <f>IF(SUM('ENTRY '!DZ2:DZ404)=0,"",COUNT('ENTRY '!DZ2:DZ404))</f>
      </c>
      <c r="DM7" s="47">
        <f>IF(SUM('ENTRY '!EA2:EA404)=0,"",COUNT('ENTRY '!EA2:EA404))</f>
      </c>
      <c r="DN7" s="47">
        <f>IF(SUM('ENTRY '!EB2:EB404)=0,"",COUNT('ENTRY '!EB2:EB404))</f>
      </c>
      <c r="DO7" s="47">
        <f>IF(SUM('ENTRY '!EC2:EC404)=0,"",COUNT('ENTRY '!EC2:EC404))</f>
      </c>
      <c r="DP7" s="47">
        <f>IF(SUM('ENTRY '!ED2:ED404)=0,"",COUNT('ENTRY '!ED2:ED404))</f>
      </c>
      <c r="DQ7" s="47">
        <f>IF(SUM('ENTRY '!EE2:EE404)=0,"",COUNT('ENTRY '!EE2:EE404))</f>
      </c>
      <c r="DR7" s="47">
        <f>IF(SUM('ENTRY '!EF2:EF404)=0,"",COUNT('ENTRY '!EF2:EF404))</f>
        <v>2</v>
      </c>
      <c r="DS7" s="47">
        <f>IF(SUM('ENTRY '!EG2:EG404)=0,"",COUNT('ENTRY '!EG2:EG404))</f>
      </c>
      <c r="DT7" s="47">
        <f>IF(SUM('ENTRY '!EH2:EH404)=0,"",COUNT('ENTRY '!EH2:EH404))</f>
      </c>
      <c r="DU7" s="47">
        <f>IF(SUM('ENTRY '!EI2:EI404)=0,"",COUNT('ENTRY '!EI2:EI404))</f>
      </c>
      <c r="DV7" s="47">
        <f>IF(SUM('ENTRY '!EJ2:EJ404)=0,"",COUNT('ENTRY '!EJ2:EJ404))</f>
      </c>
      <c r="DW7" s="47">
        <f>IF(SUM('ENTRY '!EK2:EK404)=0,"",COUNT('ENTRY '!EK2:EK404))</f>
      </c>
      <c r="DX7" s="47">
        <f>IF(SUM('ENTRY '!EL2:EL404)=0,"",COUNT('ENTRY '!EL2:EL404))</f>
      </c>
      <c r="DY7" s="47">
        <f>IF(SUM('ENTRY '!EM2:EM404)=0,"",COUNT('ENTRY '!EM2:EM404))</f>
        <v>6</v>
      </c>
      <c r="DZ7" s="47">
        <f>IF(SUM('ENTRY '!EN2:EN404)=0,"",COUNT('ENTRY '!EN2:EN404))</f>
        <v>1</v>
      </c>
      <c r="EA7" s="47">
        <f>IF(SUM('ENTRY '!EO2:EO404)=0,"",COUNT('ENTRY '!EO2:EO404))</f>
        <v>1</v>
      </c>
      <c r="EB7" s="47">
        <f>IF(SUM('ENTRY '!EP2:EP404)=0,"",COUNT('ENTRY '!EP2:EP404))</f>
      </c>
      <c r="EC7" s="47">
        <f>IF(SUM('ENTRY '!EQ2:EQ404)=0,"",COUNT('ENTRY '!EQ2:EQ404))</f>
      </c>
      <c r="ED7" s="47">
        <f>IF(SUM('ENTRY '!ER2:ER404)=0,"",COUNT('ENTRY '!ER2:ER404))</f>
        <v>15</v>
      </c>
      <c r="EE7" s="47">
        <f>IF(SUM('ENTRY '!ES2:ES404)=0,"",COUNT('ENTRY '!ES2:ES404))</f>
        <v>3</v>
      </c>
      <c r="EF7" s="47">
        <f>IF(SUM('ENTRY '!ET2:ET404)=0,"",COUNT('ENTRY '!ET2:ET404))</f>
      </c>
      <c r="EG7" s="47">
        <f>IF(SUM('ENTRY '!EU2:EU404)=0,"",COUNT('ENTRY '!EU2:EU404))</f>
      </c>
      <c r="EH7" s="47">
        <f>IF(SUM('ENTRY '!EV2:EV404)=0,"",COUNT('ENTRY '!EV2:EV404))</f>
      </c>
      <c r="EI7" s="47">
        <f>IF(SUM('ENTRY '!EW2:EW404)=0,"",COUNT('ENTRY '!EW2:EW404))</f>
      </c>
      <c r="EJ7" s="47">
        <f>IF(SUM('ENTRY '!EX2:EX404)=0,"",COUNT('ENTRY '!EX2:EX404))</f>
        <v>1</v>
      </c>
      <c r="EK7" s="47">
        <f>IF(SUM('ENTRY '!EY2:EY404)=0,"",COUNT('ENTRY '!EY2:EY404))</f>
      </c>
      <c r="EL7" s="47">
        <f>IF(SUM('ENTRY '!EZ2:EZ404)=0,"",COUNT('ENTRY '!EZ2:EZ404))</f>
      </c>
      <c r="EM7" s="47">
        <f>IF(SUM('ENTRY '!FA2:FA404)=0,"",COUNT('ENTRY '!FA2:FA404))</f>
      </c>
      <c r="EN7" s="47">
        <f>IF(SUM('ENTRY '!FB2:FB404)=0,"",COUNT('ENTRY '!FB2:FB404))</f>
        <v>28</v>
      </c>
      <c r="EO7" s="47">
        <f>IF(SUM('ENTRY '!FC2:FC404)=0,"",COUNT('ENTRY '!FC2:FC404))</f>
      </c>
      <c r="EP7" s="47">
        <f>IF(SUM('ENTRY '!FD2:FD404)=0,"",COUNT('ENTRY '!FD2:FD404))</f>
      </c>
      <c r="EQ7" s="47">
        <f>IF(SUM('ENTRY '!FE2:FE404)=0,"",COUNT('ENTRY '!FE2:FE404))</f>
      </c>
      <c r="ER7" s="47">
        <f>IF(SUM('ENTRY '!FF2:FF404)=0,"",COUNT('ENTRY '!FF2:FF404))</f>
      </c>
      <c r="ES7" s="47">
        <f>IF(SUM('ENTRY '!FG2:FG404)=0,"",COUNT('ENTRY '!FG2:FG404))</f>
      </c>
      <c r="ET7" s="47">
        <f>IF(SUM('ENTRY '!FH2:FH404)=0,"",COUNT('ENTRY '!FH2:FH404))</f>
      </c>
      <c r="EU7" s="47">
        <f>IF(SUM('ENTRY '!FI2:FI404)=0,"",COUNT('ENTRY '!FI2:FI404))</f>
      </c>
      <c r="EV7" s="47">
        <f>IF(SUM('ENTRY '!FJ2:FJ404)=0,"",COUNT('ENTRY '!FJ2:FJ404))</f>
      </c>
      <c r="EW7" s="47">
        <f>IF(SUM('ENTRY '!FK2:FK404)=0,"",COUNT('ENTRY '!FK2:FK404))</f>
      </c>
      <c r="EX7" s="47">
        <f>IF(SUM('ENTRY '!FL2:FL404)=0,"",COUNT('ENTRY '!FL2:FL404))</f>
      </c>
      <c r="EY7" s="47">
        <f>IF(SUM('ENTRY '!FM2:FM404)=0,"",COUNT('ENTRY '!FM2:FM404))</f>
      </c>
    </row>
    <row r="8" spans="1:155" s="84" customFormat="1" ht="12.75" customHeight="1">
      <c r="A8" s="19"/>
      <c r="B8" s="18" t="s">
        <v>1</v>
      </c>
      <c r="C8" s="54"/>
      <c r="D8" s="48">
        <f>IF(D10="","",(D10/(SUM($D$10:$EK$10,$EQ$10:$EY$10)/100)))</f>
      </c>
      <c r="E8" s="48">
        <f>IF(E10="","",(E10/(SUM($D$10:$EK$10,$EQ$10:$EY$10)/100)))</f>
      </c>
      <c r="F8" s="48">
        <f>IF(F10="","",(F10/(SUM($D$10:$EK$10,$EQ$10:$EY$10)/100)))</f>
      </c>
      <c r="G8" s="48">
        <f>IF(G10="","",(G10/(SUM($D$10:$EK$10,$EQ$10:$EY$10)/100)))</f>
      </c>
      <c r="H8" s="48">
        <f>IF(H10="","",(H10/(SUM($D$10:$EK$10,$EQ$10:$EY$10)/100)))</f>
        <v>0.30581039755351686</v>
      </c>
      <c r="I8" s="48">
        <f>IF(I10="","",(I10/(SUM($D$10:$EK$10,$EQ$10:$EY$10)/100)))</f>
      </c>
      <c r="J8" s="48">
        <f>IF(J10="","",(J10/(SUM($D$10:$EK$10,$EQ$10:$EY$10)/100)))</f>
        <v>1.834862385321101</v>
      </c>
      <c r="K8" s="48">
        <f>IF(K10="","",(K10/(SUM($D$10:$EK$10,$EQ$10:$EY$10)/100)))</f>
      </c>
      <c r="L8" s="48">
        <f>IF(L10="","",(L10/(SUM($D$10:$EK$10,$EQ$10:$EY$10)/100)))</f>
      </c>
      <c r="M8" s="48">
        <f>IF(M10="","",(M10/(SUM($D$10:$EK$10,$EQ$10:$EY$10)/100)))</f>
      </c>
      <c r="N8" s="48">
        <f>IF(N10="","",(N10/(SUM($D$10:$EK$10,$EQ$10:$EY$10)/100)))</f>
      </c>
      <c r="O8" s="48">
        <f>IF(O10="","",(O10/(SUM($D$10:$EK$10,$EQ$10:$EY$10)/100)))</f>
      </c>
      <c r="P8" s="48">
        <f>IF(P10="","",(P10/(SUM($D$10:$EK$10,$EQ$10:$EY$10)/100)))</f>
      </c>
      <c r="Q8" s="48">
        <f>IF(Q10="","",(Q10/(SUM($D$10:$EK$10,$EQ$10:$EY$10)/100)))</f>
        <v>11.773700305810399</v>
      </c>
      <c r="R8" s="48">
        <f>IF(R10="","",(R10/(SUM($D$10:$EK$10,$EQ$10:$EY$10)/100)))</f>
      </c>
      <c r="S8" s="48">
        <f>IF(S10="","",(S10/(SUM($D$10:$EK$10,$EQ$10:$EY$10)/100)))</f>
        <v>4.7400611620795114</v>
      </c>
      <c r="T8" s="48">
        <f>IF(T10="","",(T10/(SUM($D$10:$EK$10,$EQ$10:$EY$10)/100)))</f>
      </c>
      <c r="U8" s="48">
        <f>IF(U10="","",(U10/(SUM($D$10:$EK$10,$EQ$10:$EY$10)/100)))</f>
      </c>
      <c r="V8" s="48">
        <f>IF(V10="","",(V10/(SUM($D$10:$EK$10,$EQ$10:$EY$10)/100)))</f>
      </c>
      <c r="W8" s="48">
        <f>IF(W10="","",(W10/(SUM($D$10:$EK$10,$EQ$10:$EY$10)/100)))</f>
      </c>
      <c r="X8" s="48">
        <f>IF(X10="","",(X10/(SUM($D$10:$EK$10,$EQ$10:$EY$10)/100)))</f>
      </c>
      <c r="Y8" s="48">
        <f>IF(Y10="","",(Y10/(SUM($D$10:$EK$10,$EQ$10:$EY$10)/100)))</f>
      </c>
      <c r="Z8" s="48">
        <f>IF(Z10="","",(Z10/(SUM($D$10:$EK$10,$EQ$10:$EY$10)/100)))</f>
      </c>
      <c r="AA8" s="48">
        <f>IF(AA10="","",(AA10/(SUM($D$10:$EK$10,$EQ$10:$EY$10)/100)))</f>
        <v>0.45871559633027525</v>
      </c>
      <c r="AB8" s="48">
        <f>IF(AB10="","",(AB10/(SUM($D$10:$EK$10,$EQ$10:$EY$10)/100)))</f>
      </c>
      <c r="AC8" s="48">
        <f>IF(AC10="","",(AC10/(SUM($D$10:$EK$10,$EQ$10:$EY$10)/100)))</f>
        <v>3.0581039755351687</v>
      </c>
      <c r="AD8" s="48">
        <f>IF(AD10="","",(AD10/(SUM($D$10:$EK$10,$EQ$10:$EY$10)/100)))</f>
      </c>
      <c r="AE8" s="48">
        <f>IF(AE10="","",(AE10/(SUM($D$10:$EK$10,$EQ$10:$EY$10)/100)))</f>
      </c>
      <c r="AF8" s="48">
        <f>IF(AF10="","",(AF10/(SUM($D$10:$EK$10,$EQ$10:$EY$10)/100)))</f>
      </c>
      <c r="AG8" s="48">
        <f>IF(AG10="","",(AG10/(SUM($D$10:$EK$10,$EQ$10:$EY$10)/100)))</f>
      </c>
      <c r="AH8" s="48">
        <f>IF(AH10="","",(AH10/(SUM($D$10:$EK$10,$EQ$10:$EY$10)/100)))</f>
      </c>
      <c r="AI8" s="48">
        <f>IF(AI10="","",(AI10/(SUM($D$10:$EK$10,$EQ$10:$EY$10)/100)))</f>
        <v>2.293577981651376</v>
      </c>
      <c r="AJ8" s="48">
        <f>IF(AJ10="","",(AJ10/(SUM($D$10:$EK$10,$EQ$10:$EY$10)/100)))</f>
      </c>
      <c r="AK8" s="48">
        <f>IF(AK10="","",(AK10/(SUM($D$10:$EK$10,$EQ$10:$EY$10)/100)))</f>
      </c>
      <c r="AL8" s="48">
        <f>IF(AL10="","",(AL10/(SUM($D$10:$EK$10,$EQ$10:$EY$10)/100)))</f>
      </c>
      <c r="AM8" s="48">
        <f>IF(AM10="","",(AM10/(SUM($D$10:$EK$10,$EQ$10:$EY$10)/100)))</f>
      </c>
      <c r="AN8" s="48">
        <f>IF(AN10="","",(AN10/(SUM($D$10:$EK$10,$EQ$10:$EY$10)/100)))</f>
      </c>
      <c r="AO8" s="48">
        <f>IF(AO10="","",(AO10/(SUM($D$10:$EK$10,$EQ$10:$EY$10)/100)))</f>
      </c>
      <c r="AP8" s="48">
        <f>IF(AP10="","",(AP10/(SUM($D$10:$EK$10,$EQ$10:$EY$10)/100)))</f>
      </c>
      <c r="AQ8" s="48">
        <f>IF(AQ10="","",(AQ10/(SUM($D$10:$EK$10,$EQ$10:$EY$10)/100)))</f>
      </c>
      <c r="AR8" s="48">
        <f>IF(AR10="","",(AR10/(SUM($D$10:$EK$10,$EQ$10:$EY$10)/100)))</f>
      </c>
      <c r="AS8" s="48">
        <f>IF(AS10="","",(AS10/(SUM($D$10:$EK$10,$EQ$10:$EY$10)/100)))</f>
      </c>
      <c r="AT8" s="48">
        <f>IF(AT10="","",(AT10/(SUM($D$10:$EK$10,$EQ$10:$EY$10)/100)))</f>
      </c>
      <c r="AU8" s="48">
        <f>IF(AU10="","",(AU10/(SUM($D$10:$EK$10,$EQ$10:$EY$10)/100)))</f>
      </c>
      <c r="AV8" s="48">
        <f>IF(AV10="","",(AV10/(SUM($D$10:$EK$10,$EQ$10:$EY$10)/100)))</f>
      </c>
      <c r="AW8" s="48">
        <f>IF(AW10="","",(AW10/(SUM($D$10:$EK$10,$EQ$10:$EY$10)/100)))</f>
      </c>
      <c r="AX8" s="48">
        <f>IF(AX10="","",(AX10/(SUM($D$10:$EK$10,$EQ$10:$EY$10)/100)))</f>
      </c>
      <c r="AY8" s="48">
        <f>IF(AY10="","",(AY10/(SUM($D$10:$EK$10,$EQ$10:$EY$10)/100)))</f>
      </c>
      <c r="AZ8" s="48">
        <f>IF(AZ10="","",(AZ10/(SUM($D$10:$EK$10,$EQ$10:$EY$10)/100)))</f>
      </c>
      <c r="BA8" s="48">
        <f>IF(BA10="","",(BA10/(SUM($D$10:$EK$10,$EQ$10:$EY$10)/100)))</f>
        <v>7.186544342507647</v>
      </c>
      <c r="BB8" s="48">
        <f>IF(BB10="","",(BB10/(SUM($D$10:$EK$10,$EQ$10:$EY$10)/100)))</f>
      </c>
      <c r="BC8" s="48">
        <f>IF(BC10="","",(BC10/(SUM($D$10:$EK$10,$EQ$10:$EY$10)/100)))</f>
        <v>0.45871559633027525</v>
      </c>
      <c r="BD8" s="48">
        <f>IF(BD10="","",(BD10/(SUM($D$10:$EK$10,$EQ$10:$EY$10)/100)))</f>
        <v>9.78593272171254</v>
      </c>
      <c r="BE8" s="48">
        <f>IF(BE10="","",(BE10/(SUM($D$10:$EK$10,$EQ$10:$EY$10)/100)))</f>
      </c>
      <c r="BF8" s="48">
        <f>IF(BF10="","",(BF10/(SUM($D$10:$EK$10,$EQ$10:$EY$10)/100)))</f>
      </c>
      <c r="BG8" s="48">
        <f>IF(BG10="","",(BG10/(SUM($D$10:$EK$10,$EQ$10:$EY$10)/100)))</f>
      </c>
      <c r="BH8" s="48">
        <f>IF(BH10="","",(BH10/(SUM($D$10:$EK$10,$EQ$10:$EY$10)/100)))</f>
      </c>
      <c r="BI8" s="48">
        <f>IF(BI10="","",(BI10/(SUM($D$10:$EK$10,$EQ$10:$EY$10)/100)))</f>
        <v>5.504587155963304</v>
      </c>
      <c r="BJ8" s="48">
        <f>IF(BJ10="","",(BJ10/(SUM($D$10:$EK$10,$EQ$10:$EY$10)/100)))</f>
      </c>
      <c r="BK8" s="48">
        <f>IF(BK10="","",(BK10/(SUM($D$10:$EK$10,$EQ$10:$EY$10)/100)))</f>
      </c>
      <c r="BL8" s="48">
        <f>IF(BL10="","",(BL10/(SUM($D$10:$EK$10,$EQ$10:$EY$10)/100)))</f>
      </c>
      <c r="BM8" s="48">
        <f>IF(BM10="","",(BM10/(SUM($D$10:$EK$10,$EQ$10:$EY$10)/100)))</f>
        <v>6.880733944954129</v>
      </c>
      <c r="BN8" s="48">
        <f>IF(BN10="","",(BN10/(SUM($D$10:$EK$10,$EQ$10:$EY$10)/100)))</f>
        <v>8.256880733944955</v>
      </c>
      <c r="BO8" s="48">
        <f>IF(BO10="","",(BO10/(SUM($D$10:$EK$10,$EQ$10:$EY$10)/100)))</f>
      </c>
      <c r="BP8" s="48">
        <f>IF(BP10="","",(BP10/(SUM($D$10:$EK$10,$EQ$10:$EY$10)/100)))</f>
      </c>
      <c r="BQ8" s="48">
        <f>IF(BQ10="","",(BQ10/(SUM($D$10:$EK$10,$EQ$10:$EY$10)/100)))</f>
      </c>
      <c r="BR8" s="48">
        <f>IF(BR10="","",(BR10/(SUM($D$10:$EK$10,$EQ$10:$EY$10)/100)))</f>
      </c>
      <c r="BS8" s="48">
        <f>IF(BS10="","",(BS10/(SUM($D$10:$EK$10,$EQ$10:$EY$10)/100)))</f>
        <v>0.7645259938837922</v>
      </c>
      <c r="BT8" s="48">
        <f>IF(BT10="","",(BT10/(SUM($D$10:$EK$10,$EQ$10:$EY$10)/100)))</f>
      </c>
      <c r="BU8" s="48">
        <f>IF(BU10="","",(BU10/(SUM($D$10:$EK$10,$EQ$10:$EY$10)/100)))</f>
        <v>1.5290519877675843</v>
      </c>
      <c r="BV8" s="48">
        <f>IF(BV10="","",(BV10/(SUM($D$10:$EK$10,$EQ$10:$EY$10)/100)))</f>
      </c>
      <c r="BW8" s="48">
        <f>IF(BW10="","",(BW10/(SUM($D$10:$EK$10,$EQ$10:$EY$10)/100)))</f>
      </c>
      <c r="BX8" s="48">
        <f>IF(BX10="","",(BX10/(SUM($D$10:$EK$10,$EQ$10:$EY$10)/100)))</f>
      </c>
      <c r="BY8" s="48">
        <f>IF(BY10="","",(BY10/(SUM($D$10:$EK$10,$EQ$10:$EY$10)/100)))</f>
        <v>0.15290519877675843</v>
      </c>
      <c r="BZ8" s="48">
        <f>IF(BZ10="","",(BZ10/(SUM($D$10:$EK$10,$EQ$10:$EY$10)/100)))</f>
        <v>0.7645259938837922</v>
      </c>
      <c r="CA8" s="48">
        <f>IF(CA10="","",(CA10/(SUM($D$10:$EK$10,$EQ$10:$EY$10)/100)))</f>
        <v>2.9051987767584104</v>
      </c>
      <c r="CB8" s="48">
        <f>IF(CB10="","",(CB10/(SUM($D$10:$EK$10,$EQ$10:$EY$10)/100)))</f>
      </c>
      <c r="CC8" s="48">
        <f>IF(CC10="","",(CC10/(SUM($D$10:$EK$10,$EQ$10:$EY$10)/100)))</f>
      </c>
      <c r="CD8" s="48">
        <f>IF(CD10="","",(CD10/(SUM($D$10:$EK$10,$EQ$10:$EY$10)/100)))</f>
        <v>0.30581039755351686</v>
      </c>
      <c r="CE8" s="48">
        <f>IF(CE10="","",(CE10/(SUM($D$10:$EK$10,$EQ$10:$EY$10)/100)))</f>
        <v>0.9174311926605505</v>
      </c>
      <c r="CF8" s="48">
        <f>IF(CF10="","",(CF10/(SUM($D$10:$EK$10,$EQ$10:$EY$10)/100)))</f>
      </c>
      <c r="CG8" s="48">
        <f>IF(CG10="","",(CG10/(SUM($D$10:$EK$10,$EQ$10:$EY$10)/100)))</f>
      </c>
      <c r="CH8" s="48">
        <f>IF(CH10="","",(CH10/(SUM($D$10:$EK$10,$EQ$10:$EY$10)/100)))</f>
      </c>
      <c r="CI8" s="48">
        <f>IF(CI10="","",(CI10/(SUM($D$10:$EK$10,$EQ$10:$EY$10)/100)))</f>
        <v>1.9877675840978597</v>
      </c>
      <c r="CJ8" s="48">
        <f>IF(CJ10="","",(CJ10/(SUM($D$10:$EK$10,$EQ$10:$EY$10)/100)))</f>
      </c>
      <c r="CK8" s="48">
        <f>IF(CK10="","",(CK10/(SUM($D$10:$EK$10,$EQ$10:$EY$10)/100)))</f>
        <v>6.269113149847095</v>
      </c>
      <c r="CL8" s="48">
        <f>IF(CL10="","",(CL10/(SUM($D$10:$EK$10,$EQ$10:$EY$10)/100)))</f>
        <v>0.15290519877675843</v>
      </c>
      <c r="CM8" s="48">
        <f>IF(CM10="","",(CM10/(SUM($D$10:$EK$10,$EQ$10:$EY$10)/100)))</f>
        <v>4.587155963302752</v>
      </c>
      <c r="CN8" s="48">
        <f>IF(CN10="","",(CN10/(SUM($D$10:$EK$10,$EQ$10:$EY$10)/100)))</f>
      </c>
      <c r="CO8" s="48">
        <f>IF(CO10="","",(CO10/(SUM($D$10:$EK$10,$EQ$10:$EY$10)/100)))</f>
      </c>
      <c r="CP8" s="48">
        <f>IF(CP10="","",(CP10/(SUM($D$10:$EK$10,$EQ$10:$EY$10)/100)))</f>
      </c>
      <c r="CQ8" s="48">
        <f>IF(CQ10="","",(CQ10/(SUM($D$10:$EK$10,$EQ$10:$EY$10)/100)))</f>
        <v>11.773700305810399</v>
      </c>
      <c r="CR8" s="48">
        <f>IF(CR10="","",(CR10/(SUM($D$10:$EK$10,$EQ$10:$EY$10)/100)))</f>
      </c>
      <c r="CS8" s="48">
        <f>IF(CS10="","",(CS10/(SUM($D$10:$EK$10,$EQ$10:$EY$10)/100)))</f>
      </c>
      <c r="CT8" s="48">
        <f>IF(CT10="","",(CT10/(SUM($D$10:$EK$10,$EQ$10:$EY$10)/100)))</f>
      </c>
      <c r="CU8" s="48">
        <f>IF(CU10="","",(CU10/(SUM($D$10:$EK$10,$EQ$10:$EY$10)/100)))</f>
      </c>
      <c r="CV8" s="48">
        <f>IF(CV10="","",(CV10/(SUM($D$10:$EK$10,$EQ$10:$EY$10)/100)))</f>
      </c>
      <c r="CW8" s="48">
        <f>IF(CW10="","",(CW10/(SUM($D$10:$EK$10,$EQ$10:$EY$10)/100)))</f>
      </c>
      <c r="CX8" s="48">
        <f>IF(CX10="","",(CX10/(SUM($D$10:$EK$10,$EQ$10:$EY$10)/100)))</f>
      </c>
      <c r="CY8" s="48">
        <f>IF(CY10="","",(CY10/(SUM($D$10:$EK$10,$EQ$10:$EY$10)/100)))</f>
      </c>
      <c r="CZ8" s="48">
        <f>IF(CZ10="","",(CZ10/(SUM($D$10:$EK$10,$EQ$10:$EY$10)/100)))</f>
      </c>
      <c r="DA8" s="48">
        <f>IF(DA10="","",(DA10/(SUM($D$10:$EK$10,$EQ$10:$EY$10)/100)))</f>
      </c>
      <c r="DB8" s="48">
        <f>IF(DB10="","",(DB10/(SUM($D$10:$EK$10,$EQ$10:$EY$10)/100)))</f>
      </c>
      <c r="DC8" s="48">
        <f>IF(DC10="","",(DC10/(SUM($D$10:$EK$10,$EQ$10:$EY$10)/100)))</f>
        <v>0.15290519877675843</v>
      </c>
      <c r="DD8" s="48">
        <f>IF(DD10="","",(DD10/(SUM($D$10:$EK$10,$EQ$10:$EY$10)/100)))</f>
      </c>
      <c r="DE8" s="48">
        <f>IF(DE10="","",(DE10/(SUM($D$10:$EK$10,$EQ$10:$EY$10)/100)))</f>
      </c>
      <c r="DF8" s="48">
        <f>IF(DF10="","",(DF10/(SUM($D$10:$EK$10,$EQ$10:$EY$10)/100)))</f>
      </c>
      <c r="DG8" s="48">
        <f>IF(DG10="","",(DG10/(SUM($D$10:$EK$10,$EQ$10:$EY$10)/100)))</f>
      </c>
      <c r="DH8" s="48">
        <f>IF(DH10="","",(DH10/(SUM($D$10:$EK$10,$EQ$10:$EY$10)/100)))</f>
      </c>
      <c r="DI8" s="48">
        <f>IF(DI10="","",(DI10/(SUM($D$10:$EK$10,$EQ$10:$EY$10)/100)))</f>
      </c>
      <c r="DJ8" s="48">
        <f>IF(DJ10="","",(DJ10/(SUM($D$10:$EK$10,$EQ$10:$EY$10)/100)))</f>
      </c>
      <c r="DK8" s="48">
        <f>IF(DK10="","",(DK10/(SUM($D$10:$EK$10,$EQ$10:$EY$10)/100)))</f>
        <v>0.7645259938837922</v>
      </c>
      <c r="DL8" s="48">
        <f>IF(DL10="","",(DL10/(SUM($D$10:$EK$10,$EQ$10:$EY$10)/100)))</f>
      </c>
      <c r="DM8" s="48">
        <f>IF(DM10="","",(DM10/(SUM($D$10:$EK$10,$EQ$10:$EY$10)/100)))</f>
      </c>
      <c r="DN8" s="48">
        <f>IF(DN10="","",(DN10/(SUM($D$10:$EK$10,$EQ$10:$EY$10)/100)))</f>
      </c>
      <c r="DO8" s="48">
        <f>IF(DO10="","",(DO10/(SUM($D$10:$EK$10,$EQ$10:$EY$10)/100)))</f>
      </c>
      <c r="DP8" s="48">
        <f>IF(DP10="","",(DP10/(SUM($D$10:$EK$10,$EQ$10:$EY$10)/100)))</f>
      </c>
      <c r="DQ8" s="48">
        <f>IF(DQ10="","",(DQ10/(SUM($D$10:$EK$10,$EQ$10:$EY$10)/100)))</f>
      </c>
      <c r="DR8" s="48">
        <f>IF(DR10="","",(DR10/(SUM($D$10:$EK$10,$EQ$10:$EY$10)/100)))</f>
        <v>0.30581039755351686</v>
      </c>
      <c r="DS8" s="48">
        <f>IF(DS10="","",(DS10/(SUM($D$10:$EK$10,$EQ$10:$EY$10)/100)))</f>
      </c>
      <c r="DT8" s="48">
        <f>IF(DT10="","",(DT10/(SUM($D$10:$EK$10,$EQ$10:$EY$10)/100)))</f>
      </c>
      <c r="DU8" s="48">
        <f>IF(DU10="","",(DU10/(SUM($D$10:$EK$10,$EQ$10:$EY$10)/100)))</f>
      </c>
      <c r="DV8" s="48">
        <f>IF(DV10="","",(DV10/(SUM($D$10:$EK$10,$EQ$10:$EY$10)/100)))</f>
      </c>
      <c r="DW8" s="48">
        <f>IF(DW10="","",(DW10/(SUM($D$10:$EK$10,$EQ$10:$EY$10)/100)))</f>
      </c>
      <c r="DX8" s="48">
        <f>IF(DX10="","",(DX10/(SUM($D$10:$EK$10,$EQ$10:$EY$10)/100)))</f>
      </c>
      <c r="DY8" s="48">
        <f>IF(DY10="","",(DY10/(SUM($D$10:$EK$10,$EQ$10:$EY$10)/100)))</f>
        <v>0.9174311926605505</v>
      </c>
      <c r="DZ8" s="48">
        <f>IF(DZ10="","",(DZ10/(SUM($D$10:$EK$10,$EQ$10:$EY$10)/100)))</f>
        <v>0.15290519877675843</v>
      </c>
      <c r="EA8" s="48">
        <f>IF(EA10="","",(EA10/(SUM($D$10:$EK$10,$EQ$10:$EY$10)/100)))</f>
        <v>0.15290519877675843</v>
      </c>
      <c r="EB8" s="48">
        <f>IF(EB10="","",(EB10/(SUM($D$10:$EK$10,$EQ$10:$EY$10)/100)))</f>
      </c>
      <c r="EC8" s="48">
        <f>IF(EC10="","",(EC10/(SUM($D$10:$EK$10,$EQ$10:$EY$10)/100)))</f>
      </c>
      <c r="ED8" s="48">
        <f>IF(ED10="","",(ED10/(SUM($D$10:$EK$10,$EQ$10:$EY$10)/100)))</f>
        <v>2.293577981651376</v>
      </c>
      <c r="EE8" s="48">
        <f>IF(EE10="","",(EE10/(SUM($D$10:$EK$10,$EQ$10:$EY$10)/100)))</f>
        <v>0.45871559633027525</v>
      </c>
      <c r="EF8" s="48">
        <f>IF(EF10="","",(EF10/(SUM($D$10:$EK$10,$EQ$10:$EY$10)/100)))</f>
      </c>
      <c r="EG8" s="48">
        <f>IF(EG10="","",(EG10/(SUM($D$10:$EK$10,$EQ$10:$EY$10)/100)))</f>
      </c>
      <c r="EH8" s="48">
        <f>IF(EH10="","",(EH10/(SUM($D$10:$EK$10,$EQ$10:$EY$10)/100)))</f>
      </c>
      <c r="EI8" s="48">
        <f>IF(EI10="","",(EI10/(SUM($D$10:$EK$10,$EQ$10:$EY$10)/100)))</f>
      </c>
      <c r="EJ8" s="48">
        <f>IF(EJ10="","",(EJ10/(SUM($D$10:$EK$10,$EQ$10:$EY$10)/100)))</f>
        <v>0.15290519877675843</v>
      </c>
      <c r="EK8" s="48">
        <f>IF(EK10="","",(EK10/(SUM($D$10:$EK$10,$EQ$10:$EY$10)/100)))</f>
      </c>
      <c r="EL8" s="48"/>
      <c r="EM8" s="48"/>
      <c r="EN8" s="48"/>
      <c r="EO8" s="48"/>
      <c r="EP8" s="48"/>
      <c r="EQ8" s="48">
        <f>IF(EQ10="","",(EQ10/(SUM($D$10:$EK$10,$EQ$10:$EY$10)/100)))</f>
      </c>
      <c r="ER8" s="48">
        <f>IF(ER10="","",(ER10/(SUM($D$10:$EK$10,$EQ$10:$EY$10)/100)))</f>
      </c>
      <c r="ES8" s="48">
        <f>IF(ES10="","",(ES10/(SUM($D$10:$EK$10,$EQ$10:$EY$10)/100)))</f>
      </c>
      <c r="ET8" s="48">
        <f>IF(ET10="","",(ET10/(SUM($D$10:$EK$10,$EQ$10:$EY$10)/100)))</f>
      </c>
      <c r="EU8" s="48">
        <f>IF(EU10="","",(EU10/(SUM($D$10:$EK$10,$EQ$10:$EY$10)/100)))</f>
      </c>
      <c r="EV8" s="48">
        <f>IF(EV10="","",(EV10/(SUM($D$10:$EK$10,$EQ$10:$EY$10)/100)))</f>
      </c>
      <c r="EW8" s="48">
        <f>IF(EW10="","",(EW10/(SUM($D$10:$EK$10,$EQ$10:$EY$10)/100)))</f>
      </c>
      <c r="EX8" s="48">
        <f>IF(EX10="","",(EX10/(SUM($D$10:$EK$10,$EQ$10:$EY$10)/100)))</f>
      </c>
      <c r="EY8" s="48">
        <f>IF(EY10="","",(EY10/(SUM($D$10:$EK$10,$EQ$10:$EY$10)/100)))</f>
      </c>
    </row>
    <row r="9" spans="1:155" s="83" customFormat="1" ht="12.75" customHeight="1">
      <c r="A9" s="57"/>
      <c r="B9" s="57" t="s">
        <v>16</v>
      </c>
      <c r="C9" s="54"/>
      <c r="D9" s="58">
        <f>IF(D7="","",(D7/$C$18)*100)</f>
      </c>
      <c r="E9" s="59">
        <f>IF(E7="","",(E7/$C$18)*100)</f>
      </c>
      <c r="F9" s="59">
        <f>IF(F7="","",(F7/$C$18)*100)</f>
      </c>
      <c r="G9" s="59">
        <f>IF(G7="","",(G7/$C$18)*100)</f>
      </c>
      <c r="H9" s="59">
        <f>IF(H7="","",(H7/$C$18)*100)</f>
        <v>1.2738853503184715</v>
      </c>
      <c r="I9" s="59">
        <f>IF(I7="","",(I7/$C$18)*100)</f>
      </c>
      <c r="J9" s="59">
        <f>IF(J7="","",(J7/$C$18)*100)</f>
        <v>7.643312101910828</v>
      </c>
      <c r="K9" s="59">
        <f>IF(K7="","",(K7/$C$18)*100)</f>
      </c>
      <c r="L9" s="59">
        <f>IF(L7="","",(L7/$C$18)*100)</f>
      </c>
      <c r="M9" s="59">
        <f>IF(M7="","",(M7/$C$18)*100)</f>
      </c>
      <c r="N9" s="59">
        <f>IF(N7="","",(N7/$C$18)*100)</f>
      </c>
      <c r="O9" s="59">
        <f>IF(O7="","",(O7/$C$18)*100)</f>
      </c>
      <c r="P9" s="59">
        <f>IF(P7="","",(P7/$C$18)*100)</f>
      </c>
      <c r="Q9" s="59">
        <f>IF(Q7="","",(Q7/$C$18)*100)</f>
        <v>49.044585987261144</v>
      </c>
      <c r="R9" s="59">
        <f>IF(R7="","",(R7/$C$18)*100)</f>
      </c>
      <c r="S9" s="59">
        <f>IF(S7="","",(S7/$C$18)*100)</f>
        <v>19.745222929936308</v>
      </c>
      <c r="T9" s="59">
        <f>IF(T7="","",(T7/$C$18)*100)</f>
      </c>
      <c r="U9" s="59">
        <f>IF(U7="","",(U7/$C$18)*100)</f>
      </c>
      <c r="V9" s="59">
        <f>IF(V7="","",(V7/$C$18)*100)</f>
      </c>
      <c r="W9" s="59">
        <f>IF(W7="","",(W7/$C$18)*100)</f>
      </c>
      <c r="X9" s="59">
        <f>IF(X7="","",(X7/$C$18)*100)</f>
      </c>
      <c r="Y9" s="59">
        <f>IF(Y7="","",(Y7/$C$18)*100)</f>
      </c>
      <c r="Z9" s="59">
        <f>IF(Z7="","",(Z7/$C$18)*100)</f>
      </c>
      <c r="AA9" s="59">
        <f>IF(AA7="","",(AA7/$C$18)*100)</f>
        <v>1.910828025477707</v>
      </c>
      <c r="AB9" s="59">
        <f>IF(AB7="","",(AB7/$C$18)*100)</f>
      </c>
      <c r="AC9" s="59">
        <f>IF(AC7="","",(AC7/$C$18)*100)</f>
        <v>12.738853503184714</v>
      </c>
      <c r="AD9" s="59">
        <f>IF(AD7="","",(AD7/$C$18)*100)</f>
      </c>
      <c r="AE9" s="59">
        <f>IF(AE7="","",(AE7/$C$18)*100)</f>
      </c>
      <c r="AF9" s="59">
        <f>IF(AF7="","",(AF7/$C$18)*100)</f>
      </c>
      <c r="AG9" s="59">
        <f>IF(AG7="","",(AG7/$C$18)*100)</f>
      </c>
      <c r="AH9" s="59">
        <f>IF(AH7="","",(AH7/$C$18)*100)</f>
      </c>
      <c r="AI9" s="59">
        <f>IF(AI7="","",(AI7/$C$18)*100)</f>
        <v>9.554140127388536</v>
      </c>
      <c r="AJ9" s="59">
        <f>IF(AJ7="","",(AJ7/$C$18)*100)</f>
      </c>
      <c r="AK9" s="59">
        <f>IF(AK7="","",(AK7/$C$18)*100)</f>
      </c>
      <c r="AL9" s="59">
        <f>IF(AL7="","",(AL7/$C$18)*100)</f>
      </c>
      <c r="AM9" s="59">
        <f>IF(AM7="","",(AM7/$C$18)*100)</f>
      </c>
      <c r="AN9" s="59">
        <f>IF(AN7="","",(AN7/$C$18)*100)</f>
      </c>
      <c r="AO9" s="59">
        <f>IF(AO7="","",(AO7/$C$18)*100)</f>
      </c>
      <c r="AP9" s="59">
        <f>IF(AP7="","",(AP7/$C$18)*100)</f>
      </c>
      <c r="AQ9" s="59">
        <f>IF(AQ7="","",(AQ7/$C$18)*100)</f>
      </c>
      <c r="AR9" s="59">
        <f>IF(AR7="","",(AR7/$C$18)*100)</f>
      </c>
      <c r="AS9" s="59">
        <f>IF(AS7="","",(AS7/$C$18)*100)</f>
      </c>
      <c r="AT9" s="59">
        <f>IF(AT7="","",(AT7/$C$18)*100)</f>
      </c>
      <c r="AU9" s="59">
        <f>IF(AU7="","",(AU7/$C$18)*100)</f>
      </c>
      <c r="AV9" s="59">
        <f>IF(AV7="","",(AV7/$C$18)*100)</f>
      </c>
      <c r="AW9" s="59">
        <f>IF(AW7="","",(AW7/$C$18)*100)</f>
      </c>
      <c r="AX9" s="59">
        <f>IF(AX7="","",(AX7/$C$18)*100)</f>
      </c>
      <c r="AY9" s="59">
        <f>IF(AY7="","",(AY7/$C$18)*100)</f>
      </c>
      <c r="AZ9" s="59">
        <f>IF(AZ7="","",(AZ7/$C$18)*100)</f>
      </c>
      <c r="BA9" s="59">
        <f>IF(BA7="","",(BA7/$C$18)*100)</f>
        <v>29.936305732484076</v>
      </c>
      <c r="BB9" s="59">
        <f>IF(BB7="","",(BB7/$C$18)*100)</f>
      </c>
      <c r="BC9" s="59">
        <f>IF(BC7="","",(BC7/$C$18)*100)</f>
        <v>1.910828025477707</v>
      </c>
      <c r="BD9" s="59">
        <f>IF(BD7="","",(BD7/$C$18)*100)</f>
        <v>40.76433121019109</v>
      </c>
      <c r="BE9" s="59">
        <f>IF(BE7="","",(BE7/$C$18)*100)</f>
      </c>
      <c r="BF9" s="59">
        <f>IF(BF7="","",(BF7/$C$18)*100)</f>
      </c>
      <c r="BG9" s="59">
        <f>IF(BG7="","",(BG7/$C$18)*100)</f>
      </c>
      <c r="BH9" s="59">
        <f>IF(BH7="","",(BH7/$C$18)*100)</f>
      </c>
      <c r="BI9" s="59">
        <f>IF(BI7="","",(BI7/$C$18)*100)</f>
        <v>22.929936305732486</v>
      </c>
      <c r="BJ9" s="59">
        <f>IF(BJ7="","",(BJ7/$C$18)*100)</f>
      </c>
      <c r="BK9" s="59">
        <f>IF(BK7="","",(BK7/$C$18)*100)</f>
      </c>
      <c r="BL9" s="59">
        <f>IF(BL7="","",(BL7/$C$18)*100)</f>
      </c>
      <c r="BM9" s="59">
        <f>IF(BM7="","",(BM7/$C$18)*100)</f>
        <v>28.662420382165603</v>
      </c>
      <c r="BN9" s="59">
        <f>IF(BN7="","",(BN7/$C$18)*100)</f>
        <v>34.394904458598724</v>
      </c>
      <c r="BO9" s="59">
        <f>IF(BO7="","",(BO7/$C$18)*100)</f>
      </c>
      <c r="BP9" s="59">
        <f>IF(BP7="","",(BP7/$C$18)*100)</f>
      </c>
      <c r="BQ9" s="59">
        <f>IF(BQ7="","",(BQ7/$C$18)*100)</f>
      </c>
      <c r="BR9" s="59">
        <f>IF(BR7="","",(BR7/$C$18)*100)</f>
      </c>
      <c r="BS9" s="59">
        <f>IF(BS7="","",(BS7/$C$18)*100)</f>
        <v>3.1847133757961785</v>
      </c>
      <c r="BT9" s="59">
        <f>IF(BT7="","",(BT7/$C$18)*100)</f>
      </c>
      <c r="BU9" s="59">
        <f>IF(BU7="","",(BU7/$C$18)*100)</f>
        <v>6.369426751592357</v>
      </c>
      <c r="BV9" s="59">
        <f>IF(BV7="","",(BV7/$C$18)*100)</f>
      </c>
      <c r="BW9" s="59">
        <f>IF(BW7="","",(BW7/$C$18)*100)</f>
      </c>
      <c r="BX9" s="59">
        <f>IF(BX7="","",(BX7/$C$18)*100)</f>
      </c>
      <c r="BY9" s="59">
        <f>IF(BY7="","",(BY7/$C$18)*100)</f>
        <v>0.6369426751592357</v>
      </c>
      <c r="BZ9" s="59">
        <f>IF(BZ7="","",(BZ7/$C$18)*100)</f>
        <v>3.1847133757961785</v>
      </c>
      <c r="CA9" s="59">
        <f>IF(CA7="","",(CA7/$C$18)*100)</f>
        <v>12.101910828025478</v>
      </c>
      <c r="CB9" s="59">
        <f>IF(CB7="","",(CB7/$C$18)*100)</f>
      </c>
      <c r="CC9" s="59">
        <f>IF(CC7="","",(CC7/$C$18)*100)</f>
      </c>
      <c r="CD9" s="59">
        <f>IF(CD7="","",(CD7/$C$18)*100)</f>
        <v>1.2738853503184715</v>
      </c>
      <c r="CE9" s="59">
        <f>IF(CE7="","",(CE7/$C$18)*100)</f>
        <v>3.821656050955414</v>
      </c>
      <c r="CF9" s="59">
        <f>IF(CF7="","",(CF7/$C$18)*100)</f>
      </c>
      <c r="CG9" s="59">
        <f>IF(CG7="","",(CG7/$C$18)*100)</f>
      </c>
      <c r="CH9" s="59">
        <f>IF(CH7="","",(CH7/$C$18)*100)</f>
      </c>
      <c r="CI9" s="59">
        <f>IF(CI7="","",(CI7/$C$18)*100)</f>
        <v>8.280254777070063</v>
      </c>
      <c r="CJ9" s="59">
        <f>IF(CJ7="","",(CJ7/$C$18)*100)</f>
      </c>
      <c r="CK9" s="59">
        <f>IF(CK7="","",(CK7/$C$18)*100)</f>
        <v>26.11464968152866</v>
      </c>
      <c r="CL9" s="59">
        <f>IF(CL7="","",(CL7/$C$18)*100)</f>
        <v>0.6369426751592357</v>
      </c>
      <c r="CM9" s="59">
        <f>IF(CM7="","",(CM7/$C$18)*100)</f>
        <v>19.10828025477707</v>
      </c>
      <c r="CN9" s="59">
        <f>IF(CN7="","",(CN7/$C$18)*100)</f>
      </c>
      <c r="CO9" s="59">
        <f>IF(CO7="","",(CO7/$C$18)*100)</f>
      </c>
      <c r="CP9" s="59">
        <f>IF(CP7="","",(CP7/$C$18)*100)</f>
      </c>
      <c r="CQ9" s="59">
        <f>IF(CQ7="","",(CQ7/$C$18)*100)</f>
        <v>49.044585987261144</v>
      </c>
      <c r="CR9" s="59">
        <f>IF(CR7="","",(CR7/$C$18)*100)</f>
      </c>
      <c r="CS9" s="59">
        <f>IF(CS7="","",(CS7/$C$18)*100)</f>
      </c>
      <c r="CT9" s="59">
        <f>IF(CT7="","",(CT7/$C$18)*100)</f>
      </c>
      <c r="CU9" s="59">
        <f>IF(CU7="","",(CU7/$C$18)*100)</f>
      </c>
      <c r="CV9" s="59">
        <f>IF(CV7="","",(CV7/$C$18)*100)</f>
      </c>
      <c r="CW9" s="59">
        <f>IF(CW7="","",(CW7/$C$18)*100)</f>
      </c>
      <c r="CX9" s="59">
        <f>IF(CX7="","",(CX7/$C$18)*100)</f>
      </c>
      <c r="CY9" s="59">
        <f>IF(CY7="","",(CY7/$C$18)*100)</f>
      </c>
      <c r="CZ9" s="59">
        <f>IF(CZ7="","",(CZ7/$C$18)*100)</f>
      </c>
      <c r="DA9" s="59">
        <f>IF(DA7="","",(DA7/$C$18)*100)</f>
      </c>
      <c r="DB9" s="59">
        <f>IF(DB7="","",(DB7/$C$18)*100)</f>
      </c>
      <c r="DC9" s="59">
        <f>IF(DC7="","",(DC7/$C$18)*100)</f>
        <v>0.6369426751592357</v>
      </c>
      <c r="DD9" s="59">
        <f>IF(DD7="","",(DD7/$C$18)*100)</f>
      </c>
      <c r="DE9" s="59">
        <f>IF(DE7="","",(DE7/$C$18)*100)</f>
      </c>
      <c r="DF9" s="59">
        <f>IF(DF7="","",(DF7/$C$18)*100)</f>
      </c>
      <c r="DG9" s="59">
        <f>IF(DG7="","",(DG7/$C$18)*100)</f>
      </c>
      <c r="DH9" s="59">
        <f>IF(DH7="","",(DH7/$C$18)*100)</f>
      </c>
      <c r="DI9" s="59">
        <f>IF(DI7="","",(DI7/$C$18)*100)</f>
      </c>
      <c r="DJ9" s="59">
        <f>IF(DJ7="","",(DJ7/$C$18)*100)</f>
      </c>
      <c r="DK9" s="59">
        <f>IF(DK7="","",(DK7/$C$18)*100)</f>
        <v>3.1847133757961785</v>
      </c>
      <c r="DL9" s="59">
        <f>IF(DL7="","",(DL7/$C$18)*100)</f>
      </c>
      <c r="DM9" s="59">
        <f>IF(DM7="","",(DM7/$C$18)*100)</f>
      </c>
      <c r="DN9" s="59">
        <f>IF(DN7="","",(DN7/$C$18)*100)</f>
      </c>
      <c r="DO9" s="59">
        <f>IF(DO7="","",(DO7/$C$18)*100)</f>
      </c>
      <c r="DP9" s="59">
        <f>IF(DP7="","",(DP7/$C$18)*100)</f>
      </c>
      <c r="DQ9" s="59">
        <f>IF(DQ7="","",(DQ7/$C$18)*100)</f>
      </c>
      <c r="DR9" s="59">
        <f>IF(DR7="","",(DR7/$C$18)*100)</f>
        <v>1.2738853503184715</v>
      </c>
      <c r="DS9" s="59">
        <f>IF(DS7="","",(DS7/$C$18)*100)</f>
      </c>
      <c r="DT9" s="59">
        <f>IF(DT7="","",(DT7/$C$18)*100)</f>
      </c>
      <c r="DU9" s="59">
        <f>IF(DU7="","",(DU7/$C$18)*100)</f>
      </c>
      <c r="DV9" s="59">
        <f>IF(DV7="","",(DV7/$C$18)*100)</f>
      </c>
      <c r="DW9" s="59">
        <f>IF(DW7="","",(DW7/$C$18)*100)</f>
      </c>
      <c r="DX9" s="59">
        <f>IF(DX7="","",(DX7/$C$18)*100)</f>
      </c>
      <c r="DY9" s="59">
        <f>IF(DY7="","",(DY7/$C$18)*100)</f>
        <v>3.821656050955414</v>
      </c>
      <c r="DZ9" s="59">
        <f>IF(DZ7="","",(DZ7/$C$18)*100)</f>
        <v>0.6369426751592357</v>
      </c>
      <c r="EA9" s="59">
        <f>IF(EA7="","",(EA7/$C$18)*100)</f>
        <v>0.6369426751592357</v>
      </c>
      <c r="EB9" s="59">
        <f>IF(EB7="","",(EB7/$C$18)*100)</f>
      </c>
      <c r="EC9" s="59">
        <f>IF(EC7="","",(EC7/$C$18)*100)</f>
      </c>
      <c r="ED9" s="59">
        <f>IF(ED7="","",(ED7/$C$18)*100)</f>
        <v>9.554140127388536</v>
      </c>
      <c r="EE9" s="59">
        <f>IF(EE7="","",(EE7/$C$18)*100)</f>
        <v>1.910828025477707</v>
      </c>
      <c r="EF9" s="59">
        <f>IF(EF7="","",(EF7/$C$18)*100)</f>
      </c>
      <c r="EG9" s="59">
        <f>IF(EG7="","",(EG7/$C$18)*100)</f>
      </c>
      <c r="EH9" s="59">
        <f>IF(EH7="","",(EH7/$C$18)*100)</f>
      </c>
      <c r="EI9" s="59">
        <f>IF(EI7="","",(EI7/$C$18)*100)</f>
      </c>
      <c r="EJ9" s="59">
        <f>IF(EJ7="","",(EJ7/$C$18)*100)</f>
        <v>0.6369426751592357</v>
      </c>
      <c r="EK9" s="59">
        <f>IF(EK7="","",(EK7/$C$18)*100)</f>
      </c>
      <c r="EL9" s="59">
        <f>IF(EL7="","",(EL7/$C$18)*100)</f>
      </c>
      <c r="EM9" s="59">
        <f>IF(EM7="","",(EM7/$C$18)*100)</f>
      </c>
      <c r="EN9" s="59">
        <f>IF(EN7="","",(EN7/$C$18)*100)</f>
        <v>17.8343949044586</v>
      </c>
      <c r="EO9" s="59">
        <f>IF(EO7="","",(EO7/$C$18)*100)</f>
      </c>
      <c r="EP9" s="59">
        <f>IF(EP7="","",(EP7/$C$18)*100)</f>
      </c>
      <c r="EQ9" s="59">
        <f>IF(EQ7="","",(EQ7/$C$18)*100)</f>
      </c>
      <c r="ER9" s="59">
        <f>IF(ER7="","",(ER7/$C$18)*100)</f>
      </c>
      <c r="ES9" s="59">
        <f>IF(ES7="","",(ES7/$C$18)*100)</f>
      </c>
      <c r="ET9" s="59">
        <f>IF(ET7="","",(ET7/$C$18)*100)</f>
      </c>
      <c r="EU9" s="59">
        <f>IF(EU7="","",(EU7/$C$18)*100)</f>
      </c>
      <c r="EV9" s="59">
        <f>IF(EV7="","",(EV7/$C$18)*100)</f>
      </c>
      <c r="EW9" s="59">
        <f>IF(EW7="","",(EW7/$C$18)*100)</f>
      </c>
      <c r="EX9" s="59">
        <f>IF(EX7="","",(EX7/$C$18)*100)</f>
      </c>
      <c r="EY9" s="59">
        <f>IF(EY7="","",(EY7/$C$18)*100)</f>
      </c>
    </row>
    <row r="10" spans="1:155" s="83" customFormat="1" ht="11.25" customHeight="1">
      <c r="A10" s="57"/>
      <c r="B10" s="57" t="s">
        <v>24</v>
      </c>
      <c r="C10" s="56"/>
      <c r="D10" s="58">
        <f>IF(D7="","",(D7/$C$19)*100)</f>
      </c>
      <c r="E10" s="59">
        <f>IF(E7="","",(E7/$C$19)*100)</f>
      </c>
      <c r="F10" s="59">
        <f>IF(F7="","",(F7/$C$19)*100)</f>
      </c>
      <c r="G10" s="59">
        <f>IF(G7="","",(G7/$C$19)*100)</f>
      </c>
      <c r="H10" s="59">
        <f>IF(H7="","",(H7/$C$19)*100)</f>
        <v>0.8928571428571428</v>
      </c>
      <c r="I10" s="59">
        <f>IF(I7="","",(I7/$C$19)*100)</f>
      </c>
      <c r="J10" s="59">
        <f>IF(J7="","",(J7/$C$19)*100)</f>
        <v>5.357142857142857</v>
      </c>
      <c r="K10" s="59">
        <f>IF(K7="","",(K7/$C$19)*100)</f>
      </c>
      <c r="L10" s="59">
        <f>IF(L7="","",(L7/$C$19)*100)</f>
      </c>
      <c r="M10" s="59">
        <f>IF(M7="","",(M7/$C$19)*100)</f>
      </c>
      <c r="N10" s="59">
        <f>IF(N7="","",(N7/$C$19)*100)</f>
      </c>
      <c r="O10" s="59">
        <f>IF(O7="","",(O7/$C$19)*100)</f>
      </c>
      <c r="P10" s="59">
        <f>IF(P7="","",(P7/$C$19)*100)</f>
      </c>
      <c r="Q10" s="59">
        <f>IF(Q7="","",(Q7/$C$19)*100)</f>
        <v>34.375</v>
      </c>
      <c r="R10" s="59">
        <f>IF(R7="","",(R7/$C$19)*100)</f>
      </c>
      <c r="S10" s="59">
        <f>IF(S7="","",(S7/$C$19)*100)</f>
        <v>13.839285714285715</v>
      </c>
      <c r="T10" s="59">
        <f>IF(T7="","",(T7/$C$19)*100)</f>
      </c>
      <c r="U10" s="59">
        <f>IF(U7="","",(U7/$C$19)*100)</f>
      </c>
      <c r="V10" s="59">
        <f>IF(V7="","",(V7/$C$19)*100)</f>
      </c>
      <c r="W10" s="59">
        <f>IF(W7="","",(W7/$C$19)*100)</f>
      </c>
      <c r="X10" s="59">
        <f>IF(X7="","",(X7/$C$19)*100)</f>
      </c>
      <c r="Y10" s="59">
        <f>IF(Y7="","",(Y7/$C$19)*100)</f>
      </c>
      <c r="Z10" s="59">
        <f>IF(Z7="","",(Z7/$C$19)*100)</f>
      </c>
      <c r="AA10" s="59">
        <f>IF(AA7="","",(AA7/$C$19)*100)</f>
        <v>1.3392857142857142</v>
      </c>
      <c r="AB10" s="59">
        <f>IF(AB7="","",(AB7/$C$19)*100)</f>
      </c>
      <c r="AC10" s="59">
        <f>IF(AC7="","",(AC7/$C$19)*100)</f>
        <v>8.928571428571429</v>
      </c>
      <c r="AD10" s="59">
        <f>IF(AD7="","",(AD7/$C$19)*100)</f>
      </c>
      <c r="AE10" s="59">
        <f>IF(AE7="","",(AE7/$C$19)*100)</f>
      </c>
      <c r="AF10" s="59">
        <f>IF(AF7="","",(AF7/$C$19)*100)</f>
      </c>
      <c r="AG10" s="59">
        <f>IF(AG7="","",(AG7/$C$19)*100)</f>
      </c>
      <c r="AH10" s="59">
        <f>IF(AH7="","",(AH7/$C$19)*100)</f>
      </c>
      <c r="AI10" s="59">
        <f>IF(AI7="","",(AI7/$C$19)*100)</f>
        <v>6.696428571428571</v>
      </c>
      <c r="AJ10" s="59">
        <f>IF(AJ7="","",(AJ7/$C$19)*100)</f>
      </c>
      <c r="AK10" s="59">
        <f>IF(AK7="","",(AK7/$C$19)*100)</f>
      </c>
      <c r="AL10" s="59">
        <f>IF(AL7="","",(AL7/$C$19)*100)</f>
      </c>
      <c r="AM10" s="59">
        <f>IF(AM7="","",(AM7/$C$19)*100)</f>
      </c>
      <c r="AN10" s="59">
        <f>IF(AN7="","",(AN7/$C$19)*100)</f>
      </c>
      <c r="AO10" s="59">
        <f>IF(AO7="","",(AO7/$C$19)*100)</f>
      </c>
      <c r="AP10" s="59">
        <f>IF(AP7="","",(AP7/$C$19)*100)</f>
      </c>
      <c r="AQ10" s="59">
        <f>IF(AQ7="","",(AQ7/$C$19)*100)</f>
      </c>
      <c r="AR10" s="59">
        <f>IF(AR7="","",(AR7/$C$19)*100)</f>
      </c>
      <c r="AS10" s="59">
        <f>IF(AS7="","",(AS7/$C$19)*100)</f>
      </c>
      <c r="AT10" s="59">
        <f>IF(AT7="","",(AT7/$C$19)*100)</f>
      </c>
      <c r="AU10" s="59">
        <f>IF(AU7="","",(AU7/$C$19)*100)</f>
      </c>
      <c r="AV10" s="59">
        <f>IF(AV7="","",(AV7/$C$19)*100)</f>
      </c>
      <c r="AW10" s="59">
        <f>IF(AW7="","",(AW7/$C$19)*100)</f>
      </c>
      <c r="AX10" s="59">
        <f>IF(AX7="","",(AX7/$C$19)*100)</f>
      </c>
      <c r="AY10" s="59">
        <f>IF(AY7="","",(AY7/$C$19)*100)</f>
      </c>
      <c r="AZ10" s="59">
        <f>IF(AZ7="","",(AZ7/$C$19)*100)</f>
      </c>
      <c r="BA10" s="59">
        <f>IF(BA7="","",(BA7/$C$19)*100)</f>
        <v>20.982142857142858</v>
      </c>
      <c r="BB10" s="59">
        <f>IF(BB7="","",(BB7/$C$19)*100)</f>
      </c>
      <c r="BC10" s="59">
        <f>IF(BC7="","",(BC7/$C$19)*100)</f>
        <v>1.3392857142857142</v>
      </c>
      <c r="BD10" s="59">
        <f>IF(BD7="","",(BD7/$C$19)*100)</f>
        <v>28.57142857142857</v>
      </c>
      <c r="BE10" s="59">
        <f>IF(BE7="","",(BE7/$C$19)*100)</f>
      </c>
      <c r="BF10" s="59">
        <f>IF(BF7="","",(BF7/$C$19)*100)</f>
      </c>
      <c r="BG10" s="59">
        <f>IF(BG7="","",(BG7/$C$19)*100)</f>
      </c>
      <c r="BH10" s="59">
        <f>IF(BH7="","",(BH7/$C$19)*100)</f>
      </c>
      <c r="BI10" s="59">
        <f>IF(BI7="","",(BI7/$C$19)*100)</f>
        <v>16.071428571428573</v>
      </c>
      <c r="BJ10" s="59">
        <f>IF(BJ7="","",(BJ7/$C$19)*100)</f>
      </c>
      <c r="BK10" s="59">
        <f>IF(BK7="","",(BK7/$C$19)*100)</f>
      </c>
      <c r="BL10" s="59">
        <f>IF(BL7="","",(BL7/$C$19)*100)</f>
      </c>
      <c r="BM10" s="59">
        <f>IF(BM7="","",(BM7/$C$19)*100)</f>
        <v>20.089285714285715</v>
      </c>
      <c r="BN10" s="59">
        <f>IF(BN7="","",(BN7/$C$19)*100)</f>
        <v>24.107142857142858</v>
      </c>
      <c r="BO10" s="59">
        <f>IF(BO7="","",(BO7/$C$19)*100)</f>
      </c>
      <c r="BP10" s="59">
        <f>IF(BP7="","",(BP7/$C$19)*100)</f>
      </c>
      <c r="BQ10" s="59">
        <f>IF(BQ7="","",(BQ7/$C$19)*100)</f>
      </c>
      <c r="BR10" s="59">
        <f>IF(BR7="","",(BR7/$C$19)*100)</f>
      </c>
      <c r="BS10" s="59">
        <f>IF(BS7="","",(BS7/$C$19)*100)</f>
        <v>2.232142857142857</v>
      </c>
      <c r="BT10" s="59">
        <f>IF(BT7="","",(BT7/$C$19)*100)</f>
      </c>
      <c r="BU10" s="59">
        <f>IF(BU7="","",(BU7/$C$19)*100)</f>
        <v>4.464285714285714</v>
      </c>
      <c r="BV10" s="59">
        <f>IF(BV7="","",(BV7/$C$19)*100)</f>
      </c>
      <c r="BW10" s="59">
        <f>IF(BW7="","",(BW7/$C$19)*100)</f>
      </c>
      <c r="BX10" s="59">
        <f>IF(BX7="","",(BX7/$C$19)*100)</f>
      </c>
      <c r="BY10" s="59">
        <f>IF(BY7="","",(BY7/$C$19)*100)</f>
        <v>0.4464285714285714</v>
      </c>
      <c r="BZ10" s="59">
        <f>IF(BZ7="","",(BZ7/$C$19)*100)</f>
        <v>2.232142857142857</v>
      </c>
      <c r="CA10" s="59">
        <f>IF(CA7="","",(CA7/$C$19)*100)</f>
        <v>8.482142857142858</v>
      </c>
      <c r="CB10" s="59">
        <f>IF(CB7="","",(CB7/$C$19)*100)</f>
      </c>
      <c r="CC10" s="59">
        <f>IF(CC7="","",(CC7/$C$19)*100)</f>
      </c>
      <c r="CD10" s="59">
        <f>IF(CD7="","",(CD7/$C$19)*100)</f>
        <v>0.8928571428571428</v>
      </c>
      <c r="CE10" s="59">
        <f>IF(CE7="","",(CE7/$C$19)*100)</f>
        <v>2.6785714285714284</v>
      </c>
      <c r="CF10" s="59">
        <f>IF(CF7="","",(CF7/$C$19)*100)</f>
      </c>
      <c r="CG10" s="59">
        <f>IF(CG7="","",(CG7/$C$19)*100)</f>
      </c>
      <c r="CH10" s="59">
        <f>IF(CH7="","",(CH7/$C$19)*100)</f>
      </c>
      <c r="CI10" s="59">
        <f>IF(CI7="","",(CI7/$C$19)*100)</f>
        <v>5.803571428571429</v>
      </c>
      <c r="CJ10" s="59">
        <f>IF(CJ7="","",(CJ7/$C$19)*100)</f>
      </c>
      <c r="CK10" s="59">
        <f>IF(CK7="","",(CK7/$C$19)*100)</f>
        <v>18.303571428571427</v>
      </c>
      <c r="CL10" s="59">
        <f>IF(CL7="","",(CL7/$C$19)*100)</f>
        <v>0.4464285714285714</v>
      </c>
      <c r="CM10" s="59">
        <f>IF(CM7="","",(CM7/$C$19)*100)</f>
        <v>13.392857142857142</v>
      </c>
      <c r="CN10" s="59">
        <f>IF(CN7="","",(CN7/$C$19)*100)</f>
      </c>
      <c r="CO10" s="59">
        <f>IF(CO7="","",(CO7/$C$19)*100)</f>
      </c>
      <c r="CP10" s="59">
        <f>IF(CP7="","",(CP7/$C$19)*100)</f>
      </c>
      <c r="CQ10" s="59">
        <f>IF(CQ7="","",(CQ7/$C$19)*100)</f>
        <v>34.375</v>
      </c>
      <c r="CR10" s="59">
        <f>IF(CR7="","",(CR7/$C$19)*100)</f>
      </c>
      <c r="CS10" s="59">
        <f>IF(CS7="","",(CS7/$C$19)*100)</f>
      </c>
      <c r="CT10" s="59">
        <f>IF(CT7="","",(CT7/$C$19)*100)</f>
      </c>
      <c r="CU10" s="59">
        <f>IF(CU7="","",(CU7/$C$19)*100)</f>
      </c>
      <c r="CV10" s="59">
        <f>IF(CV7="","",(CV7/$C$19)*100)</f>
      </c>
      <c r="CW10" s="59">
        <f>IF(CW7="","",(CW7/$C$19)*100)</f>
      </c>
      <c r="CX10" s="59">
        <f>IF(CX7="","",(CX7/$C$19)*100)</f>
      </c>
      <c r="CY10" s="59">
        <f>IF(CY7="","",(CY7/$C$19)*100)</f>
      </c>
      <c r="CZ10" s="59">
        <f>IF(CZ7="","",(CZ7/$C$19)*100)</f>
      </c>
      <c r="DA10" s="59">
        <f>IF(DA7="","",(DA7/$C$19)*100)</f>
      </c>
      <c r="DB10" s="59">
        <f>IF(DB7="","",(DB7/$C$19)*100)</f>
      </c>
      <c r="DC10" s="59">
        <f>IF(DC7="","",(DC7/$C$19)*100)</f>
        <v>0.4464285714285714</v>
      </c>
      <c r="DD10" s="59">
        <f>IF(DD7="","",(DD7/$C$19)*100)</f>
      </c>
      <c r="DE10" s="59">
        <f>IF(DE7="","",(DE7/$C$19)*100)</f>
      </c>
      <c r="DF10" s="59">
        <f>IF(DF7="","",(DF7/$C$19)*100)</f>
      </c>
      <c r="DG10" s="59">
        <f>IF(DG7="","",(DG7/$C$19)*100)</f>
      </c>
      <c r="DH10" s="59">
        <f>IF(DH7="","",(DH7/$C$19)*100)</f>
      </c>
      <c r="DI10" s="59">
        <f>IF(DI7="","",(DI7/$C$19)*100)</f>
      </c>
      <c r="DJ10" s="59">
        <f>IF(DJ7="","",(DJ7/$C$19)*100)</f>
      </c>
      <c r="DK10" s="59">
        <f>IF(DK7="","",(DK7/$C$19)*100)</f>
        <v>2.232142857142857</v>
      </c>
      <c r="DL10" s="59">
        <f>IF(DL7="","",(DL7/$C$19)*100)</f>
      </c>
      <c r="DM10" s="59">
        <f>IF(DM7="","",(DM7/$C$19)*100)</f>
      </c>
      <c r="DN10" s="59">
        <f>IF(DN7="","",(DN7/$C$19)*100)</f>
      </c>
      <c r="DO10" s="59">
        <f>IF(DO7="","",(DO7/$C$19)*100)</f>
      </c>
      <c r="DP10" s="59">
        <f>IF(DP7="","",(DP7/$C$19)*100)</f>
      </c>
      <c r="DQ10" s="59">
        <f>IF(DQ7="","",(DQ7/$C$19)*100)</f>
      </c>
      <c r="DR10" s="59">
        <f>IF(DR7="","",(DR7/$C$19)*100)</f>
        <v>0.8928571428571428</v>
      </c>
      <c r="DS10" s="59">
        <f>IF(DS7="","",(DS7/$C$19)*100)</f>
      </c>
      <c r="DT10" s="59">
        <f>IF(DT7="","",(DT7/$C$19)*100)</f>
      </c>
      <c r="DU10" s="59">
        <f>IF(DU7="","",(DU7/$C$19)*100)</f>
      </c>
      <c r="DV10" s="59">
        <f>IF(DV7="","",(DV7/$C$19)*100)</f>
      </c>
      <c r="DW10" s="59">
        <f>IF(DW7="","",(DW7/$C$19)*100)</f>
      </c>
      <c r="DX10" s="59">
        <f>IF(DX7="","",(DX7/$C$19)*100)</f>
      </c>
      <c r="DY10" s="59">
        <f>IF(DY7="","",(DY7/$C$19)*100)</f>
        <v>2.6785714285714284</v>
      </c>
      <c r="DZ10" s="59">
        <f>IF(DZ7="","",(DZ7/$C$19)*100)</f>
        <v>0.4464285714285714</v>
      </c>
      <c r="EA10" s="59">
        <f>IF(EA7="","",(EA7/$C$19)*100)</f>
        <v>0.4464285714285714</v>
      </c>
      <c r="EB10" s="59">
        <f>IF(EB7="","",(EB7/$C$19)*100)</f>
      </c>
      <c r="EC10" s="59">
        <f>IF(EC7="","",(EC7/$C$19)*100)</f>
      </c>
      <c r="ED10" s="59">
        <f>IF(ED7="","",(ED7/$C$19)*100)</f>
        <v>6.696428571428571</v>
      </c>
      <c r="EE10" s="59">
        <f>IF(EE7="","",(EE7/$C$19)*100)</f>
        <v>1.3392857142857142</v>
      </c>
      <c r="EF10" s="59">
        <f>IF(EF7="","",(EF7/$C$19)*100)</f>
      </c>
      <c r="EG10" s="59">
        <f>IF(EG7="","",(EG7/$C$19)*100)</f>
      </c>
      <c r="EH10" s="59">
        <f>IF(EH7="","",(EH7/$C$19)*100)</f>
      </c>
      <c r="EI10" s="59">
        <f>IF(EI7="","",(EI7/$C$19)*100)</f>
      </c>
      <c r="EJ10" s="59">
        <f>IF(EJ7="","",(EJ7/$C$19)*100)</f>
        <v>0.4464285714285714</v>
      </c>
      <c r="EK10" s="59">
        <f>IF(EK7="","",(EK7/$C$19)*100)</f>
      </c>
      <c r="EL10" s="59">
        <f>IF(EL7="","",(EL7/$C$19)*100)</f>
      </c>
      <c r="EM10" s="59">
        <f>IF(EM7="","",(EM7/$C$19)*100)</f>
      </c>
      <c r="EN10" s="59">
        <f>IF(EN7="","",(EN7/$C$19)*100)</f>
        <v>12.5</v>
      </c>
      <c r="EO10" s="59">
        <f>IF(EO7="","",(EO7/$C$19)*100)</f>
      </c>
      <c r="EP10" s="59">
        <f>IF(EP7="","",(EP7/$C$19)*100)</f>
      </c>
      <c r="EQ10" s="59">
        <f>IF(EQ7="","",(EQ7/$C$19)*100)</f>
      </c>
      <c r="ER10" s="59">
        <f>IF(ER7="","",(ER7/$C$19)*100)</f>
      </c>
      <c r="ES10" s="59">
        <f>IF(ES7="","",(ES7/$C$19)*100)</f>
      </c>
      <c r="ET10" s="59">
        <f>IF(ET7="","",(ET7/$C$19)*100)</f>
      </c>
      <c r="EU10" s="59">
        <f>IF(EU7="","",(EU7/$C$19)*100)</f>
      </c>
      <c r="EV10" s="59">
        <f>IF(EV7="","",(EV7/$C$19)*100)</f>
      </c>
      <c r="EW10" s="59">
        <f>IF(EW7="","",(EW7/$C$19)*100)</f>
      </c>
      <c r="EX10" s="59">
        <f>IF(EX7="","",(EX7/$C$19)*100)</f>
      </c>
      <c r="EY10" s="59">
        <f>IF(EY7="","",(EY7/$C$19)*100)</f>
      </c>
    </row>
    <row r="11" spans="1:155" s="82" customFormat="1" ht="12.75">
      <c r="A11" s="75"/>
      <c r="B11" s="57" t="s">
        <v>64</v>
      </c>
      <c r="C11" s="65">
        <f>IF(C17="","",AVERAGE('ENTRY '!Q2:Q404))</f>
        <v>2.127388535031847</v>
      </c>
      <c r="D11" s="26">
        <f>IF(D7="","",AVERAGE('ENTRY '!R2:R404))</f>
      </c>
      <c r="E11" s="26">
        <f>IF(E7="","",AVERAGE('ENTRY '!S2:S404))</f>
      </c>
      <c r="F11" s="26">
        <f>IF(F7="","",AVERAGE('ENTRY '!T2:T404))</f>
      </c>
      <c r="G11" s="26">
        <f>IF(G7="","",AVERAGE('ENTRY '!U2:U404))</f>
      </c>
      <c r="H11" s="26">
        <f>IF(H7="","",AVERAGE('ENTRY '!V2:V404))</f>
        <v>1</v>
      </c>
      <c r="I11" s="26">
        <f>IF(I7="","",AVERAGE('ENTRY '!W2:W404))</f>
      </c>
      <c r="J11" s="26">
        <f>IF(J7="","",AVERAGE('ENTRY '!X2:X404))</f>
        <v>1.4166666666666667</v>
      </c>
      <c r="K11" s="26">
        <f>IF(K7="","",AVERAGE('ENTRY '!Y2:Y404))</f>
      </c>
      <c r="L11" s="26">
        <f>IF(L7="","",AVERAGE('ENTRY '!Z2:Z404))</f>
      </c>
      <c r="M11" s="26">
        <f>IF(M7="","",AVERAGE('ENTRY '!AA2:AA404))</f>
      </c>
      <c r="N11" s="26">
        <f>IF(N7="","",AVERAGE('ENTRY '!AB2:AB404))</f>
      </c>
      <c r="O11" s="26">
        <f>IF(O7="","",AVERAGE('ENTRY '!AC2:AC404))</f>
      </c>
      <c r="P11" s="26">
        <f>IF(P7="","",AVERAGE('ENTRY '!AD2:AD404))</f>
      </c>
      <c r="Q11" s="26">
        <f>IF(Q7="","",AVERAGE('ENTRY '!AE2:AE404))</f>
        <v>1.1948051948051948</v>
      </c>
      <c r="R11" s="26">
        <f>IF(R7="","",AVERAGE('ENTRY '!AF2:AF404))</f>
      </c>
      <c r="S11" s="26">
        <f>IF(S7="","",AVERAGE('ENTRY '!AG2:AG404))</f>
        <v>1.8064516129032258</v>
      </c>
      <c r="T11" s="26">
        <f>IF(T7="","",AVERAGE('ENTRY '!AH2:AH404))</f>
      </c>
      <c r="U11" s="26">
        <f>IF(U7="","",AVERAGE('ENTRY '!AI2:AI404))</f>
      </c>
      <c r="V11" s="26">
        <f>IF(V7="","",AVERAGE('ENTRY '!AJ2:AJ404))</f>
      </c>
      <c r="W11" s="26">
        <f>IF(W7="","",AVERAGE('ENTRY '!AK2:AK404))</f>
      </c>
      <c r="X11" s="26">
        <f>IF(X7="","",AVERAGE('ENTRY '!AL2:AL404))</f>
      </c>
      <c r="Y11" s="26">
        <f>IF(Y7="","",AVERAGE('ENTRY '!AM2:AM404))</f>
      </c>
      <c r="Z11" s="26">
        <f>IF(Z7="","",AVERAGE('ENTRY '!AN2:AN404))</f>
      </c>
      <c r="AA11" s="26">
        <f>IF(AA7="","",AVERAGE('ENTRY '!AO2:AO404))</f>
        <v>1.3333333333333333</v>
      </c>
      <c r="AB11" s="26">
        <f>IF(AB7="","",AVERAGE('ENTRY '!AP2:AP404))</f>
      </c>
      <c r="AC11" s="26">
        <f>IF(AC7="","",AVERAGE('ENTRY '!AQ2:AQ404))</f>
        <v>1.25</v>
      </c>
      <c r="AD11" s="26">
        <f>IF(AD7="","",AVERAGE('ENTRY '!AR2:AR404))</f>
      </c>
      <c r="AE11" s="26">
        <f>IF(AE7="","",AVERAGE('ENTRY '!AS2:AS404))</f>
      </c>
      <c r="AF11" s="26">
        <f>IF(AF7="","",AVERAGE('ENTRY '!AT2:AT404))</f>
      </c>
      <c r="AG11" s="26">
        <f>IF(AG7="","",AVERAGE('ENTRY '!AU2:AU404))</f>
      </c>
      <c r="AH11" s="26">
        <f>IF(AH7="","",AVERAGE('ENTRY '!AV2:AV404))</f>
      </c>
      <c r="AI11" s="26">
        <f>IF(AI7="","",AVERAGE('ENTRY '!AW2:AW404))</f>
        <v>1.1333333333333333</v>
      </c>
      <c r="AJ11" s="26">
        <f>IF(AJ7="","",AVERAGE('ENTRY '!AX2:AX404))</f>
      </c>
      <c r="AK11" s="26">
        <f>IF(AK7="","",AVERAGE('ENTRY '!AY2:AY404))</f>
      </c>
      <c r="AL11" s="26">
        <f>IF(AL7="","",AVERAGE('ENTRY '!AZ2:AZ404))</f>
      </c>
      <c r="AM11" s="26">
        <f>IF(AM7="","",AVERAGE('ENTRY '!BA2:BA404))</f>
      </c>
      <c r="AN11" s="26">
        <f>IF(AN7="","",AVERAGE('ENTRY '!BB2:BB404))</f>
      </c>
      <c r="AO11" s="26">
        <f>IF(AO7="","",AVERAGE('ENTRY '!BC2:BC404))</f>
      </c>
      <c r="AP11" s="26">
        <f>IF(AP7="","",AVERAGE('ENTRY '!BD2:BD404))</f>
      </c>
      <c r="AQ11" s="26">
        <f>IF(AQ7="","",AVERAGE('ENTRY '!BE2:BE404))</f>
      </c>
      <c r="AR11" s="26">
        <f>IF(AR7="","",AVERAGE('ENTRY '!BF2:BF404))</f>
      </c>
      <c r="AS11" s="26">
        <f>IF(AS7="","",AVERAGE('ENTRY '!BG2:BG404))</f>
      </c>
      <c r="AT11" s="26">
        <f>IF(AT7="","",AVERAGE('ENTRY '!BH2:BH404))</f>
      </c>
      <c r="AU11" s="26">
        <f>IF(AU7="","",AVERAGE('ENTRY '!BI2:BI404))</f>
      </c>
      <c r="AV11" s="26">
        <f>IF(AV7="","",AVERAGE('ENTRY '!BJ2:BJ404))</f>
      </c>
      <c r="AW11" s="26">
        <f>IF(AW7="","",AVERAGE('ENTRY '!BK2:BK404))</f>
      </c>
      <c r="AX11" s="26">
        <f>IF(AX7="","",AVERAGE('ENTRY '!BL2:BL404))</f>
      </c>
      <c r="AY11" s="26">
        <f>IF(AY7="","",AVERAGE('ENTRY '!BM2:BM404))</f>
      </c>
      <c r="AZ11" s="26">
        <f>IF(AZ7="","",AVERAGE('ENTRY '!BN2:BN404))</f>
      </c>
      <c r="BA11" s="26">
        <f>IF(BA7="","",AVERAGE('ENTRY '!BO2:BO404))</f>
        <v>1.3191489361702127</v>
      </c>
      <c r="BB11" s="26">
        <f>IF(BB7="","",AVERAGE('ENTRY '!BP2:BP404))</f>
      </c>
      <c r="BC11" s="26">
        <f>IF(BC7="","",AVERAGE('ENTRY '!BQ2:BQ404))</f>
        <v>1</v>
      </c>
      <c r="BD11" s="26">
        <f>IF(BD7="","",AVERAGE('ENTRY '!BR2:BR404))</f>
        <v>1.125</v>
      </c>
      <c r="BE11" s="26">
        <f>IF(BE7="","",AVERAGE('ENTRY '!BS2:BS404))</f>
      </c>
      <c r="BF11" s="26">
        <f>IF(BF7="","",AVERAGE('ENTRY '!BT2:BT404))</f>
      </c>
      <c r="BG11" s="26">
        <f>IF(BG7="","",AVERAGE('ENTRY '!BU2:BU404))</f>
      </c>
      <c r="BH11" s="26">
        <f>IF(BH7="","",AVERAGE('ENTRY '!BV2:BV404))</f>
      </c>
      <c r="BI11" s="26">
        <f>IF(BI7="","",AVERAGE('ENTRY '!BW2:BW404))</f>
        <v>1.4722222222222223</v>
      </c>
      <c r="BJ11" s="26">
        <f>IF(BJ7="","",AVERAGE('ENTRY '!BX2:BX404))</f>
      </c>
      <c r="BK11" s="26">
        <f>IF(BK7="","",AVERAGE('ENTRY '!BY2:BY404))</f>
      </c>
      <c r="BL11" s="26">
        <f>IF(BL7="","",AVERAGE('ENTRY '!BZ2:BZ404))</f>
      </c>
      <c r="BM11" s="26">
        <f>IF(BM7="","",AVERAGE('ENTRY '!CA2:CA404))</f>
        <v>2.066666666666667</v>
      </c>
      <c r="BN11" s="26">
        <f>IF(BN7="","",AVERAGE('ENTRY '!CB2:CB404))</f>
        <v>1.7222222222222223</v>
      </c>
      <c r="BO11" s="26">
        <f>IF(BO7="","",AVERAGE('ENTRY '!CC2:CC404))</f>
      </c>
      <c r="BP11" s="26">
        <f>IF(BP7="","",AVERAGE('ENTRY '!CD2:CD404))</f>
      </c>
      <c r="BQ11" s="26">
        <f>IF(BQ7="","",AVERAGE('ENTRY '!CE2:CE404))</f>
      </c>
      <c r="BR11" s="26">
        <f>IF(BR7="","",AVERAGE('ENTRY '!CF2:CF404))</f>
      </c>
      <c r="BS11" s="26">
        <f>IF(BS7="","",AVERAGE('ENTRY '!CG2:CG404))</f>
        <v>2</v>
      </c>
      <c r="BT11" s="26">
        <f>IF(BT7="","",AVERAGE('ENTRY '!CH2:CH404))</f>
      </c>
      <c r="BU11" s="26">
        <f>IF(BU7="","",AVERAGE('ENTRY '!CI2:CI404))</f>
        <v>1.1</v>
      </c>
      <c r="BV11" s="26">
        <f>IF(BV7="","",AVERAGE('ENTRY '!CJ2:CJ404))</f>
      </c>
      <c r="BW11" s="26">
        <f>IF(BW7="","",AVERAGE('ENTRY '!CK2:CK404))</f>
      </c>
      <c r="BX11" s="26">
        <f>IF(BX7="","",AVERAGE('ENTRY '!CL2:CL404))</f>
      </c>
      <c r="BY11" s="26">
        <f>IF(BY7="","",AVERAGE('ENTRY '!CM2:CM404))</f>
        <v>1</v>
      </c>
      <c r="BZ11" s="26">
        <f>IF(BZ7="","",AVERAGE('ENTRY '!CN2:CN404))</f>
        <v>1.4</v>
      </c>
      <c r="CA11" s="26">
        <f>IF(CA7="","",AVERAGE('ENTRY '!CO2:CO404))</f>
        <v>1.4210526315789473</v>
      </c>
      <c r="CB11" s="26">
        <f>IF(CB7="","",AVERAGE('ENTRY '!CP2:CP404))</f>
      </c>
      <c r="CC11" s="26">
        <f>IF(CC7="","",AVERAGE('ENTRY '!CQ2:CQ404))</f>
      </c>
      <c r="CD11" s="26">
        <f>IF(CD7="","",AVERAGE('ENTRY '!CR2:CR404))</f>
        <v>1</v>
      </c>
      <c r="CE11" s="26">
        <f>IF(CE7="","",AVERAGE('ENTRY '!CS2:CS404))</f>
        <v>1</v>
      </c>
      <c r="CF11" s="26">
        <f>IF(CF7="","",AVERAGE('ENTRY '!CT2:CT404))</f>
      </c>
      <c r="CG11" s="26">
        <f>IF(CG7="","",AVERAGE('ENTRY '!CU2:CU404))</f>
      </c>
      <c r="CH11" s="26">
        <f>IF(CH7="","",AVERAGE('ENTRY '!CV2:CV404))</f>
      </c>
      <c r="CI11" s="26">
        <f>IF(CI7="","",AVERAGE('ENTRY '!CW2:CW404))</f>
        <v>1.2307692307692308</v>
      </c>
      <c r="CJ11" s="26">
        <f>IF(CJ7="","",AVERAGE('ENTRY '!CX2:CX404))</f>
      </c>
      <c r="CK11" s="26">
        <f>IF(CK7="","",AVERAGE('ENTRY '!CY2:CY404))</f>
        <v>1.2195121951219512</v>
      </c>
      <c r="CL11" s="26">
        <f>IF(CL7="","",AVERAGE('ENTRY '!CZ2:CZ404))</f>
        <v>1</v>
      </c>
      <c r="CM11" s="26">
        <f>IF(CM7="","",AVERAGE('ENTRY '!DA2:DA404))</f>
        <v>1.2333333333333334</v>
      </c>
      <c r="CN11" s="26">
        <f>IF(CN7="","",AVERAGE('ENTRY '!DB2:DB404))</f>
      </c>
      <c r="CO11" s="26">
        <f>IF(CO7="","",AVERAGE('ENTRY '!DC2:DC404))</f>
      </c>
      <c r="CP11" s="26">
        <f>IF(CP7="","",AVERAGE('ENTRY '!DD2:DD404))</f>
      </c>
      <c r="CQ11" s="26">
        <f>IF(CQ7="","",AVERAGE('ENTRY '!DE2:DE404))</f>
        <v>1.3766233766233766</v>
      </c>
      <c r="CR11" s="26">
        <f>IF(CR7="","",AVERAGE('ENTRY '!DF2:DF404))</f>
      </c>
      <c r="CS11" s="26">
        <f>IF(CS7="","",AVERAGE('ENTRY '!DG2:DG404))</f>
      </c>
      <c r="CT11" s="26">
        <f>IF(CT7="","",AVERAGE('ENTRY '!DH2:DH404))</f>
      </c>
      <c r="CU11" s="26">
        <f>IF(CU7="","",AVERAGE('ENTRY '!DI2:DI404))</f>
      </c>
      <c r="CV11" s="26">
        <f>IF(CV7="","",AVERAGE('ENTRY '!DJ2:DJ404))</f>
      </c>
      <c r="CW11" s="26">
        <f>IF(CW7="","",AVERAGE('ENTRY '!DK2:DK404))</f>
      </c>
      <c r="CX11" s="26">
        <f>IF(CX7="","",AVERAGE('ENTRY '!DL2:DL404))</f>
      </c>
      <c r="CY11" s="26">
        <f>IF(CY7="","",AVERAGE('ENTRY '!DM2:DM404))</f>
      </c>
      <c r="CZ11" s="26">
        <f>IF(CZ7="","",AVERAGE('ENTRY '!DN2:DN404))</f>
      </c>
      <c r="DA11" s="26">
        <f>IF(DA7="","",AVERAGE('ENTRY '!DO2:DO404))</f>
      </c>
      <c r="DB11" s="26">
        <f>IF(DB7="","",AVERAGE('ENTRY '!DP2:DP404))</f>
      </c>
      <c r="DC11" s="26">
        <f>IF(DC7="","",AVERAGE('ENTRY '!DQ2:DQ404))</f>
        <v>2</v>
      </c>
      <c r="DD11" s="26">
        <f>IF(DD7="","",AVERAGE('ENTRY '!DR2:DR404))</f>
      </c>
      <c r="DE11" s="26">
        <f>IF(DE7="","",AVERAGE('ENTRY '!DS2:DS404))</f>
      </c>
      <c r="DF11" s="26">
        <f>IF(DF7="","",AVERAGE('ENTRY '!DT2:DT404))</f>
      </c>
      <c r="DG11" s="26">
        <f>IF(DG7="","",AVERAGE('ENTRY '!DU2:DU404))</f>
      </c>
      <c r="DH11" s="26">
        <f>IF(DH7="","",AVERAGE('ENTRY '!DV2:DV404))</f>
      </c>
      <c r="DI11" s="26">
        <f>IF(DI7="","",AVERAGE('ENTRY '!DW2:DW404))</f>
      </c>
      <c r="DJ11" s="26">
        <f>IF(DJ7="","",AVERAGE('ENTRY '!DX2:DX404))</f>
      </c>
      <c r="DK11" s="26">
        <f>IF(DK7="","",AVERAGE('ENTRY '!DY2:DY404))</f>
        <v>1</v>
      </c>
      <c r="DL11" s="26">
        <f>IF(DL7="","",AVERAGE('ENTRY '!DZ2:DZ404))</f>
      </c>
      <c r="DM11" s="26">
        <f>IF(DM7="","",AVERAGE('ENTRY '!EA2:EA404))</f>
      </c>
      <c r="DN11" s="26">
        <f>IF(DN7="","",AVERAGE('ENTRY '!EB2:EB404))</f>
      </c>
      <c r="DO11" s="26">
        <f>IF(DO7="","",AVERAGE('ENTRY '!EC2:EC404))</f>
      </c>
      <c r="DP11" s="26">
        <f>IF(DP7="","",AVERAGE('ENTRY '!ED2:ED404))</f>
      </c>
      <c r="DQ11" s="26">
        <f>IF(DQ7="","",AVERAGE('ENTRY '!EE2:EE404))</f>
      </c>
      <c r="DR11" s="26">
        <f>IF(DR7="","",AVERAGE('ENTRY '!EF2:EF404))</f>
        <v>1</v>
      </c>
      <c r="DS11" s="26">
        <f>IF(DS7="","",AVERAGE('ENTRY '!EG2:EG404))</f>
      </c>
      <c r="DT11" s="26">
        <f>IF(DT7="","",AVERAGE('ENTRY '!EH2:EH404))</f>
      </c>
      <c r="DU11" s="26">
        <f>IF(DU7="","",AVERAGE('ENTRY '!EI2:EI404))</f>
      </c>
      <c r="DV11" s="26">
        <f>IF(DV7="","",AVERAGE('ENTRY '!EJ2:EJ404))</f>
      </c>
      <c r="DW11" s="26">
        <f>IF(DW7="","",AVERAGE('ENTRY '!EK2:EK404))</f>
      </c>
      <c r="DX11" s="26">
        <f>IF(DX7="","",AVERAGE('ENTRY '!EL2:EL404))</f>
      </c>
      <c r="DY11" s="26">
        <f>IF(DY7="","",AVERAGE('ENTRY '!EM2:EM404))</f>
        <v>1.1666666666666667</v>
      </c>
      <c r="DZ11" s="26">
        <f>IF(DZ7="","",AVERAGE('ENTRY '!EN2:EN404))</f>
        <v>3</v>
      </c>
      <c r="EA11" s="26">
        <f>IF(EA7="","",AVERAGE('ENTRY '!EO2:EO404))</f>
        <v>1</v>
      </c>
      <c r="EB11" s="26">
        <f>IF(EB7="","",AVERAGE('ENTRY '!EP2:EP404))</f>
      </c>
      <c r="EC11" s="26">
        <f>IF(EC7="","",AVERAGE('ENTRY '!EQ2:EQ404))</f>
      </c>
      <c r="ED11" s="26">
        <f>IF(ED7="","",AVERAGE('ENTRY '!ER2:ER404))</f>
        <v>1.1333333333333333</v>
      </c>
      <c r="EE11" s="26">
        <f>IF(EE7="","",AVERAGE('ENTRY '!ES2:ES404))</f>
        <v>1</v>
      </c>
      <c r="EF11" s="26">
        <f>IF(EF7="","",AVERAGE('ENTRY '!ET2:ET404))</f>
      </c>
      <c r="EG11" s="26">
        <f>IF(EG7="","",AVERAGE('ENTRY '!EU2:EU404))</f>
      </c>
      <c r="EH11" s="26">
        <f>IF(EH7="","",AVERAGE('ENTRY '!EV2:EV404))</f>
      </c>
      <c r="EI11" s="26">
        <f>IF(EI7="","",AVERAGE('ENTRY '!EW2:EW404))</f>
      </c>
      <c r="EJ11" s="26">
        <f>IF(EJ7="","",AVERAGE('ENTRY '!EX2:EX404))</f>
        <v>1</v>
      </c>
      <c r="EK11" s="26">
        <f>IF(EK7="","",AVERAGE('ENTRY '!EY2:EY404))</f>
      </c>
      <c r="EL11" s="26">
        <f>IF(EL7="","",AVERAGE('ENTRY '!EZ2:EZ404))</f>
      </c>
      <c r="EM11" s="26">
        <f>IF(EM7="","",AVERAGE('ENTRY '!FA2:FA404))</f>
      </c>
      <c r="EN11" s="26">
        <f>IF(EN7="","",AVERAGE('ENTRY '!FB2:FB404))</f>
        <v>1.1785714285714286</v>
      </c>
      <c r="EO11" s="26">
        <f>IF(EO7="","",AVERAGE('ENTRY '!FC2:FC404))</f>
      </c>
      <c r="EP11" s="26">
        <f>IF(EP7="","",AVERAGE('ENTRY '!FD2:FD404))</f>
      </c>
      <c r="EQ11" s="26">
        <f>IF(EQ7="","",AVERAGE('ENTRY '!FE2:FE404))</f>
      </c>
      <c r="ER11" s="26">
        <f>IF(ER7="","",AVERAGE('ENTRY '!FF2:FF404))</f>
      </c>
      <c r="ES11" s="26">
        <f>IF(ES7="","",AVERAGE('ENTRY '!FG2:FG404))</f>
      </c>
      <c r="ET11" s="26">
        <f>IF(ET7="","",AVERAGE('ENTRY '!FH2:FH404))</f>
      </c>
      <c r="EU11" s="26">
        <f>IF(EU7="","",AVERAGE('ENTRY '!FI2:FI404))</f>
      </c>
      <c r="EV11" s="26">
        <f>IF(EV7="","",AVERAGE('ENTRY '!FJ2:FJ404))</f>
      </c>
      <c r="EW11" s="26">
        <f>IF(EW7="","",AVERAGE('ENTRY '!FK2:FK404))</f>
      </c>
      <c r="EX11" s="26">
        <f>IF(EX7="","",AVERAGE('ENTRY '!FL2:FL404))</f>
      </c>
      <c r="EY11" s="26">
        <f>IF(EY7="","",AVERAGE('ENTRY '!FM2:FM404))</f>
      </c>
    </row>
    <row r="12" spans="1:155" s="80" customFormat="1" ht="12.75">
      <c r="A12" s="38"/>
      <c r="B12" s="28" t="s">
        <v>62</v>
      </c>
      <c r="C12" s="66"/>
      <c r="D12" s="49">
        <f>IF(COUNTIF('ENTRY '!R2:R404,"v")=0,"",(COUNTIF('ENTRY '!R2:R404,"v")))</f>
      </c>
      <c r="E12" s="49">
        <f>IF(COUNTIF('ENTRY '!S2:S404,"v")=0,"",(COUNTIF('ENTRY '!S2:S404,"v")))</f>
      </c>
      <c r="F12" s="49">
        <f>IF(COUNTIF('ENTRY '!T2:T404,"v")=0,"",(COUNTIF('ENTRY '!T2:T404,"v")))</f>
      </c>
      <c r="G12" s="49">
        <f>IF(COUNTIF('ENTRY '!U2:U404,"v")=0,"",(COUNTIF('ENTRY '!U2:U404,"v")))</f>
      </c>
      <c r="H12" s="49">
        <f>IF(COUNTIF('ENTRY '!V2:V404,"v")=0,"",(COUNTIF('ENTRY '!V2:V404,"v")))</f>
        <v>3</v>
      </c>
      <c r="I12" s="49">
        <f>IF(COUNTIF('ENTRY '!W2:W404,"v")=0,"",(COUNTIF('ENTRY '!W2:W404,"v")))</f>
      </c>
      <c r="J12" s="49">
        <f>IF(COUNTIF('ENTRY '!X2:X404,"v")=0,"",(COUNTIF('ENTRY '!X2:X404,"v")))</f>
      </c>
      <c r="K12" s="49">
        <f>IF(COUNTIF('ENTRY '!Y2:Y404,"v")=0,"",(COUNTIF('ENTRY '!Y2:Y404,"v")))</f>
      </c>
      <c r="L12" s="49">
        <f>IF(COUNTIF('ENTRY '!Z2:Z404,"v")=0,"",(COUNTIF('ENTRY '!Z2:Z404,"v")))</f>
      </c>
      <c r="M12" s="49">
        <f>IF(COUNTIF('ENTRY '!AA2:AA404,"v")=0,"",(COUNTIF('ENTRY '!AA2:AA404,"v")))</f>
      </c>
      <c r="N12" s="49">
        <f>IF(COUNTIF('ENTRY '!AB2:AB404,"v")=0,"",(COUNTIF('ENTRY '!AB2:AB404,"v")))</f>
      </c>
      <c r="O12" s="49">
        <f>IF(COUNTIF('ENTRY '!AC2:AC404,"v")=0,"",(COUNTIF('ENTRY '!AC2:AC404,"v")))</f>
      </c>
      <c r="P12" s="49">
        <f>IF(COUNTIF('ENTRY '!AD2:AD404,"v")=0,"",(COUNTIF('ENTRY '!AD2:AD404,"v")))</f>
      </c>
      <c r="Q12" s="49">
        <f>IF(COUNTIF('ENTRY '!AE2:AE404,"v")=0,"",(COUNTIF('ENTRY '!AE2:AE404,"v")))</f>
        <v>9</v>
      </c>
      <c r="R12" s="49">
        <f>IF(COUNTIF('ENTRY '!AF2:AF404,"v")=0,"",(COUNTIF('ENTRY '!AF2:AF404,"v")))</f>
      </c>
      <c r="S12" s="49">
        <f>IF(COUNTIF('ENTRY '!AG2:AG404,"v")=0,"",(COUNTIF('ENTRY '!AG2:AG404,"v")))</f>
      </c>
      <c r="T12" s="49">
        <f>IF(COUNTIF('ENTRY '!AH2:AH404,"v")=0,"",(COUNTIF('ENTRY '!AH2:AH404,"v")))</f>
      </c>
      <c r="U12" s="49">
        <f>IF(COUNTIF('ENTRY '!AI2:AI404,"v")=0,"",(COUNTIF('ENTRY '!AI2:AI404,"v")))</f>
      </c>
      <c r="V12" s="49">
        <f>IF(COUNTIF('ENTRY '!AJ2:AJ404,"v")=0,"",(COUNTIF('ENTRY '!AJ2:AJ404,"v")))</f>
      </c>
      <c r="W12" s="49">
        <f>IF(COUNTIF('ENTRY '!AK2:AK404,"v")=0,"",(COUNTIF('ENTRY '!AK2:AK404,"v")))</f>
      </c>
      <c r="X12" s="49">
        <f>IF(COUNTIF('ENTRY '!AL2:AL404,"v")=0,"",(COUNTIF('ENTRY '!AL2:AL404,"v")))</f>
      </c>
      <c r="Y12" s="49">
        <f>IF(COUNTIF('ENTRY '!AM2:AM404,"v")=0,"",(COUNTIF('ENTRY '!AM2:AM404,"v")))</f>
      </c>
      <c r="Z12" s="49">
        <f>IF(COUNTIF('ENTRY '!AN2:AN404,"v")=0,"",(COUNTIF('ENTRY '!AN2:AN404,"v")))</f>
      </c>
      <c r="AA12" s="49">
        <f>IF(COUNTIF('ENTRY '!AO2:AO404,"v")=0,"",(COUNTIF('ENTRY '!AO2:AO404,"v")))</f>
        <v>2</v>
      </c>
      <c r="AB12" s="49">
        <f>IF(COUNTIF('ENTRY '!AP2:AP404,"v")=0,"",(COUNTIF('ENTRY '!AP2:AP404,"v")))</f>
      </c>
      <c r="AC12" s="49">
        <f>IF(COUNTIF('ENTRY '!AQ2:AQ404,"v")=0,"",(COUNTIF('ENTRY '!AQ2:AQ404,"v")))</f>
        <v>1</v>
      </c>
      <c r="AD12" s="49">
        <f>IF(COUNTIF('ENTRY '!AR2:AR404,"v")=0,"",(COUNTIF('ENTRY '!AR2:AR404,"v")))</f>
      </c>
      <c r="AE12" s="49">
        <f>IF(COUNTIF('ENTRY '!AS2:AS404,"v")=0,"",(COUNTIF('ENTRY '!AS2:AS404,"v")))</f>
      </c>
      <c r="AF12" s="49">
        <f>IF(COUNTIF('ENTRY '!AT2:AT404,"v")=0,"",(COUNTIF('ENTRY '!AT2:AT404,"v")))</f>
      </c>
      <c r="AG12" s="49">
        <f>IF(COUNTIF('ENTRY '!AU2:AU404,"v")=0,"",(COUNTIF('ENTRY '!AU2:AU404,"v")))</f>
      </c>
      <c r="AH12" s="49">
        <f>IF(COUNTIF('ENTRY '!AV2:AV404,"v")=0,"",(COUNTIF('ENTRY '!AV2:AV404,"v")))</f>
      </c>
      <c r="AI12" s="49">
        <f>IF(COUNTIF('ENTRY '!AW2:AW404,"v")=0,"",(COUNTIF('ENTRY '!AW2:AW404,"v")))</f>
        <v>4</v>
      </c>
      <c r="AJ12" s="49">
        <f>IF(COUNTIF('ENTRY '!AX2:AX404,"v")=0,"",(COUNTIF('ENTRY '!AX2:AX404,"v")))</f>
      </c>
      <c r="AK12" s="49">
        <f>IF(COUNTIF('ENTRY '!AY2:AY404,"v")=0,"",(COUNTIF('ENTRY '!AY2:AY404,"v")))</f>
      </c>
      <c r="AL12" s="49">
        <f>IF(COUNTIF('ENTRY '!AZ2:AZ404,"v")=0,"",(COUNTIF('ENTRY '!AZ2:AZ404,"v")))</f>
      </c>
      <c r="AM12" s="49">
        <f>IF(COUNTIF('ENTRY '!BA2:BA404,"v")=0,"",(COUNTIF('ENTRY '!BA2:BA404,"v")))</f>
      </c>
      <c r="AN12" s="49">
        <f>IF(COUNTIF('ENTRY '!BB2:BB404,"v")=0,"",(COUNTIF('ENTRY '!BB2:BB404,"v")))</f>
      </c>
      <c r="AO12" s="49">
        <f>IF(COUNTIF('ENTRY '!BC2:BC404,"v")=0,"",(COUNTIF('ENTRY '!BC2:BC404,"v")))</f>
      </c>
      <c r="AP12" s="49">
        <f>IF(COUNTIF('ENTRY '!BD2:BD404,"v")=0,"",(COUNTIF('ENTRY '!BD2:BD404,"v")))</f>
      </c>
      <c r="AQ12" s="49">
        <f>IF(COUNTIF('ENTRY '!BE2:BE404,"v")=0,"",(COUNTIF('ENTRY '!BE2:BE404,"v")))</f>
      </c>
      <c r="AR12" s="49">
        <f>IF(COUNTIF('ENTRY '!BF2:BF404,"v")=0,"",(COUNTIF('ENTRY '!BF2:BF404,"v")))</f>
      </c>
      <c r="AS12" s="49">
        <f>IF(COUNTIF('ENTRY '!BG2:BG404,"v")=0,"",(COUNTIF('ENTRY '!BG2:BG404,"v")))</f>
      </c>
      <c r="AT12" s="49">
        <f>IF(COUNTIF('ENTRY '!BH2:BH404,"v")=0,"",(COUNTIF('ENTRY '!BH2:BH404,"v")))</f>
      </c>
      <c r="AU12" s="49">
        <f>IF(COUNTIF('ENTRY '!BI2:BI404,"v")=0,"",(COUNTIF('ENTRY '!BI2:BI404,"v")))</f>
      </c>
      <c r="AV12" s="49">
        <f>IF(COUNTIF('ENTRY '!BJ2:BJ404,"v")=0,"",(COUNTIF('ENTRY '!BJ2:BJ404,"v")))</f>
      </c>
      <c r="AW12" s="49">
        <f>IF(COUNTIF('ENTRY '!BK2:BK404,"v")=0,"",(COUNTIF('ENTRY '!BK2:BK404,"v")))</f>
      </c>
      <c r="AX12" s="49">
        <f>IF(COUNTIF('ENTRY '!BL2:BL404,"v")=0,"",(COUNTIF('ENTRY '!BL2:BL404,"v")))</f>
      </c>
      <c r="AY12" s="49">
        <f>IF(COUNTIF('ENTRY '!BM2:BM404,"v")=0,"",(COUNTIF('ENTRY '!BM2:BM404,"v")))</f>
      </c>
      <c r="AZ12" s="49">
        <f>IF(COUNTIF('ENTRY '!BN2:BN404,"v")=0,"",(COUNTIF('ENTRY '!BN2:BN404,"v")))</f>
      </c>
      <c r="BA12" s="49">
        <f>IF(COUNTIF('ENTRY '!BO2:BO404,"v")=0,"",(COUNTIF('ENTRY '!BO2:BO404,"v")))</f>
        <v>15</v>
      </c>
      <c r="BB12" s="49">
        <f>IF(COUNTIF('ENTRY '!BP2:BP404,"v")=0,"",(COUNTIF('ENTRY '!BP2:BP404,"v")))</f>
      </c>
      <c r="BC12" s="49">
        <f>IF(COUNTIF('ENTRY '!BQ2:BQ404,"v")=0,"",(COUNTIF('ENTRY '!BQ2:BQ404,"v")))</f>
        <v>2</v>
      </c>
      <c r="BD12" s="49">
        <f>IF(COUNTIF('ENTRY '!BR2:BR404,"v")=0,"",(COUNTIF('ENTRY '!BR2:BR404,"v")))</f>
        <v>1</v>
      </c>
      <c r="BE12" s="49">
        <f>IF(COUNTIF('ENTRY '!BS2:BS404,"v")=0,"",(COUNTIF('ENTRY '!BS2:BS404,"v")))</f>
      </c>
      <c r="BF12" s="49">
        <f>IF(COUNTIF('ENTRY '!BT2:BT404,"v")=0,"",(COUNTIF('ENTRY '!BT2:BT404,"v")))</f>
      </c>
      <c r="BG12" s="49">
        <f>IF(COUNTIF('ENTRY '!BU2:BU404,"v")=0,"",(COUNTIF('ENTRY '!BU2:BU404,"v")))</f>
      </c>
      <c r="BH12" s="49">
        <f>IF(COUNTIF('ENTRY '!BV2:BV404,"v")=0,"",(COUNTIF('ENTRY '!BV2:BV404,"v")))</f>
      </c>
      <c r="BI12" s="49">
        <f>IF(COUNTIF('ENTRY '!BW2:BW404,"v")=0,"",(COUNTIF('ENTRY '!BW2:BW404,"v")))</f>
      </c>
      <c r="BJ12" s="49">
        <f>IF(COUNTIF('ENTRY '!BX2:BX404,"v")=0,"",(COUNTIF('ENTRY '!BX2:BX404,"v")))</f>
      </c>
      <c r="BK12" s="49">
        <f>IF(COUNTIF('ENTRY '!BY2:BY404,"v")=0,"",(COUNTIF('ENTRY '!BY2:BY404,"v")))</f>
      </c>
      <c r="BL12" s="49">
        <f>IF(COUNTIF('ENTRY '!BZ2:BZ404,"v")=0,"",(COUNTIF('ENTRY '!BZ2:BZ404,"v")))</f>
      </c>
      <c r="BM12" s="49">
        <f>IF(COUNTIF('ENTRY '!CA2:CA404,"v")=0,"",(COUNTIF('ENTRY '!CA2:CA404,"v")))</f>
        <v>10</v>
      </c>
      <c r="BN12" s="49">
        <f>IF(COUNTIF('ENTRY '!CB2:CB404,"v")=0,"",(COUNTIF('ENTRY '!CB2:CB404,"v")))</f>
        <v>14</v>
      </c>
      <c r="BO12" s="49">
        <f>IF(COUNTIF('ENTRY '!CC2:CC404,"v")=0,"",(COUNTIF('ENTRY '!CC2:CC404,"v")))</f>
      </c>
      <c r="BP12" s="49">
        <f>IF(COUNTIF('ENTRY '!CD2:CD404,"v")=0,"",(COUNTIF('ENTRY '!CD2:CD404,"v")))</f>
      </c>
      <c r="BQ12" s="49">
        <f>IF(COUNTIF('ENTRY '!CE2:CE404,"v")=0,"",(COUNTIF('ENTRY '!CE2:CE404,"v")))</f>
        <v>1</v>
      </c>
      <c r="BR12" s="49">
        <f>IF(COUNTIF('ENTRY '!CF2:CF404,"v")=0,"",(COUNTIF('ENTRY '!CF2:CF404,"v")))</f>
      </c>
      <c r="BS12" s="49">
        <f>IF(COUNTIF('ENTRY '!CG2:CG404,"v")=0,"",(COUNTIF('ENTRY '!CG2:CG404,"v")))</f>
        <v>3</v>
      </c>
      <c r="BT12" s="49">
        <f>IF(COUNTIF('ENTRY '!CH2:CH404,"v")=0,"",(COUNTIF('ENTRY '!CH2:CH404,"v")))</f>
      </c>
      <c r="BU12" s="49">
        <f>IF(COUNTIF('ENTRY '!CI2:CI404,"v")=0,"",(COUNTIF('ENTRY '!CI2:CI404,"v")))</f>
        <v>9</v>
      </c>
      <c r="BV12" s="49">
        <f>IF(COUNTIF('ENTRY '!CJ2:CJ404,"v")=0,"",(COUNTIF('ENTRY '!CJ2:CJ404,"v")))</f>
      </c>
      <c r="BW12" s="49">
        <f>IF(COUNTIF('ENTRY '!CK2:CK404,"v")=0,"",(COUNTIF('ENTRY '!CK2:CK404,"v")))</f>
      </c>
      <c r="BX12" s="49">
        <f>IF(COUNTIF('ENTRY '!CL2:CL404,"v")=0,"",(COUNTIF('ENTRY '!CL2:CL404,"v")))</f>
      </c>
      <c r="BY12" s="49">
        <f>IF(COUNTIF('ENTRY '!CM2:CM404,"v")=0,"",(COUNTIF('ENTRY '!CM2:CM404,"v")))</f>
      </c>
      <c r="BZ12" s="49">
        <f>IF(COUNTIF('ENTRY '!CN2:CN404,"v")=0,"",(COUNTIF('ENTRY '!CN2:CN404,"v")))</f>
        <v>3</v>
      </c>
      <c r="CA12" s="49">
        <f>IF(COUNTIF('ENTRY '!CO2:CO404,"v")=0,"",(COUNTIF('ENTRY '!CO2:CO404,"v")))</f>
        <v>8</v>
      </c>
      <c r="CB12" s="49">
        <f>IF(COUNTIF('ENTRY '!CP2:CP404,"v")=0,"",(COUNTIF('ENTRY '!CP2:CP404,"v")))</f>
        <v>1</v>
      </c>
      <c r="CC12" s="49">
        <f>IF(COUNTIF('ENTRY '!CQ2:CQ404,"v")=0,"",(COUNTIF('ENTRY '!CQ2:CQ404,"v")))</f>
      </c>
      <c r="CD12" s="49">
        <f>IF(COUNTIF('ENTRY '!CR2:CR404,"v")=0,"",(COUNTIF('ENTRY '!CR2:CR404,"v")))</f>
      </c>
      <c r="CE12" s="49">
        <f>IF(COUNTIF('ENTRY '!CS2:CS404,"v")=0,"",(COUNTIF('ENTRY '!CS2:CS404,"v")))</f>
        <v>3</v>
      </c>
      <c r="CF12" s="49">
        <f>IF(COUNTIF('ENTRY '!CT2:CT404,"v")=0,"",(COUNTIF('ENTRY '!CT2:CT404,"v")))</f>
      </c>
      <c r="CG12" s="49">
        <f>IF(COUNTIF('ENTRY '!CU2:CU404,"v")=0,"",(COUNTIF('ENTRY '!CU2:CU404,"v")))</f>
      </c>
      <c r="CH12" s="49">
        <f>IF(COUNTIF('ENTRY '!CV2:CV404,"v")=0,"",(COUNTIF('ENTRY '!CV2:CV404,"v")))</f>
      </c>
      <c r="CI12" s="49">
        <f>IF(COUNTIF('ENTRY '!CW2:CW404,"v")=0,"",(COUNTIF('ENTRY '!CW2:CW404,"v")))</f>
        <v>6</v>
      </c>
      <c r="CJ12" s="49">
        <f>IF(COUNTIF('ENTRY '!CX2:CX404,"v")=0,"",(COUNTIF('ENTRY '!CX2:CX404,"v")))</f>
      </c>
      <c r="CK12" s="49">
        <f>IF(COUNTIF('ENTRY '!CY2:CY404,"v")=0,"",(COUNTIF('ENTRY '!CY2:CY404,"v")))</f>
        <v>12</v>
      </c>
      <c r="CL12" s="49">
        <f>IF(COUNTIF('ENTRY '!CZ2:CZ404,"v")=0,"",(COUNTIF('ENTRY '!CZ2:CZ404,"v")))</f>
        <v>3</v>
      </c>
      <c r="CM12" s="49">
        <f>IF(COUNTIF('ENTRY '!DA2:DA404,"v")=0,"",(COUNTIF('ENTRY '!DA2:DA404,"v")))</f>
      </c>
      <c r="CN12" s="49">
        <f>IF(COUNTIF('ENTRY '!DB2:DB404,"v")=0,"",(COUNTIF('ENTRY '!DB2:DB404,"v")))</f>
      </c>
      <c r="CO12" s="49">
        <f>IF(COUNTIF('ENTRY '!DC2:DC404,"v")=0,"",(COUNTIF('ENTRY '!DC2:DC404,"v")))</f>
      </c>
      <c r="CP12" s="49">
        <f>IF(COUNTIF('ENTRY '!DD2:DD404,"v")=0,"",(COUNTIF('ENTRY '!DD2:DD404,"v")))</f>
      </c>
      <c r="CQ12" s="49">
        <f>IF(COUNTIF('ENTRY '!DE2:DE404,"v")=0,"",(COUNTIF('ENTRY '!DE2:DE404,"v")))</f>
        <v>11</v>
      </c>
      <c r="CR12" s="49">
        <f>IF(COUNTIF('ENTRY '!DF2:DF404,"v")=0,"",(COUNTIF('ENTRY '!DF2:DF404,"v")))</f>
      </c>
      <c r="CS12" s="49">
        <f>IF(COUNTIF('ENTRY '!DG2:DG404,"v")=0,"",(COUNTIF('ENTRY '!DG2:DG404,"v")))</f>
      </c>
      <c r="CT12" s="49">
        <f>IF(COUNTIF('ENTRY '!DH2:DH404,"v")=0,"",(COUNTIF('ENTRY '!DH2:DH404,"v")))</f>
      </c>
      <c r="CU12" s="49">
        <f>IF(COUNTIF('ENTRY '!DI2:DI404,"v")=0,"",(COUNTIF('ENTRY '!DI2:DI404,"v")))</f>
      </c>
      <c r="CV12" s="49">
        <f>IF(COUNTIF('ENTRY '!DJ2:DJ404,"v")=0,"",(COUNTIF('ENTRY '!DJ2:DJ404,"v")))</f>
      </c>
      <c r="CW12" s="49">
        <f>IF(COUNTIF('ENTRY '!DK2:DK404,"v")=0,"",(COUNTIF('ENTRY '!DK2:DK404,"v")))</f>
        <v>1</v>
      </c>
      <c r="CX12" s="49">
        <f>IF(COUNTIF('ENTRY '!DL2:DL404,"v")=0,"",(COUNTIF('ENTRY '!DL2:DL404,"v")))</f>
      </c>
      <c r="CY12" s="49">
        <f>IF(COUNTIF('ENTRY '!DM2:DM404,"v")=0,"",(COUNTIF('ENTRY '!DM2:DM404,"v")))</f>
      </c>
      <c r="CZ12" s="49">
        <f>IF(COUNTIF('ENTRY '!DN2:DN404,"v")=0,"",(COUNTIF('ENTRY '!DN2:DN404,"v")))</f>
      </c>
      <c r="DA12" s="49">
        <f>IF(COUNTIF('ENTRY '!DO2:DO404,"v")=0,"",(COUNTIF('ENTRY '!DO2:DO404,"v")))</f>
      </c>
      <c r="DB12" s="49">
        <f>IF(COUNTIF('ENTRY '!DP2:DP404,"v")=0,"",(COUNTIF('ENTRY '!DP2:DP404,"v")))</f>
      </c>
      <c r="DC12" s="49">
        <f>IF(COUNTIF('ENTRY '!DQ2:DQ404,"v")=0,"",(COUNTIF('ENTRY '!DQ2:DQ404,"v")))</f>
        <v>1</v>
      </c>
      <c r="DD12" s="49">
        <f>IF(COUNTIF('ENTRY '!DR2:DR404,"v")=0,"",(COUNTIF('ENTRY '!DR2:DR404,"v")))</f>
      </c>
      <c r="DE12" s="49">
        <f>IF(COUNTIF('ENTRY '!DS2:DS404,"v")=0,"",(COUNTIF('ENTRY '!DS2:DS404,"v")))</f>
      </c>
      <c r="DF12" s="49">
        <f>IF(COUNTIF('ENTRY '!DT2:DT404,"v")=0,"",(COUNTIF('ENTRY '!DT2:DT404,"v")))</f>
        <v>2</v>
      </c>
      <c r="DG12" s="49">
        <f>IF(COUNTIF('ENTRY '!DU2:DU404,"v")=0,"",(COUNTIF('ENTRY '!DU2:DU404,"v")))</f>
      </c>
      <c r="DH12" s="49">
        <f>IF(COUNTIF('ENTRY '!DV2:DV404,"v")=0,"",(COUNTIF('ENTRY '!DV2:DV404,"v")))</f>
      </c>
      <c r="DI12" s="49">
        <f>IF(COUNTIF('ENTRY '!DW2:DW404,"v")=0,"",(COUNTIF('ENTRY '!DW2:DW404,"v")))</f>
      </c>
      <c r="DJ12" s="49">
        <f>IF(COUNTIF('ENTRY '!DX2:DX404,"v")=0,"",(COUNTIF('ENTRY '!DX2:DX404,"v")))</f>
      </c>
      <c r="DK12" s="49">
        <f>IF(COUNTIF('ENTRY '!DY2:DY404,"v")=0,"",(COUNTIF('ENTRY '!DY2:DY404,"v")))</f>
        <v>5</v>
      </c>
      <c r="DL12" s="49">
        <f>IF(COUNTIF('ENTRY '!DZ2:DZ404,"v")=0,"",(COUNTIF('ENTRY '!DZ2:DZ404,"v")))</f>
      </c>
      <c r="DM12" s="49">
        <f>IF(COUNTIF('ENTRY '!EA2:EA404,"v")=0,"",(COUNTIF('ENTRY '!EA2:EA404,"v")))</f>
      </c>
      <c r="DN12" s="49">
        <f>IF(COUNTIF('ENTRY '!EB2:EB404,"v")=0,"",(COUNTIF('ENTRY '!EB2:EB404,"v")))</f>
      </c>
      <c r="DO12" s="49">
        <f>IF(COUNTIF('ENTRY '!EC2:EC404,"v")=0,"",(COUNTIF('ENTRY '!EC2:EC404,"v")))</f>
      </c>
      <c r="DP12" s="49">
        <f>IF(COUNTIF('ENTRY '!ED2:ED404,"v")=0,"",(COUNTIF('ENTRY '!ED2:ED404,"v")))</f>
      </c>
      <c r="DQ12" s="49">
        <f>IF(COUNTIF('ENTRY '!EE2:EE404,"v")=0,"",(COUNTIF('ENTRY '!EE2:EE404,"v")))</f>
      </c>
      <c r="DR12" s="49">
        <f>IF(COUNTIF('ENTRY '!EF2:EF404,"v")=0,"",(COUNTIF('ENTRY '!EF2:EF404,"v")))</f>
      </c>
      <c r="DS12" s="49">
        <f>IF(COUNTIF('ENTRY '!EG2:EG404,"v")=0,"",(COUNTIF('ENTRY '!EG2:EG404,"v")))</f>
      </c>
      <c r="DT12" s="49">
        <f>IF(COUNTIF('ENTRY '!EH2:EH404,"v")=0,"",(COUNTIF('ENTRY '!EH2:EH404,"v")))</f>
      </c>
      <c r="DU12" s="49">
        <f>IF(COUNTIF('ENTRY '!EI2:EI404,"v")=0,"",(COUNTIF('ENTRY '!EI2:EI404,"v")))</f>
      </c>
      <c r="DV12" s="49">
        <f>IF(COUNTIF('ENTRY '!EJ2:EJ404,"v")=0,"",(COUNTIF('ENTRY '!EJ2:EJ404,"v")))</f>
      </c>
      <c r="DW12" s="49">
        <f>IF(COUNTIF('ENTRY '!EK2:EK404,"v")=0,"",(COUNTIF('ENTRY '!EK2:EK404,"v")))</f>
      </c>
      <c r="DX12" s="49">
        <f>IF(COUNTIF('ENTRY '!EL2:EL404,"v")=0,"",(COUNTIF('ENTRY '!EL2:EL404,"v")))</f>
      </c>
      <c r="DY12" s="49">
        <f>IF(COUNTIF('ENTRY '!EM2:EM404,"v")=0,"",(COUNTIF('ENTRY '!EM2:EM404,"v")))</f>
      </c>
      <c r="DZ12" s="49">
        <f>IF(COUNTIF('ENTRY '!EN2:EN404,"v")=0,"",(COUNTIF('ENTRY '!EN2:EN404,"v")))</f>
      </c>
      <c r="EA12" s="49">
        <f>IF(COUNTIF('ENTRY '!EO2:EO404,"v")=0,"",(COUNTIF('ENTRY '!EO2:EO404,"v")))</f>
      </c>
      <c r="EB12" s="49">
        <f>IF(COUNTIF('ENTRY '!EP2:EP404,"v")=0,"",(COUNTIF('ENTRY '!EP2:EP404,"v")))</f>
      </c>
      <c r="EC12" s="49">
        <f>IF(COUNTIF('ENTRY '!EQ2:EQ404,"v")=0,"",(COUNTIF('ENTRY '!EQ2:EQ404,"v")))</f>
      </c>
      <c r="ED12" s="49">
        <f>IF(COUNTIF('ENTRY '!ER2:ER404,"v")=0,"",(COUNTIF('ENTRY '!ER2:ER404,"v")))</f>
        <v>8</v>
      </c>
      <c r="EE12" s="49">
        <f>IF(COUNTIF('ENTRY '!ES2:ES404,"v")=0,"",(COUNTIF('ENTRY '!ES2:ES404,"v")))</f>
        <v>1</v>
      </c>
      <c r="EF12" s="49">
        <f>IF(COUNTIF('ENTRY '!ET2:ET404,"v")=0,"",(COUNTIF('ENTRY '!ET2:ET404,"v")))</f>
      </c>
      <c r="EG12" s="49">
        <f>IF(COUNTIF('ENTRY '!EU2:EU404,"v")=0,"",(COUNTIF('ENTRY '!EU2:EU404,"v")))</f>
      </c>
      <c r="EH12" s="49">
        <f>IF(COUNTIF('ENTRY '!EV2:EV404,"v")=0,"",(COUNTIF('ENTRY '!EV2:EV404,"v")))</f>
      </c>
      <c r="EI12" s="49">
        <f>IF(COUNTIF('ENTRY '!EW2:EW404,"v")=0,"",(COUNTIF('ENTRY '!EW2:EW404,"v")))</f>
      </c>
      <c r="EJ12" s="49">
        <f>IF(COUNTIF('ENTRY '!EX2:EX404,"v")=0,"",(COUNTIF('ENTRY '!EX2:EX404,"v")))</f>
      </c>
      <c r="EK12" s="49">
        <f>IF(COUNTIF('ENTRY '!EY2:EY404,"v")=0,"",(COUNTIF('ENTRY '!EY2:EY404,"v")))</f>
      </c>
      <c r="EL12" s="49">
        <f>IF(COUNTIF('ENTRY '!EZ2:EZ404,"v")=0,"",(COUNTIF('ENTRY '!EZ2:EZ404,"v")))</f>
      </c>
      <c r="EM12" s="49">
        <f>IF(COUNTIF('ENTRY '!FA2:FA404,"v")=0,"",(COUNTIF('ENTRY '!FA2:FA404,"v")))</f>
      </c>
      <c r="EN12" s="49">
        <f>IF(COUNTIF('ENTRY '!FB2:FB404,"v")=0,"",(COUNTIF('ENTRY '!FB2:FB404,"v")))</f>
      </c>
      <c r="EO12" s="49">
        <f>IF(COUNTIF('ENTRY '!FC2:FC404,"v")=0,"",(COUNTIF('ENTRY '!FC2:FC404,"v")))</f>
      </c>
      <c r="EP12" s="49">
        <f>IF(COUNTIF('ENTRY '!FD2:FD404,"v")=0,"",(COUNTIF('ENTRY '!FD2:FD404,"v")))</f>
      </c>
      <c r="EQ12" s="49">
        <f>IF(COUNTIF('ENTRY '!FE2:FE404,"v")=0,"",(COUNTIF('ENTRY '!FE2:FE404,"v")))</f>
      </c>
      <c r="ER12" s="49">
        <f>IF(COUNTIF('ENTRY '!FF2:FF404,"v")=0,"",(COUNTIF('ENTRY '!FF2:FF404,"v")))</f>
      </c>
      <c r="ES12" s="49">
        <f>IF(COUNTIF('ENTRY '!FG2:FG404,"v")=0,"",(COUNTIF('ENTRY '!FG2:FG404,"v")))</f>
      </c>
      <c r="ET12" s="49">
        <f>IF(COUNTIF('ENTRY '!FH2:FH404,"v")=0,"",(COUNTIF('ENTRY '!FH2:FH404,"v")))</f>
      </c>
      <c r="EU12" s="49">
        <f>IF(COUNTIF('ENTRY '!FI2:FI404,"v")=0,"",(COUNTIF('ENTRY '!FI2:FI404,"v")))</f>
      </c>
      <c r="EV12" s="49">
        <f>IF(COUNTIF('ENTRY '!FJ2:FJ404,"v")=0,"",(COUNTIF('ENTRY '!FJ2:FJ404,"v")))</f>
      </c>
      <c r="EW12" s="49">
        <f>IF(COUNTIF('ENTRY '!FK2:FK404,"v")=0,"",(COUNTIF('ENTRY '!FK2:FK404,"v")))</f>
      </c>
      <c r="EX12" s="49">
        <f>IF(COUNTIF('ENTRY '!FL2:FL404,"v")=0,"",(COUNTIF('ENTRY '!FL2:FL404,"v")))</f>
      </c>
      <c r="EY12" s="49">
        <f>IF(COUNTIF('ENTRY '!FM2:FM404,"v")=0,"",(COUNTIF('ENTRY '!FM2:FM404,"v")))</f>
      </c>
    </row>
    <row r="13" spans="2:155" s="80" customFormat="1" ht="12.75">
      <c r="B13" s="81" t="s">
        <v>63</v>
      </c>
      <c r="C13" s="79"/>
      <c r="D13" s="31">
        <f aca="true" t="shared" si="0" ref="D13:AI13">IF((OR(D11&lt;&gt;"",D12&lt;&gt;"")),"present","")</f>
      </c>
      <c r="E13" s="31">
        <f t="shared" si="0"/>
      </c>
      <c r="F13" s="31">
        <f t="shared" si="0"/>
      </c>
      <c r="G13" s="31">
        <f t="shared" si="0"/>
      </c>
      <c r="H13" s="31" t="str">
        <f t="shared" si="0"/>
        <v>present</v>
      </c>
      <c r="I13" s="31">
        <f t="shared" si="0"/>
      </c>
      <c r="J13" s="31" t="str">
        <f t="shared" si="0"/>
        <v>present</v>
      </c>
      <c r="K13" s="31">
        <f t="shared" si="0"/>
      </c>
      <c r="L13" s="31">
        <f t="shared" si="0"/>
      </c>
      <c r="M13" s="31">
        <f t="shared" si="0"/>
      </c>
      <c r="N13" s="31">
        <f t="shared" si="0"/>
      </c>
      <c r="O13" s="31">
        <f t="shared" si="0"/>
      </c>
      <c r="P13" s="31">
        <f t="shared" si="0"/>
      </c>
      <c r="Q13" s="31" t="str">
        <f t="shared" si="0"/>
        <v>present</v>
      </c>
      <c r="R13" s="31">
        <f t="shared" si="0"/>
      </c>
      <c r="S13" s="31" t="str">
        <f t="shared" si="0"/>
        <v>present</v>
      </c>
      <c r="T13" s="31">
        <f t="shared" si="0"/>
      </c>
      <c r="U13" s="31">
        <f t="shared" si="0"/>
      </c>
      <c r="V13" s="31">
        <f t="shared" si="0"/>
      </c>
      <c r="W13" s="31">
        <f t="shared" si="0"/>
      </c>
      <c r="X13" s="31">
        <f t="shared" si="0"/>
      </c>
      <c r="Y13" s="31">
        <f t="shared" si="0"/>
      </c>
      <c r="Z13" s="31">
        <f t="shared" si="0"/>
      </c>
      <c r="AA13" s="31" t="str">
        <f t="shared" si="0"/>
        <v>present</v>
      </c>
      <c r="AB13" s="31">
        <f t="shared" si="0"/>
      </c>
      <c r="AC13" s="31" t="str">
        <f t="shared" si="0"/>
        <v>present</v>
      </c>
      <c r="AD13" s="31">
        <f t="shared" si="0"/>
      </c>
      <c r="AE13" s="31">
        <f t="shared" si="0"/>
      </c>
      <c r="AF13" s="31">
        <f t="shared" si="0"/>
      </c>
      <c r="AG13" s="31">
        <f t="shared" si="0"/>
      </c>
      <c r="AH13" s="31">
        <f t="shared" si="0"/>
      </c>
      <c r="AI13" s="31" t="str">
        <f t="shared" si="0"/>
        <v>present</v>
      </c>
      <c r="AJ13" s="31">
        <f aca="true" t="shared" si="1" ref="AJ13:BO13">IF((OR(AJ11&lt;&gt;"",AJ12&lt;&gt;"")),"present","")</f>
      </c>
      <c r="AK13" s="31">
        <f t="shared" si="1"/>
      </c>
      <c r="AL13" s="31">
        <f t="shared" si="1"/>
      </c>
      <c r="AM13" s="31">
        <f t="shared" si="1"/>
      </c>
      <c r="AN13" s="31">
        <f t="shared" si="1"/>
      </c>
      <c r="AO13" s="31">
        <f t="shared" si="1"/>
      </c>
      <c r="AP13" s="31">
        <f t="shared" si="1"/>
      </c>
      <c r="AQ13" s="31">
        <f t="shared" si="1"/>
      </c>
      <c r="AR13" s="31">
        <f t="shared" si="1"/>
      </c>
      <c r="AS13" s="31">
        <f t="shared" si="1"/>
      </c>
      <c r="AT13" s="31">
        <f t="shared" si="1"/>
      </c>
      <c r="AU13" s="31">
        <f t="shared" si="1"/>
      </c>
      <c r="AV13" s="31">
        <f t="shared" si="1"/>
      </c>
      <c r="AW13" s="31">
        <f t="shared" si="1"/>
      </c>
      <c r="AX13" s="31">
        <f t="shared" si="1"/>
      </c>
      <c r="AY13" s="31">
        <f t="shared" si="1"/>
      </c>
      <c r="AZ13" s="31">
        <f t="shared" si="1"/>
      </c>
      <c r="BA13" s="31" t="str">
        <f t="shared" si="1"/>
        <v>present</v>
      </c>
      <c r="BB13" s="31">
        <f t="shared" si="1"/>
      </c>
      <c r="BC13" s="31" t="str">
        <f t="shared" si="1"/>
        <v>present</v>
      </c>
      <c r="BD13" s="31" t="str">
        <f t="shared" si="1"/>
        <v>present</v>
      </c>
      <c r="BE13" s="31">
        <f t="shared" si="1"/>
      </c>
      <c r="BF13" s="31">
        <f t="shared" si="1"/>
      </c>
      <c r="BG13" s="31">
        <f t="shared" si="1"/>
      </c>
      <c r="BH13" s="31">
        <f t="shared" si="1"/>
      </c>
      <c r="BI13" s="31" t="str">
        <f t="shared" si="1"/>
        <v>present</v>
      </c>
      <c r="BJ13" s="31">
        <f t="shared" si="1"/>
      </c>
      <c r="BK13" s="31">
        <f t="shared" si="1"/>
      </c>
      <c r="BL13" s="31">
        <f t="shared" si="1"/>
      </c>
      <c r="BM13" s="31" t="str">
        <f t="shared" si="1"/>
        <v>present</v>
      </c>
      <c r="BN13" s="31" t="str">
        <f t="shared" si="1"/>
        <v>present</v>
      </c>
      <c r="BO13" s="31">
        <f t="shared" si="1"/>
      </c>
      <c r="BP13" s="31">
        <f aca="true" t="shared" si="2" ref="BP13:CU13">IF((OR(BP11&lt;&gt;"",BP12&lt;&gt;"")),"present","")</f>
      </c>
      <c r="BQ13" s="31" t="str">
        <f t="shared" si="2"/>
        <v>present</v>
      </c>
      <c r="BR13" s="31">
        <f t="shared" si="2"/>
      </c>
      <c r="BS13" s="31" t="str">
        <f t="shared" si="2"/>
        <v>present</v>
      </c>
      <c r="BT13" s="31">
        <f t="shared" si="2"/>
      </c>
      <c r="BU13" s="31" t="str">
        <f t="shared" si="2"/>
        <v>present</v>
      </c>
      <c r="BV13" s="31">
        <f t="shared" si="2"/>
      </c>
      <c r="BW13" s="31">
        <f t="shared" si="2"/>
      </c>
      <c r="BX13" s="31">
        <f t="shared" si="2"/>
      </c>
      <c r="BY13" s="31" t="str">
        <f t="shared" si="2"/>
        <v>present</v>
      </c>
      <c r="BZ13" s="31" t="str">
        <f t="shared" si="2"/>
        <v>present</v>
      </c>
      <c r="CA13" s="31" t="str">
        <f t="shared" si="2"/>
        <v>present</v>
      </c>
      <c r="CB13" s="31" t="str">
        <f t="shared" si="2"/>
        <v>present</v>
      </c>
      <c r="CC13" s="31">
        <f t="shared" si="2"/>
      </c>
      <c r="CD13" s="31" t="str">
        <f t="shared" si="2"/>
        <v>present</v>
      </c>
      <c r="CE13" s="31" t="str">
        <f t="shared" si="2"/>
        <v>present</v>
      </c>
      <c r="CF13" s="31">
        <f t="shared" si="2"/>
      </c>
      <c r="CG13" s="31">
        <f t="shared" si="2"/>
      </c>
      <c r="CH13" s="31">
        <f t="shared" si="2"/>
      </c>
      <c r="CI13" s="31" t="str">
        <f t="shared" si="2"/>
        <v>present</v>
      </c>
      <c r="CJ13" s="31">
        <f t="shared" si="2"/>
      </c>
      <c r="CK13" s="31" t="str">
        <f t="shared" si="2"/>
        <v>present</v>
      </c>
      <c r="CL13" s="31" t="str">
        <f t="shared" si="2"/>
        <v>present</v>
      </c>
      <c r="CM13" s="31" t="str">
        <f t="shared" si="2"/>
        <v>present</v>
      </c>
      <c r="CN13" s="31">
        <f t="shared" si="2"/>
      </c>
      <c r="CO13" s="31">
        <f t="shared" si="2"/>
      </c>
      <c r="CP13" s="31">
        <f t="shared" si="2"/>
      </c>
      <c r="CQ13" s="31" t="str">
        <f t="shared" si="2"/>
        <v>present</v>
      </c>
      <c r="CR13" s="31">
        <f t="shared" si="2"/>
      </c>
      <c r="CS13" s="31">
        <f t="shared" si="2"/>
      </c>
      <c r="CT13" s="31">
        <f t="shared" si="2"/>
      </c>
      <c r="CU13" s="31">
        <f t="shared" si="2"/>
      </c>
      <c r="CV13" s="31">
        <f aca="true" t="shared" si="3" ref="CV13:EA13">IF((OR(CV11&lt;&gt;"",CV12&lt;&gt;"")),"present","")</f>
      </c>
      <c r="CW13" s="31" t="str">
        <f t="shared" si="3"/>
        <v>present</v>
      </c>
      <c r="CX13" s="31">
        <f t="shared" si="3"/>
      </c>
      <c r="CY13" s="31">
        <f t="shared" si="3"/>
      </c>
      <c r="CZ13" s="31">
        <f t="shared" si="3"/>
      </c>
      <c r="DA13" s="31">
        <f t="shared" si="3"/>
      </c>
      <c r="DB13" s="31">
        <f t="shared" si="3"/>
      </c>
      <c r="DC13" s="31" t="str">
        <f t="shared" si="3"/>
        <v>present</v>
      </c>
      <c r="DD13" s="31">
        <f t="shared" si="3"/>
      </c>
      <c r="DE13" s="31">
        <f t="shared" si="3"/>
      </c>
      <c r="DF13" s="31" t="str">
        <f t="shared" si="3"/>
        <v>present</v>
      </c>
      <c r="DG13" s="31">
        <f t="shared" si="3"/>
      </c>
      <c r="DH13" s="31">
        <f t="shared" si="3"/>
      </c>
      <c r="DI13" s="31">
        <f t="shared" si="3"/>
      </c>
      <c r="DJ13" s="31">
        <f t="shared" si="3"/>
      </c>
      <c r="DK13" s="31" t="str">
        <f t="shared" si="3"/>
        <v>present</v>
      </c>
      <c r="DL13" s="31">
        <f t="shared" si="3"/>
      </c>
      <c r="DM13" s="31">
        <f t="shared" si="3"/>
      </c>
      <c r="DN13" s="31">
        <f t="shared" si="3"/>
      </c>
      <c r="DO13" s="31">
        <f t="shared" si="3"/>
      </c>
      <c r="DP13" s="31">
        <f t="shared" si="3"/>
      </c>
      <c r="DQ13" s="31">
        <f t="shared" si="3"/>
      </c>
      <c r="DR13" s="31" t="str">
        <f t="shared" si="3"/>
        <v>present</v>
      </c>
      <c r="DS13" s="31">
        <f t="shared" si="3"/>
      </c>
      <c r="DT13" s="31">
        <f t="shared" si="3"/>
      </c>
      <c r="DU13" s="31">
        <f t="shared" si="3"/>
      </c>
      <c r="DV13" s="31">
        <f t="shared" si="3"/>
      </c>
      <c r="DW13" s="31">
        <f t="shared" si="3"/>
      </c>
      <c r="DX13" s="31">
        <f t="shared" si="3"/>
      </c>
      <c r="DY13" s="31" t="str">
        <f t="shared" si="3"/>
        <v>present</v>
      </c>
      <c r="DZ13" s="31" t="str">
        <f t="shared" si="3"/>
        <v>present</v>
      </c>
      <c r="EA13" s="31" t="str">
        <f t="shared" si="3"/>
        <v>present</v>
      </c>
      <c r="EB13" s="31">
        <f aca="true" t="shared" si="4" ref="EB13:EY13">IF((OR(EB11&lt;&gt;"",EB12&lt;&gt;"")),"present","")</f>
      </c>
      <c r="EC13" s="31">
        <f t="shared" si="4"/>
      </c>
      <c r="ED13" s="31" t="str">
        <f t="shared" si="4"/>
        <v>present</v>
      </c>
      <c r="EE13" s="31" t="str">
        <f t="shared" si="4"/>
        <v>present</v>
      </c>
      <c r="EF13" s="31">
        <f t="shared" si="4"/>
      </c>
      <c r="EG13" s="31">
        <f t="shared" si="4"/>
      </c>
      <c r="EH13" s="31">
        <f t="shared" si="4"/>
      </c>
      <c r="EI13" s="31">
        <f t="shared" si="4"/>
      </c>
      <c r="EJ13" s="31" t="str">
        <f t="shared" si="4"/>
        <v>present</v>
      </c>
      <c r="EK13" s="31">
        <f t="shared" si="4"/>
      </c>
      <c r="EL13" s="31">
        <f t="shared" si="4"/>
      </c>
      <c r="EM13" s="31">
        <f t="shared" si="4"/>
      </c>
      <c r="EN13" s="31" t="str">
        <f t="shared" si="4"/>
        <v>present</v>
      </c>
      <c r="EO13" s="31">
        <f t="shared" si="4"/>
      </c>
      <c r="EP13" s="31">
        <f t="shared" si="4"/>
      </c>
      <c r="EQ13" s="31">
        <f t="shared" si="4"/>
      </c>
      <c r="ER13" s="31">
        <f t="shared" si="4"/>
      </c>
      <c r="ES13" s="31">
        <f t="shared" si="4"/>
      </c>
      <c r="ET13" s="31">
        <f t="shared" si="4"/>
      </c>
      <c r="EU13" s="31">
        <f t="shared" si="4"/>
      </c>
      <c r="EV13" s="31">
        <f t="shared" si="4"/>
      </c>
      <c r="EW13" s="31">
        <f t="shared" si="4"/>
      </c>
      <c r="EX13" s="31">
        <f t="shared" si="4"/>
      </c>
      <c r="EY13" s="31">
        <f t="shared" si="4"/>
      </c>
    </row>
    <row r="14" spans="1:155" s="85" customFormat="1" ht="12.75">
      <c r="A14" s="30"/>
      <c r="B14" s="30" t="s">
        <v>2</v>
      </c>
      <c r="C14" s="26">
        <f>IF(SUM(D14:EY14)&gt;0,SUM(D14:EY14),"")</f>
        <v>0.06957420344340641</v>
      </c>
      <c r="D14" s="31">
        <f>IF(D8="","",(D8*D8)/10000)</f>
      </c>
      <c r="E14" s="31">
        <f>IF(E8="","",(E8*E8)/10000)</f>
      </c>
      <c r="F14" s="31">
        <f>IF(F8="","",(F8*F8)/10000)</f>
      </c>
      <c r="G14" s="31">
        <f>IF(G8="","",(G8*G8)/10000)</f>
      </c>
      <c r="H14" s="31">
        <f>IF(H8="","",(H8*H8)/10000)</f>
        <v>9.351999925184004E-06</v>
      </c>
      <c r="I14" s="31">
        <f>IF(I8="","",(I8*I8)/10000)</f>
      </c>
      <c r="J14" s="31">
        <f>IF(J8="","",(J8*J8)/10000)</f>
        <v>0.0003366719973066241</v>
      </c>
      <c r="K14" s="31">
        <f>IF(K8="","",(K8*K8)/10000)</f>
      </c>
      <c r="L14" s="31">
        <f>IF(L8="","",(L8*L8)/10000)</f>
      </c>
      <c r="M14" s="31">
        <f>IF(M8="","",(M8*M8)/10000)</f>
      </c>
      <c r="N14" s="31">
        <f>IF(N8="","",(N8*N8)/10000)</f>
      </c>
      <c r="O14" s="31">
        <f>IF(O8="","",(O8*O8)/10000)</f>
      </c>
      <c r="P14" s="31">
        <f>IF(P8="","",(P8*P8)/10000)</f>
      </c>
      <c r="Q14" s="31">
        <f>IF(Q8="","",(Q8*Q8)/10000)</f>
        <v>0.013862001889103987</v>
      </c>
      <c r="R14" s="31">
        <f>IF(R8="","",(R8*R8)/10000)</f>
      </c>
      <c r="S14" s="31">
        <f>IF(S8="","",(S8*S8)/10000)</f>
        <v>0.002246817982025457</v>
      </c>
      <c r="T14" s="31">
        <f>IF(T8="","",(T8*T8)/10000)</f>
      </c>
      <c r="U14" s="31">
        <f>IF(U8="","",(U8*U8)/10000)</f>
      </c>
      <c r="V14" s="31">
        <f>IF(V8="","",(V8*V8)/10000)</f>
      </c>
      <c r="W14" s="31">
        <f>IF(W8="","",(W8*W8)/10000)</f>
      </c>
      <c r="X14" s="31">
        <f>IF(X8="","",(X8*X8)/10000)</f>
      </c>
      <c r="Y14" s="31">
        <f>IF(Y8="","",(Y8*Y8)/10000)</f>
      </c>
      <c r="Z14" s="31">
        <f>IF(Z8="","",(Z8*Z8)/10000)</f>
      </c>
      <c r="AA14" s="31">
        <f>IF(AA8="","",(AA8*AA8)/10000)</f>
        <v>2.1041999831664005E-05</v>
      </c>
      <c r="AB14" s="31">
        <f>IF(AB8="","",(AB8*AB8)/10000)</f>
      </c>
      <c r="AC14" s="31">
        <f>IF(AC8="","",(AC8*AC8)/10000)</f>
        <v>0.0009351999925184003</v>
      </c>
      <c r="AD14" s="31">
        <f>IF(AD8="","",(AD8*AD8)/10000)</f>
      </c>
      <c r="AE14" s="31">
        <f>IF(AE8="","",(AE8*AE8)/10000)</f>
      </c>
      <c r="AF14" s="31">
        <f>IF(AF8="","",(AF8*AF8)/10000)</f>
      </c>
      <c r="AG14" s="31">
        <f>IF(AG8="","",(AG8*AG8)/10000)</f>
      </c>
      <c r="AH14" s="31">
        <f>IF(AH8="","",(AH8*AH8)/10000)</f>
      </c>
      <c r="AI14" s="31">
        <f>IF(AI8="","",(AI8*AI8)/10000)</f>
        <v>0.0005260499957916</v>
      </c>
      <c r="AJ14" s="31">
        <f>IF(AJ8="","",(AJ8*AJ8)/10000)</f>
      </c>
      <c r="AK14" s="31">
        <f>IF(AK8="","",(AK8*AK8)/10000)</f>
      </c>
      <c r="AL14" s="31">
        <f>IF(AL8="","",(AL8*AL8)/10000)</f>
      </c>
      <c r="AM14" s="31">
        <f>IF(AM8="","",(AM8*AM8)/10000)</f>
      </c>
      <c r="AN14" s="31">
        <f>IF(AN8="","",(AN8*AN8)/10000)</f>
      </c>
      <c r="AO14" s="31">
        <f>IF(AO8="","",(AO8*AO8)/10000)</f>
      </c>
      <c r="AP14" s="31">
        <f>IF(AP8="","",(AP8*AP8)/10000)</f>
      </c>
      <c r="AQ14" s="31">
        <f>IF(AQ8="","",(AQ8*AQ8)/10000)</f>
      </c>
      <c r="AR14" s="31">
        <f>IF(AR8="","",(AR8*AR8)/10000)</f>
      </c>
      <c r="AS14" s="31">
        <f>IF(AS8="","",(AS8*AS8)/10000)</f>
      </c>
      <c r="AT14" s="31">
        <f>IF(AT8="","",(AT8*AT8)/10000)</f>
      </c>
      <c r="AU14" s="31">
        <f>IF(AU8="","",(AU8*AU8)/10000)</f>
      </c>
      <c r="AV14" s="31">
        <f>IF(AV8="","",(AV8*AV8)/10000)</f>
      </c>
      <c r="AW14" s="31">
        <f>IF(AW8="","",(AW8*AW8)/10000)</f>
      </c>
      <c r="AX14" s="31">
        <f>IF(AX8="","",(AX8*AX8)/10000)</f>
      </c>
      <c r="AY14" s="31">
        <f>IF(AY8="","",(AY8*AY8)/10000)</f>
      </c>
      <c r="AZ14" s="31">
        <f>IF(AZ8="","",(AZ8*AZ8)/10000)</f>
      </c>
      <c r="BA14" s="31">
        <f>IF(BA8="","",(BA8*BA8)/10000)</f>
        <v>0.005164641958682867</v>
      </c>
      <c r="BB14" s="31">
        <f>IF(BB8="","",(BB8*BB8)/10000)</f>
      </c>
      <c r="BC14" s="31">
        <f>IF(BC8="","",(BC8*BC8)/10000)</f>
        <v>2.1041999831664005E-05</v>
      </c>
      <c r="BD14" s="31">
        <f>IF(BD8="","",(BD8*BD8)/10000)</f>
        <v>0.00957644792338842</v>
      </c>
      <c r="BE14" s="31">
        <f>IF(BE8="","",(BE8*BE8)/10000)</f>
      </c>
      <c r="BF14" s="31">
        <f>IF(BF8="","",(BF8*BF8)/10000)</f>
      </c>
      <c r="BG14" s="31">
        <f>IF(BG8="","",(BG8*BG8)/10000)</f>
      </c>
      <c r="BH14" s="31">
        <f>IF(BH8="","",(BH8*BH8)/10000)</f>
      </c>
      <c r="BI14" s="31">
        <f>IF(BI8="","",(BI8*BI8)/10000)</f>
        <v>0.0030300479757596178</v>
      </c>
      <c r="BJ14" s="31">
        <f>IF(BJ8="","",(BJ8*BJ8)/10000)</f>
      </c>
      <c r="BK14" s="31">
        <f>IF(BK8="","",(BK8*BK8)/10000)</f>
      </c>
      <c r="BL14" s="31">
        <f>IF(BL8="","",(BL8*BL8)/10000)</f>
      </c>
      <c r="BM14" s="31">
        <f>IF(BM8="","",(BM8*BM8)/10000)</f>
        <v>0.004734449962124402</v>
      </c>
      <c r="BN14" s="31">
        <f>IF(BN8="","",(BN8*BN8)/10000)</f>
        <v>0.006817607945459139</v>
      </c>
      <c r="BO14" s="31">
        <f>IF(BO8="","",(BO8*BO8)/10000)</f>
      </c>
      <c r="BP14" s="31">
        <f>IF(BP8="","",(BP8*BP8)/10000)</f>
      </c>
      <c r="BQ14" s="31">
        <f>IF(BQ8="","",(BQ8*BQ8)/10000)</f>
      </c>
      <c r="BR14" s="31">
        <f>IF(BR8="","",(BR8*BR8)/10000)</f>
      </c>
      <c r="BS14" s="31">
        <f>IF(BS8="","",(BS8*BS8)/10000)</f>
        <v>5.844999953240002E-05</v>
      </c>
      <c r="BT14" s="31">
        <f>IF(BT8="","",(BT8*BT8)/10000)</f>
      </c>
      <c r="BU14" s="31">
        <f>IF(BU8="","",(BU8*BU8)/10000)</f>
        <v>0.00023379999812960008</v>
      </c>
      <c r="BV14" s="31">
        <f>IF(BV8="","",(BV8*BV8)/10000)</f>
      </c>
      <c r="BW14" s="31">
        <f>IF(BW8="","",(BW8*BW8)/10000)</f>
      </c>
      <c r="BX14" s="31">
        <f>IF(BX8="","",(BX8*BX8)/10000)</f>
      </c>
      <c r="BY14" s="31">
        <f>IF(BY8="","",(BY8*BY8)/10000)</f>
        <v>2.337999981296001E-06</v>
      </c>
      <c r="BZ14" s="31">
        <f>IF(BZ8="","",(BZ8*BZ8)/10000)</f>
        <v>5.844999953240002E-05</v>
      </c>
      <c r="CA14" s="31">
        <f>IF(CA8="","",(CA8*CA8)/10000)</f>
        <v>0.0008440179932478564</v>
      </c>
      <c r="CB14" s="31">
        <f>IF(CB8="","",(CB8*CB8)/10000)</f>
      </c>
      <c r="CC14" s="31">
        <f>IF(CC8="","",(CC8*CC8)/10000)</f>
      </c>
      <c r="CD14" s="31">
        <f>IF(CD8="","",(CD8*CD8)/10000)</f>
        <v>9.351999925184004E-06</v>
      </c>
      <c r="CE14" s="31">
        <f>IF(CE8="","",(CE8*CE8)/10000)</f>
        <v>8.416799932665602E-05</v>
      </c>
      <c r="CF14" s="31">
        <f>IF(CF8="","",(CF8*CF8)/10000)</f>
      </c>
      <c r="CG14" s="31">
        <f>IF(CG8="","",(CG8*CG8)/10000)</f>
      </c>
      <c r="CH14" s="31">
        <f>IF(CH8="","",(CH8*CH8)/10000)</f>
      </c>
      <c r="CI14" s="31">
        <f>IF(CI8="","",(CI8*CI8)/10000)</f>
        <v>0.00039512199683902415</v>
      </c>
      <c r="CJ14" s="31">
        <f>IF(CJ8="","",(CJ8*CJ8)/10000)</f>
      </c>
      <c r="CK14" s="31">
        <f>IF(CK8="","",(CK8*CK8)/10000)</f>
        <v>0.003930177968558576</v>
      </c>
      <c r="CL14" s="31">
        <f>IF(CL8="","",(CL8*CL8)/10000)</f>
        <v>2.337999981296001E-06</v>
      </c>
      <c r="CM14" s="31">
        <f>IF(CM8="","",(CM8*CM8)/10000)</f>
        <v>0.0021041999831664</v>
      </c>
      <c r="CN14" s="31">
        <f>IF(CN8="","",(CN8*CN8)/10000)</f>
      </c>
      <c r="CO14" s="31">
        <f>IF(CO8="","",(CO8*CO8)/10000)</f>
      </c>
      <c r="CP14" s="31">
        <f>IF(CP8="","",(CP8*CP8)/10000)</f>
      </c>
      <c r="CQ14" s="31">
        <f>IF(CQ8="","",(CQ8*CQ8)/10000)</f>
        <v>0.013862001889103987</v>
      </c>
      <c r="CR14" s="31">
        <f>IF(CR8="","",(CR8*CR8)/10000)</f>
      </c>
      <c r="CS14" s="31">
        <f>IF(CS8="","",(CS8*CS8)/10000)</f>
      </c>
      <c r="CT14" s="31">
        <f>IF(CT8="","",(CT8*CT8)/10000)</f>
      </c>
      <c r="CU14" s="31">
        <f>IF(CU8="","",(CU8*CU8)/10000)</f>
      </c>
      <c r="CV14" s="31">
        <f>IF(CV8="","",(CV8*CV8)/10000)</f>
      </c>
      <c r="CW14" s="31">
        <f>IF(CW8="","",(CW8*CW8)/10000)</f>
      </c>
      <c r="CX14" s="31">
        <f>IF(CX8="","",(CX8*CX8)/10000)</f>
      </c>
      <c r="CY14" s="31">
        <f>IF(CY8="","",(CY8*CY8)/10000)</f>
      </c>
      <c r="CZ14" s="31">
        <f>IF(CZ8="","",(CZ8*CZ8)/10000)</f>
      </c>
      <c r="DA14" s="31">
        <f>IF(DA8="","",(DA8*DA8)/10000)</f>
      </c>
      <c r="DB14" s="31">
        <f>IF(DB8="","",(DB8*DB8)/10000)</f>
      </c>
      <c r="DC14" s="31">
        <f>IF(DC8="","",(DC8*DC8)/10000)</f>
        <v>2.337999981296001E-06</v>
      </c>
      <c r="DD14" s="31">
        <f>IF(DD8="","",(DD8*DD8)/10000)</f>
      </c>
      <c r="DE14" s="31">
        <f>IF(DE8="","",(DE8*DE8)/10000)</f>
      </c>
      <c r="DF14" s="31">
        <f>IF(DF8="","",(DF8*DF8)/10000)</f>
      </c>
      <c r="DG14" s="31">
        <f>IF(DG8="","",(DG8*DG8)/10000)</f>
      </c>
      <c r="DH14" s="31">
        <f>IF(DH8="","",(DH8*DH8)/10000)</f>
      </c>
      <c r="DI14" s="31">
        <f>IF(DI8="","",(DI8*DI8)/10000)</f>
      </c>
      <c r="DJ14" s="31">
        <f>IF(DJ8="","",(DJ8*DJ8)/10000)</f>
      </c>
      <c r="DK14" s="31">
        <f>IF(DK8="","",(DK8*DK8)/10000)</f>
        <v>5.844999953240002E-05</v>
      </c>
      <c r="DL14" s="31">
        <f>IF(DL8="","",(DL8*DL8)/10000)</f>
      </c>
      <c r="DM14" s="31">
        <f>IF(DM8="","",(DM8*DM8)/10000)</f>
      </c>
      <c r="DN14" s="31">
        <f>IF(DN8="","",(DN8*DN8)/10000)</f>
      </c>
      <c r="DO14" s="31">
        <f>IF(DO8="","",(DO8*DO8)/10000)</f>
      </c>
      <c r="DP14" s="31">
        <f>IF(DP8="","",(DP8*DP8)/10000)</f>
      </c>
      <c r="DQ14" s="31">
        <f>IF(DQ8="","",(DQ8*DQ8)/10000)</f>
      </c>
      <c r="DR14" s="31">
        <f>IF(DR8="","",(DR8*DR8)/10000)</f>
        <v>9.351999925184004E-06</v>
      </c>
      <c r="DS14" s="31">
        <f>IF(DS8="","",(DS8*DS8)/10000)</f>
      </c>
      <c r="DT14" s="31">
        <f>IF(DT8="","",(DT8*DT8)/10000)</f>
      </c>
      <c r="DU14" s="31">
        <f>IF(DU8="","",(DU8*DU8)/10000)</f>
      </c>
      <c r="DV14" s="31">
        <f>IF(DV8="","",(DV8*DV8)/10000)</f>
      </c>
      <c r="DW14" s="31">
        <f>IF(DW8="","",(DW8*DW8)/10000)</f>
      </c>
      <c r="DX14" s="31">
        <f>IF(DX8="","",(DX8*DX8)/10000)</f>
      </c>
      <c r="DY14" s="31">
        <f>IF(DY8="","",(DY8*DY8)/10000)</f>
        <v>8.416799932665602E-05</v>
      </c>
      <c r="DZ14" s="31">
        <f>IF(DZ8="","",(DZ8*DZ8)/10000)</f>
        <v>2.337999981296001E-06</v>
      </c>
      <c r="EA14" s="31">
        <f>IF(EA8="","",(EA8*EA8)/10000)</f>
        <v>2.337999981296001E-06</v>
      </c>
      <c r="EB14" s="31">
        <f>IF(EB8="","",(EB8*EB8)/10000)</f>
      </c>
      <c r="EC14" s="31">
        <f>IF(EC8="","",(EC8*EC8)/10000)</f>
      </c>
      <c r="ED14" s="31">
        <f>IF(ED8="","",(ED8*ED8)/10000)</f>
        <v>0.0005260499957916</v>
      </c>
      <c r="EE14" s="31">
        <f>IF(EE8="","",(EE8*EE8)/10000)</f>
        <v>2.1041999831664005E-05</v>
      </c>
      <c r="EF14" s="31">
        <f>IF(EF8="","",(EF8*EF8)/10000)</f>
      </c>
      <c r="EG14" s="31">
        <f>IF(EG8="","",(EG8*EG8)/10000)</f>
      </c>
      <c r="EH14" s="31">
        <f>IF(EH8="","",(EH8*EH8)/10000)</f>
      </c>
      <c r="EI14" s="31">
        <f>IF(EI8="","",(EI8*EI8)/10000)</f>
      </c>
      <c r="EJ14" s="31">
        <f>IF(EJ8="","",(EJ8*EJ8)/10000)</f>
        <v>2.337999981296001E-06</v>
      </c>
      <c r="EK14" s="31">
        <f>IF(EK8="","",(EK8*EK8)/10000)</f>
      </c>
      <c r="EL14" s="31"/>
      <c r="EM14" s="31"/>
      <c r="EN14" s="31"/>
      <c r="EO14" s="31"/>
      <c r="EP14" s="31"/>
      <c r="EQ14" s="31">
        <f>IF(EQ8="","",(EQ8*EQ8)/10000)</f>
      </c>
      <c r="ER14" s="31">
        <f>IF(ER8="","",(ER8*ER8)/10000)</f>
      </c>
      <c r="ES14" s="31">
        <f>IF(ES8="","",(ES8*ES8)/10000)</f>
      </c>
      <c r="ET14" s="31">
        <f>IF(ET8="","",(ET8*ET8)/10000)</f>
      </c>
      <c r="EU14" s="31">
        <f>IF(EU8="","",(EU8*EU8)/10000)</f>
      </c>
      <c r="EV14" s="31">
        <f>IF(EV8="","",(EV8*EV8)/10000)</f>
      </c>
      <c r="EW14" s="31">
        <f>IF(EW8="","",(EW8*EW8)/10000)</f>
      </c>
      <c r="EX14" s="31">
        <f>IF(EX8="","",(EX8*EX8)/10000)</f>
      </c>
      <c r="EY14" s="31">
        <f>IF(EY8="","",(EY8*EY8)/10000)</f>
      </c>
    </row>
    <row r="15" spans="2:153" s="76" customFormat="1" ht="12.75">
      <c r="B15" s="77"/>
      <c r="C15" s="7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</row>
    <row r="16" spans="2:153" ht="18">
      <c r="B16" s="27" t="s">
        <v>43</v>
      </c>
      <c r="C16" s="86"/>
      <c r="D16" s="42"/>
      <c r="E16" s="43"/>
      <c r="F16" s="37"/>
      <c r="G16" s="37"/>
      <c r="H16" s="37"/>
      <c r="I16" s="37"/>
      <c r="J16" s="67"/>
      <c r="K16" s="67"/>
      <c r="L16" s="67"/>
      <c r="M16" s="67"/>
      <c r="N16" s="6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</row>
    <row r="17" spans="2:153" ht="12.75">
      <c r="B17" s="20" t="s">
        <v>404</v>
      </c>
      <c r="C17" s="53">
        <f>IF(SUM('ENTRY '!M2:M404)=0,"",COUNT('ENTRY '!M2:M404))</f>
        <v>403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</row>
    <row r="18" spans="2:153" ht="12.75">
      <c r="B18" s="1" t="s">
        <v>97</v>
      </c>
      <c r="C18" s="53">
        <f>IF(SUM('ENTRY '!G2:G404)=0,"",COUNT('ENTRY '!G2:G404))</f>
        <v>157</v>
      </c>
      <c r="D18" s="45"/>
      <c r="E18" s="45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</row>
    <row r="19" spans="2:153" ht="12.75">
      <c r="B19" s="1" t="s">
        <v>98</v>
      </c>
      <c r="C19" s="53">
        <f>IF(SUM('ENTRY '!H2:H404)=0,"",SUM('ENTRY '!H2:H404))</f>
        <v>224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</row>
    <row r="20" spans="2:153" ht="12.75">
      <c r="B20" s="18" t="s">
        <v>24</v>
      </c>
      <c r="C20" s="54">
        <f>IF(C19="","",(C18/C19)*100)</f>
        <v>70.08928571428571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</row>
    <row r="21" spans="2:153" ht="12.75">
      <c r="B21" s="1" t="s">
        <v>3</v>
      </c>
      <c r="C21" s="54">
        <f>IF(C14="","",(1-C14))</f>
        <v>0.9304257965565936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</row>
    <row r="22" spans="2:153" ht="15" customHeight="1">
      <c r="B22" s="1" t="s">
        <v>332</v>
      </c>
      <c r="C22" s="54">
        <f>IF(SUM('ENTRY '!G2:G404)=0,"",MAX('ENTRY '!G2:G404))</f>
        <v>14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</row>
    <row r="23" spans="2:153" ht="12.75">
      <c r="B23" s="1" t="s">
        <v>99</v>
      </c>
      <c r="C23" s="55">
        <f>IF($C$17="","",COUNTIF('ENTRY '!O2:O404,"R"))</f>
        <v>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</row>
    <row r="24" spans="2:153" ht="12.75">
      <c r="B24" s="1" t="s">
        <v>49</v>
      </c>
      <c r="C24" s="55">
        <f>IF($C$17="","",COUNTIF('ENTRY '!O2:O404,"P"))</f>
        <v>234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</row>
    <row r="25" spans="2:153" ht="12.75">
      <c r="B25" s="1" t="s">
        <v>59</v>
      </c>
      <c r="C25" s="56">
        <f>IF($C$17="","",(IF(SUM('ENTRY '!E2:E404)=0,"",AVERAGE('ENTRY '!E2:E404))))</f>
        <v>2.919642857142857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</row>
    <row r="26" spans="2:153" ht="12.75">
      <c r="B26" s="1" t="s">
        <v>100</v>
      </c>
      <c r="C26" s="56">
        <f>IF(SUM('ENTRY '!C2:C404)=0,"",AVERAGE('ENTRY '!C2:C404))</f>
        <v>4.165605095541402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</row>
    <row r="27" spans="2:153" ht="12.75">
      <c r="B27" s="1" t="s">
        <v>55</v>
      </c>
      <c r="C27" s="56">
        <f>IF(SUM('ENTRY '!F2:F404)=0,"",AVERAGE('ENTRY '!F2:F404))</f>
        <v>2.919642857142857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</row>
    <row r="28" spans="2:153" ht="12.75">
      <c r="B28" s="1" t="s">
        <v>101</v>
      </c>
      <c r="C28" s="56">
        <f>IF(SUM('ENTRY '!D2:D404)=0,"",AVERAGE('ENTRY '!D2:D404))</f>
        <v>4.165605095541402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</row>
    <row r="29" spans="2:153" ht="12.75">
      <c r="B29" s="1" t="s">
        <v>61</v>
      </c>
      <c r="C29" s="53">
        <f>IF(SUM(D9:EK9,EQ9:EY9)=0,"",COUNT(D9:EK9,EQ9:EY9))</f>
        <v>34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</row>
    <row r="30" spans="2:153" ht="12.75">
      <c r="B30" s="1" t="s">
        <v>60</v>
      </c>
      <c r="C30" s="53">
        <f>IF($C$17="","",SUM((COUNTIF(D13:EK13,"present")),(COUNTIF(EQ13:EY13,"present"))))</f>
        <v>38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</row>
    <row r="31" spans="2:153" ht="12.75">
      <c r="B31" s="1" t="s">
        <v>554</v>
      </c>
      <c r="C31" s="5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</row>
    <row r="32" spans="2:153" ht="15" customHeight="1">
      <c r="B32" s="1" t="s">
        <v>552</v>
      </c>
      <c r="C32" s="54">
        <f>IF(SUM('ENTRY '!G2:G404)=0,"",AVERAGE('ENTRY '!G2:G404))</f>
        <v>5.464968152866242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</row>
    <row r="33" spans="2:153" ht="15" customHeight="1">
      <c r="B33" s="1" t="s">
        <v>553</v>
      </c>
      <c r="C33" s="54">
        <f>IF(SUM('ENTRY '!G2:G404)=0,"",MEDIAN('ENTRY '!G2:G404))</f>
        <v>4.5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</row>
    <row r="34" spans="2:3" ht="12.75">
      <c r="B34" s="1" t="s">
        <v>557</v>
      </c>
      <c r="C34" s="54">
        <f>IF(C17="","",AVERAGE('ENTRY '!Q2:Q426))</f>
        <v>2.127388535031847</v>
      </c>
    </row>
    <row r="35" ht="15.75">
      <c r="B35" s="101" t="s">
        <v>331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F6:EP6 D1:E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68"/>
  <sheetViews>
    <sheetView tabSelected="1" zoomScale="85" zoomScaleNormal="85" zoomScalePageLayoutView="0" workbookViewId="0" topLeftCell="A1">
      <pane xSplit="2" ySplit="1" topLeftCell="C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5" sqref="G35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52" bestFit="1" customWidth="1"/>
    <col min="4" max="42" width="6.7109375" style="0" customWidth="1"/>
    <col min="43" max="16384" width="5.7109375" style="37" customWidth="1"/>
  </cols>
  <sheetData>
    <row r="1" spans="1:43" s="25" customFormat="1" ht="138" customHeight="1">
      <c r="A1" s="62"/>
      <c r="B1" s="51" t="s">
        <v>17</v>
      </c>
      <c r="C1" s="154" t="s">
        <v>14</v>
      </c>
      <c r="D1" s="157" t="s">
        <v>556</v>
      </c>
      <c r="E1" s="157" t="s">
        <v>417</v>
      </c>
      <c r="F1" s="157" t="s">
        <v>424</v>
      </c>
      <c r="G1" s="157" t="s">
        <v>558</v>
      </c>
      <c r="H1" s="157" t="s">
        <v>433</v>
      </c>
      <c r="I1" s="157" t="s">
        <v>435</v>
      </c>
      <c r="J1" s="157" t="s">
        <v>441</v>
      </c>
      <c r="K1" s="157" t="s">
        <v>459</v>
      </c>
      <c r="L1" s="157" t="s">
        <v>461</v>
      </c>
      <c r="M1" s="157" t="s">
        <v>462</v>
      </c>
      <c r="N1" s="157" t="s">
        <v>467</v>
      </c>
      <c r="O1" s="157" t="s">
        <v>471</v>
      </c>
      <c r="P1" s="157" t="s">
        <v>472</v>
      </c>
      <c r="Q1" s="157" t="s">
        <v>475</v>
      </c>
      <c r="R1" s="157" t="s">
        <v>477</v>
      </c>
      <c r="S1" s="157" t="s">
        <v>479</v>
      </c>
      <c r="T1" s="157" t="s">
        <v>483</v>
      </c>
      <c r="U1" s="157" t="s">
        <v>484</v>
      </c>
      <c r="V1" s="157" t="s">
        <v>485</v>
      </c>
      <c r="W1" s="157" t="s">
        <v>486</v>
      </c>
      <c r="X1" s="157" t="s">
        <v>488</v>
      </c>
      <c r="Y1" s="157" t="s">
        <v>489</v>
      </c>
      <c r="Z1" s="157" t="s">
        <v>493</v>
      </c>
      <c r="AA1" s="157" t="s">
        <v>495</v>
      </c>
      <c r="AB1" s="157" t="s">
        <v>496</v>
      </c>
      <c r="AC1" s="157" t="s">
        <v>497</v>
      </c>
      <c r="AD1" s="157" t="s">
        <v>501</v>
      </c>
      <c r="AE1" s="157" t="s">
        <v>507</v>
      </c>
      <c r="AF1" s="157" t="s">
        <v>513</v>
      </c>
      <c r="AG1" s="157" t="s">
        <v>516</v>
      </c>
      <c r="AH1" s="157" t="s">
        <v>521</v>
      </c>
      <c r="AI1" s="157" t="s">
        <v>528</v>
      </c>
      <c r="AJ1" s="157" t="s">
        <v>535</v>
      </c>
      <c r="AK1" s="157" t="s">
        <v>536</v>
      </c>
      <c r="AL1" s="157" t="s">
        <v>537</v>
      </c>
      <c r="AM1" s="157" t="s">
        <v>540</v>
      </c>
      <c r="AN1" s="157" t="s">
        <v>541</v>
      </c>
      <c r="AO1" s="35" t="s">
        <v>546</v>
      </c>
      <c r="AP1" s="157" t="s">
        <v>401</v>
      </c>
      <c r="AQ1" s="35"/>
    </row>
    <row r="2" spans="1:42" s="25" customFormat="1" ht="12.75" customHeight="1">
      <c r="A2" s="63" t="s">
        <v>93</v>
      </c>
      <c r="B2" s="61" t="s">
        <v>560</v>
      </c>
      <c r="C2" s="50"/>
      <c r="D2" s="60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</row>
    <row r="3" spans="1:42" s="25" customFormat="1" ht="12.75" customHeight="1">
      <c r="A3" s="63" t="s">
        <v>44</v>
      </c>
      <c r="B3" s="61">
        <v>2436000</v>
      </c>
      <c r="C3" s="50"/>
      <c r="D3" s="60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</row>
    <row r="4" spans="1:42" s="25" customFormat="1" ht="12.75" customHeight="1">
      <c r="A4" s="63" t="s">
        <v>46</v>
      </c>
      <c r="B4" s="61" t="s">
        <v>561</v>
      </c>
      <c r="C4" s="50"/>
      <c r="D4" s="60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25" customFormat="1" ht="12.75" customHeight="1">
      <c r="A5" s="64" t="s">
        <v>66</v>
      </c>
      <c r="B5" s="68" t="s">
        <v>624</v>
      </c>
      <c r="C5" s="50"/>
      <c r="D5" s="60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2:42" s="25" customFormat="1" ht="15" customHeight="1">
      <c r="B6" s="24" t="s">
        <v>42</v>
      </c>
      <c r="C6" s="50"/>
      <c r="D6" s="46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2:42" ht="12.75">
      <c r="B7" s="1" t="s">
        <v>102</v>
      </c>
      <c r="C7" s="65"/>
      <c r="D7" s="47">
        <v>2</v>
      </c>
      <c r="E7" s="47">
        <v>12</v>
      </c>
      <c r="F7" s="47">
        <v>77</v>
      </c>
      <c r="G7" s="47">
        <v>31</v>
      </c>
      <c r="H7" s="47">
        <v>3</v>
      </c>
      <c r="I7" s="47">
        <v>20</v>
      </c>
      <c r="J7" s="47">
        <v>15</v>
      </c>
      <c r="K7" s="47">
        <v>47</v>
      </c>
      <c r="L7" s="47">
        <v>3</v>
      </c>
      <c r="M7" s="47">
        <v>64</v>
      </c>
      <c r="N7" s="47">
        <v>36</v>
      </c>
      <c r="O7" s="47">
        <v>45</v>
      </c>
      <c r="P7" s="47">
        <v>54</v>
      </c>
      <c r="Q7" s="47" t="s">
        <v>622</v>
      </c>
      <c r="R7" s="47">
        <v>5</v>
      </c>
      <c r="S7" s="47">
        <v>10</v>
      </c>
      <c r="T7" s="47">
        <v>1</v>
      </c>
      <c r="U7" s="47">
        <v>5</v>
      </c>
      <c r="V7" s="47">
        <v>19</v>
      </c>
      <c r="W7" s="47" t="s">
        <v>622</v>
      </c>
      <c r="X7" s="47">
        <v>2</v>
      </c>
      <c r="Y7" s="47">
        <v>6</v>
      </c>
      <c r="Z7" s="47">
        <v>13</v>
      </c>
      <c r="AA7" s="47">
        <v>41</v>
      </c>
      <c r="AB7" s="47">
        <v>1</v>
      </c>
      <c r="AC7" s="47">
        <v>30</v>
      </c>
      <c r="AD7" s="47">
        <v>77</v>
      </c>
      <c r="AE7" s="47" t="s">
        <v>622</v>
      </c>
      <c r="AF7" s="47">
        <v>1</v>
      </c>
      <c r="AG7" s="47" t="s">
        <v>622</v>
      </c>
      <c r="AH7" s="47">
        <v>5</v>
      </c>
      <c r="AI7" s="47">
        <v>2</v>
      </c>
      <c r="AJ7" s="47">
        <v>6</v>
      </c>
      <c r="AK7" s="47">
        <v>1</v>
      </c>
      <c r="AL7" s="47">
        <v>1</v>
      </c>
      <c r="AM7" s="47">
        <v>15</v>
      </c>
      <c r="AN7" s="47">
        <v>3</v>
      </c>
      <c r="AO7" s="47">
        <v>1</v>
      </c>
      <c r="AP7" s="47">
        <v>28</v>
      </c>
    </row>
    <row r="8" spans="1:42" s="84" customFormat="1" ht="12.75" customHeight="1">
      <c r="A8" s="19"/>
      <c r="B8" s="18" t="s">
        <v>1</v>
      </c>
      <c r="C8" s="54"/>
      <c r="D8" s="48">
        <v>0.30581039755351686</v>
      </c>
      <c r="E8" s="48">
        <v>1.834862385321101</v>
      </c>
      <c r="F8" s="48">
        <v>11.773700305810399</v>
      </c>
      <c r="G8" s="48">
        <v>4.7400611620795114</v>
      </c>
      <c r="H8" s="48">
        <v>0.45871559633027525</v>
      </c>
      <c r="I8" s="48">
        <v>3.0581039755351687</v>
      </c>
      <c r="J8" s="48">
        <v>2.293577981651376</v>
      </c>
      <c r="K8" s="48">
        <v>7.186544342507647</v>
      </c>
      <c r="L8" s="48">
        <v>0.45871559633027525</v>
      </c>
      <c r="M8" s="48">
        <v>9.78593272171254</v>
      </c>
      <c r="N8" s="48">
        <v>5.504587155963304</v>
      </c>
      <c r="O8" s="48">
        <v>6.880733944954129</v>
      </c>
      <c r="P8" s="48">
        <v>8.256880733944955</v>
      </c>
      <c r="Q8" s="48" t="s">
        <v>622</v>
      </c>
      <c r="R8" s="48">
        <v>0.7645259938837922</v>
      </c>
      <c r="S8" s="48">
        <v>1.5290519877675843</v>
      </c>
      <c r="T8" s="48">
        <v>0.15290519877675843</v>
      </c>
      <c r="U8" s="48">
        <v>0.7645259938837922</v>
      </c>
      <c r="V8" s="48">
        <v>2.9051987767584104</v>
      </c>
      <c r="W8" s="48" t="s">
        <v>622</v>
      </c>
      <c r="X8" s="48">
        <v>0.30581039755351686</v>
      </c>
      <c r="Y8" s="48">
        <v>0.9174311926605505</v>
      </c>
      <c r="Z8" s="48">
        <v>1.9877675840978597</v>
      </c>
      <c r="AA8" s="48">
        <v>6.269113149847095</v>
      </c>
      <c r="AB8" s="48">
        <v>0.15290519877675843</v>
      </c>
      <c r="AC8" s="48">
        <v>4.587155963302752</v>
      </c>
      <c r="AD8" s="48">
        <v>11.773700305810399</v>
      </c>
      <c r="AE8" s="48" t="s">
        <v>622</v>
      </c>
      <c r="AF8" s="48">
        <v>0.15290519877675843</v>
      </c>
      <c r="AG8" s="48" t="s">
        <v>622</v>
      </c>
      <c r="AH8" s="48">
        <v>0.7645259938837922</v>
      </c>
      <c r="AI8" s="48">
        <v>0.30581039755351686</v>
      </c>
      <c r="AJ8" s="48">
        <v>0.9174311926605505</v>
      </c>
      <c r="AK8" s="48">
        <v>0.15290519877675843</v>
      </c>
      <c r="AL8" s="48">
        <v>0.15290519877675843</v>
      </c>
      <c r="AM8" s="48">
        <v>2.293577981651376</v>
      </c>
      <c r="AN8" s="48">
        <v>0.45871559633027525</v>
      </c>
      <c r="AO8" s="48">
        <v>0.15290519877675843</v>
      </c>
      <c r="AP8" s="48"/>
    </row>
    <row r="9" spans="1:42" s="83" customFormat="1" ht="12.75" customHeight="1">
      <c r="A9" s="57"/>
      <c r="B9" s="57" t="s">
        <v>16</v>
      </c>
      <c r="C9" s="54"/>
      <c r="D9" s="59">
        <v>1.2738853503184715</v>
      </c>
      <c r="E9" s="59">
        <v>7.643312101910828</v>
      </c>
      <c r="F9" s="59">
        <v>49.044585987261144</v>
      </c>
      <c r="G9" s="59">
        <v>19.745222929936308</v>
      </c>
      <c r="H9" s="59">
        <v>1.910828025477707</v>
      </c>
      <c r="I9" s="59">
        <v>12.738853503184714</v>
      </c>
      <c r="J9" s="59">
        <v>9.554140127388536</v>
      </c>
      <c r="K9" s="59">
        <v>29.936305732484076</v>
      </c>
      <c r="L9" s="59">
        <v>1.910828025477707</v>
      </c>
      <c r="M9" s="59">
        <v>40.76433121019109</v>
      </c>
      <c r="N9" s="59">
        <v>22.929936305732486</v>
      </c>
      <c r="O9" s="59">
        <v>28.662420382165603</v>
      </c>
      <c r="P9" s="59">
        <v>34.394904458598724</v>
      </c>
      <c r="Q9" s="59" t="s">
        <v>622</v>
      </c>
      <c r="R9" s="59">
        <v>3.1847133757961785</v>
      </c>
      <c r="S9" s="59">
        <v>6.369426751592357</v>
      </c>
      <c r="T9" s="59">
        <v>0.6369426751592357</v>
      </c>
      <c r="U9" s="59">
        <v>3.1847133757961785</v>
      </c>
      <c r="V9" s="59">
        <v>12.101910828025478</v>
      </c>
      <c r="W9" s="59" t="s">
        <v>622</v>
      </c>
      <c r="X9" s="59">
        <v>1.2738853503184715</v>
      </c>
      <c r="Y9" s="59">
        <v>3.821656050955414</v>
      </c>
      <c r="Z9" s="59">
        <v>8.280254777070063</v>
      </c>
      <c r="AA9" s="59">
        <v>26.11464968152866</v>
      </c>
      <c r="AB9" s="59">
        <v>0.6369426751592357</v>
      </c>
      <c r="AC9" s="59">
        <v>19.10828025477707</v>
      </c>
      <c r="AD9" s="59">
        <v>49.044585987261144</v>
      </c>
      <c r="AE9" s="59" t="s">
        <v>622</v>
      </c>
      <c r="AF9" s="59">
        <v>0.6369426751592357</v>
      </c>
      <c r="AG9" s="59" t="s">
        <v>622</v>
      </c>
      <c r="AH9" s="59">
        <v>3.1847133757961785</v>
      </c>
      <c r="AI9" s="59">
        <v>1.2738853503184715</v>
      </c>
      <c r="AJ9" s="59">
        <v>3.821656050955414</v>
      </c>
      <c r="AK9" s="59">
        <v>0.6369426751592357</v>
      </c>
      <c r="AL9" s="59">
        <v>0.6369426751592357</v>
      </c>
      <c r="AM9" s="59">
        <v>9.554140127388536</v>
      </c>
      <c r="AN9" s="59">
        <v>1.910828025477707</v>
      </c>
      <c r="AO9" s="59">
        <v>0.6369426751592357</v>
      </c>
      <c r="AP9" s="59">
        <v>17.8343949044586</v>
      </c>
    </row>
    <row r="10" spans="1:42" s="83" customFormat="1" ht="11.25" customHeight="1">
      <c r="A10" s="57"/>
      <c r="B10" s="57" t="s">
        <v>24</v>
      </c>
      <c r="C10" s="56"/>
      <c r="D10" s="59">
        <v>0.8928571428571428</v>
      </c>
      <c r="E10" s="59">
        <v>5.357142857142857</v>
      </c>
      <c r="F10" s="59">
        <v>34.375</v>
      </c>
      <c r="G10" s="59">
        <v>13.839285714285715</v>
      </c>
      <c r="H10" s="59">
        <v>1.3392857142857142</v>
      </c>
      <c r="I10" s="59">
        <v>8.928571428571429</v>
      </c>
      <c r="J10" s="59">
        <v>6.696428571428571</v>
      </c>
      <c r="K10" s="59">
        <v>20.982142857142858</v>
      </c>
      <c r="L10" s="59">
        <v>1.3392857142857142</v>
      </c>
      <c r="M10" s="59">
        <v>28.57142857142857</v>
      </c>
      <c r="N10" s="59">
        <v>16.071428571428573</v>
      </c>
      <c r="O10" s="59">
        <v>20.089285714285715</v>
      </c>
      <c r="P10" s="59">
        <v>24.107142857142858</v>
      </c>
      <c r="Q10" s="59" t="s">
        <v>622</v>
      </c>
      <c r="R10" s="59">
        <v>2.232142857142857</v>
      </c>
      <c r="S10" s="59">
        <v>4.464285714285714</v>
      </c>
      <c r="T10" s="59">
        <v>0.4464285714285714</v>
      </c>
      <c r="U10" s="59">
        <v>2.232142857142857</v>
      </c>
      <c r="V10" s="59">
        <v>8.482142857142858</v>
      </c>
      <c r="W10" s="59" t="s">
        <v>622</v>
      </c>
      <c r="X10" s="59">
        <v>0.8928571428571428</v>
      </c>
      <c r="Y10" s="59">
        <v>2.6785714285714284</v>
      </c>
      <c r="Z10" s="59">
        <v>5.803571428571429</v>
      </c>
      <c r="AA10" s="59">
        <v>18.303571428571427</v>
      </c>
      <c r="AB10" s="59">
        <v>0.4464285714285714</v>
      </c>
      <c r="AC10" s="59">
        <v>13.392857142857142</v>
      </c>
      <c r="AD10" s="59">
        <v>34.375</v>
      </c>
      <c r="AE10" s="59" t="s">
        <v>622</v>
      </c>
      <c r="AF10" s="59">
        <v>0.4464285714285714</v>
      </c>
      <c r="AG10" s="59" t="s">
        <v>622</v>
      </c>
      <c r="AH10" s="59">
        <v>2.232142857142857</v>
      </c>
      <c r="AI10" s="59">
        <v>0.8928571428571428</v>
      </c>
      <c r="AJ10" s="59">
        <v>2.6785714285714284</v>
      </c>
      <c r="AK10" s="59">
        <v>0.4464285714285714</v>
      </c>
      <c r="AL10" s="59">
        <v>0.4464285714285714</v>
      </c>
      <c r="AM10" s="59">
        <v>6.696428571428571</v>
      </c>
      <c r="AN10" s="59">
        <v>1.3392857142857142</v>
      </c>
      <c r="AO10" s="59">
        <v>0.4464285714285714</v>
      </c>
      <c r="AP10" s="59">
        <v>12.5</v>
      </c>
    </row>
    <row r="11" spans="1:42" s="82" customFormat="1" ht="12.75">
      <c r="A11" s="75"/>
      <c r="B11" s="57" t="s">
        <v>64</v>
      </c>
      <c r="C11" s="65">
        <v>2.127388535031847</v>
      </c>
      <c r="D11" s="26">
        <v>1</v>
      </c>
      <c r="E11" s="26">
        <v>1.4166666666666667</v>
      </c>
      <c r="F11" s="26">
        <v>1.1948051948051948</v>
      </c>
      <c r="G11" s="26">
        <v>1.8064516129032258</v>
      </c>
      <c r="H11" s="26">
        <v>1.3333333333333333</v>
      </c>
      <c r="I11" s="26">
        <v>1.25</v>
      </c>
      <c r="J11" s="26">
        <v>1.1333333333333333</v>
      </c>
      <c r="K11" s="26">
        <v>1.3191489361702127</v>
      </c>
      <c r="L11" s="26">
        <v>1</v>
      </c>
      <c r="M11" s="26">
        <v>1.125</v>
      </c>
      <c r="N11" s="26">
        <v>1.4722222222222223</v>
      </c>
      <c r="O11" s="26">
        <v>2.066666666666667</v>
      </c>
      <c r="P11" s="26">
        <v>1.7222222222222223</v>
      </c>
      <c r="Q11" s="26" t="s">
        <v>622</v>
      </c>
      <c r="R11" s="26">
        <v>2</v>
      </c>
      <c r="S11" s="26">
        <v>1.1</v>
      </c>
      <c r="T11" s="26">
        <v>1</v>
      </c>
      <c r="U11" s="26">
        <v>1.4</v>
      </c>
      <c r="V11" s="26">
        <v>1.4210526315789473</v>
      </c>
      <c r="W11" s="26" t="s">
        <v>622</v>
      </c>
      <c r="X11" s="26">
        <v>1</v>
      </c>
      <c r="Y11" s="26">
        <v>1</v>
      </c>
      <c r="Z11" s="26">
        <v>1.2307692307692308</v>
      </c>
      <c r="AA11" s="26">
        <v>1.2195121951219512</v>
      </c>
      <c r="AB11" s="26">
        <v>1</v>
      </c>
      <c r="AC11" s="26">
        <v>1.2333333333333334</v>
      </c>
      <c r="AD11" s="26">
        <v>1.3766233766233766</v>
      </c>
      <c r="AE11" s="26" t="s">
        <v>622</v>
      </c>
      <c r="AF11" s="26">
        <v>2</v>
      </c>
      <c r="AG11" s="26" t="s">
        <v>622</v>
      </c>
      <c r="AH11" s="26">
        <v>1</v>
      </c>
      <c r="AI11" s="26">
        <v>1</v>
      </c>
      <c r="AJ11" s="26">
        <v>1.1666666666666667</v>
      </c>
      <c r="AK11" s="26">
        <v>3</v>
      </c>
      <c r="AL11" s="26">
        <v>1</v>
      </c>
      <c r="AM11" s="26">
        <v>1.1333333333333333</v>
      </c>
      <c r="AN11" s="26">
        <v>1</v>
      </c>
      <c r="AO11" s="26">
        <v>1</v>
      </c>
      <c r="AP11" s="26">
        <v>1.1785714285714286</v>
      </c>
    </row>
    <row r="12" spans="1:42" s="80" customFormat="1" ht="12.75">
      <c r="A12" s="38"/>
      <c r="B12" s="28" t="s">
        <v>62</v>
      </c>
      <c r="C12" s="66"/>
      <c r="D12" s="49">
        <v>3</v>
      </c>
      <c r="E12" s="49" t="s">
        <v>622</v>
      </c>
      <c r="F12" s="49">
        <v>9</v>
      </c>
      <c r="G12" s="49" t="s">
        <v>622</v>
      </c>
      <c r="H12" s="49">
        <v>2</v>
      </c>
      <c r="I12" s="49">
        <v>1</v>
      </c>
      <c r="J12" s="49">
        <v>4</v>
      </c>
      <c r="K12" s="49">
        <v>15</v>
      </c>
      <c r="L12" s="49">
        <v>2</v>
      </c>
      <c r="M12" s="49">
        <v>1</v>
      </c>
      <c r="N12" s="49" t="s">
        <v>622</v>
      </c>
      <c r="O12" s="49">
        <v>10</v>
      </c>
      <c r="P12" s="49">
        <v>14</v>
      </c>
      <c r="Q12" s="49">
        <v>1</v>
      </c>
      <c r="R12" s="49">
        <v>3</v>
      </c>
      <c r="S12" s="49">
        <v>9</v>
      </c>
      <c r="T12" s="49" t="s">
        <v>622</v>
      </c>
      <c r="U12" s="49">
        <v>3</v>
      </c>
      <c r="V12" s="49">
        <v>8</v>
      </c>
      <c r="W12" s="49">
        <v>1</v>
      </c>
      <c r="X12" s="49" t="s">
        <v>622</v>
      </c>
      <c r="Y12" s="49">
        <v>3</v>
      </c>
      <c r="Z12" s="49">
        <v>6</v>
      </c>
      <c r="AA12" s="49">
        <v>12</v>
      </c>
      <c r="AB12" s="49">
        <v>3</v>
      </c>
      <c r="AC12" s="49" t="s">
        <v>622</v>
      </c>
      <c r="AD12" s="49">
        <v>11</v>
      </c>
      <c r="AE12" s="49">
        <v>1</v>
      </c>
      <c r="AF12" s="49">
        <v>1</v>
      </c>
      <c r="AG12" s="49">
        <v>2</v>
      </c>
      <c r="AH12" s="49">
        <v>5</v>
      </c>
      <c r="AI12" s="49" t="s">
        <v>622</v>
      </c>
      <c r="AJ12" s="49" t="s">
        <v>622</v>
      </c>
      <c r="AK12" s="49" t="s">
        <v>622</v>
      </c>
      <c r="AL12" s="49" t="s">
        <v>622</v>
      </c>
      <c r="AM12" s="49">
        <v>8</v>
      </c>
      <c r="AN12" s="49">
        <v>1</v>
      </c>
      <c r="AO12" s="49" t="s">
        <v>622</v>
      </c>
      <c r="AP12" s="49" t="s">
        <v>622</v>
      </c>
    </row>
    <row r="13" spans="1:42" s="85" customFormat="1" ht="12.75">
      <c r="A13" s="30"/>
      <c r="B13" s="30" t="s">
        <v>2</v>
      </c>
      <c r="C13" s="26">
        <v>0.06957420344340641</v>
      </c>
      <c r="D13" s="31">
        <v>9.351999925184004E-06</v>
      </c>
      <c r="E13" s="31">
        <v>0.0003366719973066241</v>
      </c>
      <c r="F13" s="31">
        <v>0.013862001889103987</v>
      </c>
      <c r="G13" s="31">
        <v>0.002246817982025457</v>
      </c>
      <c r="H13" s="31">
        <v>2.1041999831664005E-05</v>
      </c>
      <c r="I13" s="31">
        <v>0.0009351999925184003</v>
      </c>
      <c r="J13" s="31">
        <v>0.0005260499957916</v>
      </c>
      <c r="K13" s="31">
        <v>0.005164641958682867</v>
      </c>
      <c r="L13" s="31">
        <v>2.1041999831664005E-05</v>
      </c>
      <c r="M13" s="31">
        <v>0.00957644792338842</v>
      </c>
      <c r="N13" s="31">
        <v>0.0030300479757596178</v>
      </c>
      <c r="O13" s="31">
        <v>0.004734449962124402</v>
      </c>
      <c r="P13" s="31">
        <v>0.006817607945459139</v>
      </c>
      <c r="Q13" s="31" t="s">
        <v>622</v>
      </c>
      <c r="R13" s="31">
        <v>5.844999953240002E-05</v>
      </c>
      <c r="S13" s="31">
        <v>0.00023379999812960008</v>
      </c>
      <c r="T13" s="31">
        <v>2.337999981296001E-06</v>
      </c>
      <c r="U13" s="31">
        <v>5.844999953240002E-05</v>
      </c>
      <c r="V13" s="31">
        <v>0.0008440179932478564</v>
      </c>
      <c r="W13" s="31" t="s">
        <v>622</v>
      </c>
      <c r="X13" s="31">
        <v>9.351999925184004E-06</v>
      </c>
      <c r="Y13" s="31">
        <v>8.416799932665602E-05</v>
      </c>
      <c r="Z13" s="31">
        <v>0.00039512199683902415</v>
      </c>
      <c r="AA13" s="31">
        <v>0.003930177968558576</v>
      </c>
      <c r="AB13" s="31">
        <v>2.337999981296001E-06</v>
      </c>
      <c r="AC13" s="31">
        <v>0.0021041999831664</v>
      </c>
      <c r="AD13" s="31">
        <v>0.013862001889103987</v>
      </c>
      <c r="AE13" s="31" t="s">
        <v>622</v>
      </c>
      <c r="AF13" s="31">
        <v>2.337999981296001E-06</v>
      </c>
      <c r="AG13" s="31" t="s">
        <v>622</v>
      </c>
      <c r="AH13" s="31">
        <v>5.844999953240002E-05</v>
      </c>
      <c r="AI13" s="31">
        <v>9.351999925184004E-06</v>
      </c>
      <c r="AJ13" s="31">
        <v>8.416799932665602E-05</v>
      </c>
      <c r="AK13" s="31">
        <v>2.337999981296001E-06</v>
      </c>
      <c r="AL13" s="31">
        <v>2.337999981296001E-06</v>
      </c>
      <c r="AM13" s="31">
        <v>0.0005260499957916</v>
      </c>
      <c r="AN13" s="31">
        <v>2.1041999831664005E-05</v>
      </c>
      <c r="AO13" s="31">
        <v>2.337999981296001E-06</v>
      </c>
      <c r="AP13" s="31"/>
    </row>
    <row r="14" spans="2:42" s="80" customFormat="1" ht="12.75">
      <c r="B14" s="81" t="s">
        <v>63</v>
      </c>
      <c r="C14" s="79"/>
      <c r="D14" s="31" t="s">
        <v>623</v>
      </c>
      <c r="E14" s="31" t="s">
        <v>623</v>
      </c>
      <c r="F14" s="31" t="s">
        <v>623</v>
      </c>
      <c r="G14" s="31" t="s">
        <v>623</v>
      </c>
      <c r="H14" s="31" t="s">
        <v>623</v>
      </c>
      <c r="I14" s="31" t="s">
        <v>623</v>
      </c>
      <c r="J14" s="31" t="s">
        <v>623</v>
      </c>
      <c r="K14" s="31" t="s">
        <v>623</v>
      </c>
      <c r="L14" s="31" t="s">
        <v>623</v>
      </c>
      <c r="M14" s="31" t="s">
        <v>623</v>
      </c>
      <c r="N14" s="31" t="s">
        <v>623</v>
      </c>
      <c r="O14" s="31" t="s">
        <v>623</v>
      </c>
      <c r="P14" s="31" t="s">
        <v>623</v>
      </c>
      <c r="Q14" s="31" t="s">
        <v>623</v>
      </c>
      <c r="R14" s="31" t="s">
        <v>623</v>
      </c>
      <c r="S14" s="31" t="s">
        <v>623</v>
      </c>
      <c r="T14" s="31" t="s">
        <v>623</v>
      </c>
      <c r="U14" s="31" t="s">
        <v>623</v>
      </c>
      <c r="V14" s="31" t="s">
        <v>623</v>
      </c>
      <c r="W14" s="31" t="s">
        <v>623</v>
      </c>
      <c r="X14" s="31" t="s">
        <v>623</v>
      </c>
      <c r="Y14" s="31" t="s">
        <v>623</v>
      </c>
      <c r="Z14" s="31" t="s">
        <v>623</v>
      </c>
      <c r="AA14" s="31" t="s">
        <v>623</v>
      </c>
      <c r="AB14" s="31" t="s">
        <v>623</v>
      </c>
      <c r="AC14" s="31" t="s">
        <v>623</v>
      </c>
      <c r="AD14" s="31" t="s">
        <v>623</v>
      </c>
      <c r="AE14" s="31" t="s">
        <v>623</v>
      </c>
      <c r="AF14" s="31" t="s">
        <v>623</v>
      </c>
      <c r="AG14" s="31" t="s">
        <v>623</v>
      </c>
      <c r="AH14" s="31" t="s">
        <v>623</v>
      </c>
      <c r="AI14" s="31" t="s">
        <v>623</v>
      </c>
      <c r="AJ14" s="31" t="s">
        <v>623</v>
      </c>
      <c r="AK14" s="31" t="s">
        <v>623</v>
      </c>
      <c r="AL14" s="31" t="s">
        <v>623</v>
      </c>
      <c r="AM14" s="31" t="s">
        <v>623</v>
      </c>
      <c r="AN14" s="31" t="s">
        <v>623</v>
      </c>
      <c r="AO14" s="31" t="s">
        <v>623</v>
      </c>
      <c r="AP14" s="31" t="s">
        <v>623</v>
      </c>
    </row>
    <row r="15" spans="2:42" s="76" customFormat="1" ht="12.75">
      <c r="B15" s="77"/>
      <c r="C15" s="7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2:42" ht="18">
      <c r="B16" s="27" t="s">
        <v>43</v>
      </c>
      <c r="C16" s="86"/>
      <c r="D16" s="37"/>
      <c r="E16" s="6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</row>
    <row r="17" spans="2:42" ht="12.75">
      <c r="B17" s="20" t="s">
        <v>404</v>
      </c>
      <c r="C17" s="53">
        <v>403</v>
      </c>
      <c r="D17" s="37"/>
      <c r="E17" s="179"/>
      <c r="F17" s="179"/>
      <c r="G17" s="179" t="s">
        <v>102</v>
      </c>
      <c r="H17" s="179" t="s">
        <v>1</v>
      </c>
      <c r="I17" s="179" t="s">
        <v>16</v>
      </c>
      <c r="J17" s="179" t="s">
        <v>24</v>
      </c>
      <c r="K17" s="179" t="s">
        <v>64</v>
      </c>
      <c r="L17" s="179" t="s">
        <v>62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</row>
    <row r="18" spans="2:42" ht="12.75">
      <c r="B18" s="1" t="s">
        <v>97</v>
      </c>
      <c r="C18" s="53">
        <v>157</v>
      </c>
      <c r="D18" s="82"/>
      <c r="E18" s="178" t="s">
        <v>132</v>
      </c>
      <c r="F18" s="179" t="s">
        <v>133</v>
      </c>
      <c r="G18" s="179">
        <v>77</v>
      </c>
      <c r="H18" s="180">
        <v>11.773700305810399</v>
      </c>
      <c r="I18" s="180">
        <v>49.044585987261144</v>
      </c>
      <c r="J18" s="180">
        <v>34.375</v>
      </c>
      <c r="K18" s="180">
        <v>1.1948051948051948</v>
      </c>
      <c r="L18" s="179">
        <v>9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</row>
    <row r="19" spans="2:42" ht="12.75">
      <c r="B19" s="1" t="s">
        <v>98</v>
      </c>
      <c r="C19" s="53">
        <v>224</v>
      </c>
      <c r="D19" s="37"/>
      <c r="E19" s="174" t="s">
        <v>244</v>
      </c>
      <c r="F19" s="175" t="s">
        <v>245</v>
      </c>
      <c r="G19" s="175">
        <v>77</v>
      </c>
      <c r="H19" s="176">
        <v>11.773700305810399</v>
      </c>
      <c r="I19" s="176">
        <v>49.044585987261144</v>
      </c>
      <c r="J19" s="176">
        <v>34.375</v>
      </c>
      <c r="K19" s="176">
        <v>1.3766233766233766</v>
      </c>
      <c r="L19" s="175">
        <v>11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</row>
    <row r="20" spans="2:42" ht="12.75">
      <c r="B20" s="18" t="s">
        <v>24</v>
      </c>
      <c r="C20" s="54">
        <v>70.08928571428571</v>
      </c>
      <c r="D20" s="37"/>
      <c r="E20" s="178" t="s">
        <v>185</v>
      </c>
      <c r="F20" s="179" t="s">
        <v>365</v>
      </c>
      <c r="G20" s="179">
        <v>64</v>
      </c>
      <c r="H20" s="180">
        <v>9.78593272171254</v>
      </c>
      <c r="I20" s="180">
        <v>40.76433121019109</v>
      </c>
      <c r="J20" s="180">
        <v>28.57142857142857</v>
      </c>
      <c r="K20" s="180">
        <v>1.125</v>
      </c>
      <c r="L20" s="179">
        <v>1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</row>
    <row r="21" spans="2:42" ht="12.75">
      <c r="B21" s="1" t="s">
        <v>3</v>
      </c>
      <c r="C21" s="54">
        <v>0.9304257965565936</v>
      </c>
      <c r="D21" s="37"/>
      <c r="E21" s="182" t="s">
        <v>197</v>
      </c>
      <c r="F21" s="183" t="s">
        <v>198</v>
      </c>
      <c r="G21" s="183">
        <v>54</v>
      </c>
      <c r="H21" s="184">
        <v>8.256880733944955</v>
      </c>
      <c r="I21" s="184">
        <v>34.394904458598724</v>
      </c>
      <c r="J21" s="184">
        <v>24.107142857142858</v>
      </c>
      <c r="K21" s="184">
        <v>1.7222222222222223</v>
      </c>
      <c r="L21" s="183">
        <v>14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2:42" ht="15" customHeight="1">
      <c r="B22" s="1" t="s">
        <v>332</v>
      </c>
      <c r="C22" s="54">
        <v>14</v>
      </c>
      <c r="D22" s="37"/>
      <c r="E22" s="178" t="s">
        <v>330</v>
      </c>
      <c r="F22" s="179" t="s">
        <v>180</v>
      </c>
      <c r="G22" s="179">
        <v>47</v>
      </c>
      <c r="H22" s="180">
        <v>7.186544342507647</v>
      </c>
      <c r="I22" s="180">
        <v>29.936305732484076</v>
      </c>
      <c r="J22" s="180">
        <v>20.982142857142858</v>
      </c>
      <c r="K22" s="180">
        <v>1.3191489361702127</v>
      </c>
      <c r="L22" s="179">
        <v>15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2:42" ht="12.75">
      <c r="B23" s="1" t="s">
        <v>99</v>
      </c>
      <c r="C23" s="55">
        <v>0</v>
      </c>
      <c r="D23" s="37"/>
      <c r="E23" s="178" t="s">
        <v>195</v>
      </c>
      <c r="F23" s="179" t="s">
        <v>196</v>
      </c>
      <c r="G23" s="179">
        <v>45</v>
      </c>
      <c r="H23" s="180">
        <v>6.880733944954129</v>
      </c>
      <c r="I23" s="180">
        <v>28.662420382165603</v>
      </c>
      <c r="J23" s="180">
        <v>20.089285714285715</v>
      </c>
      <c r="K23" s="180">
        <v>2.066666666666667</v>
      </c>
      <c r="L23" s="179">
        <v>10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</row>
    <row r="24" spans="2:42" ht="12.75">
      <c r="B24" s="1" t="s">
        <v>49</v>
      </c>
      <c r="C24" s="55">
        <v>234</v>
      </c>
      <c r="D24" s="37"/>
      <c r="E24" s="174" t="s">
        <v>233</v>
      </c>
      <c r="F24" s="175" t="s">
        <v>234</v>
      </c>
      <c r="G24" s="175">
        <v>41</v>
      </c>
      <c r="H24" s="176">
        <v>6.269113149847095</v>
      </c>
      <c r="I24" s="176">
        <v>26.11464968152866</v>
      </c>
      <c r="J24" s="176">
        <v>18.303571428571427</v>
      </c>
      <c r="K24" s="176">
        <v>1.2195121951219512</v>
      </c>
      <c r="L24" s="175">
        <v>12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</row>
    <row r="25" spans="2:42" ht="12.75">
      <c r="B25" s="1" t="s">
        <v>59</v>
      </c>
      <c r="C25" s="56">
        <v>2.919642857142857</v>
      </c>
      <c r="D25" s="37"/>
      <c r="E25" s="178" t="s">
        <v>620</v>
      </c>
      <c r="F25" s="179" t="s">
        <v>189</v>
      </c>
      <c r="G25" s="179">
        <v>36</v>
      </c>
      <c r="H25" s="180">
        <v>5.504587155963304</v>
      </c>
      <c r="I25" s="180">
        <v>22.929936305732486</v>
      </c>
      <c r="J25" s="180">
        <v>16.071428571428573</v>
      </c>
      <c r="K25" s="180">
        <v>1.4722222222222223</v>
      </c>
      <c r="L25" s="185"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</row>
    <row r="26" spans="2:42" ht="12.75">
      <c r="B26" s="1" t="s">
        <v>100</v>
      </c>
      <c r="C26" s="56">
        <v>4.165605095541402</v>
      </c>
      <c r="D26" s="37"/>
      <c r="E26" s="178" t="s">
        <v>619</v>
      </c>
      <c r="F26" s="179" t="s">
        <v>567</v>
      </c>
      <c r="G26" s="179">
        <v>31</v>
      </c>
      <c r="H26" s="180">
        <v>4.7400611620795114</v>
      </c>
      <c r="I26" s="180">
        <v>19.745222929936308</v>
      </c>
      <c r="J26" s="180">
        <v>13.839285714285715</v>
      </c>
      <c r="K26" s="180">
        <v>1.8064516129032258</v>
      </c>
      <c r="L26" s="185"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2:42" ht="12.75">
      <c r="B27" s="1" t="s">
        <v>55</v>
      </c>
      <c r="C27" s="56">
        <v>2.919642857142857</v>
      </c>
      <c r="D27" s="37"/>
      <c r="E27" s="174" t="s">
        <v>237</v>
      </c>
      <c r="F27" s="175" t="s">
        <v>368</v>
      </c>
      <c r="G27" s="175">
        <v>30</v>
      </c>
      <c r="H27" s="176">
        <v>4.587155963302752</v>
      </c>
      <c r="I27" s="176">
        <v>19.10828025477707</v>
      </c>
      <c r="J27" s="176">
        <v>13.392857142857142</v>
      </c>
      <c r="K27" s="176">
        <v>1.2333333333333334</v>
      </c>
      <c r="L27" s="177"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2:42" ht="12.75">
      <c r="B28" s="1" t="s">
        <v>101</v>
      </c>
      <c r="C28" s="56">
        <v>4.165605095541402</v>
      </c>
      <c r="D28" s="37"/>
      <c r="F28" s="175" t="s">
        <v>401</v>
      </c>
      <c r="G28" s="175">
        <v>28</v>
      </c>
      <c r="H28" s="186" t="s">
        <v>569</v>
      </c>
      <c r="I28" s="176">
        <v>17.8343949044586</v>
      </c>
      <c r="J28" s="176">
        <v>12.5</v>
      </c>
      <c r="K28" s="176">
        <v>1.1785714285714286</v>
      </c>
      <c r="L28" s="177"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2:42" ht="12.75">
      <c r="B29" s="1" t="s">
        <v>61</v>
      </c>
      <c r="C29" s="53">
        <v>34</v>
      </c>
      <c r="D29" s="37"/>
      <c r="E29" s="178" t="s">
        <v>145</v>
      </c>
      <c r="F29" s="179" t="s">
        <v>146</v>
      </c>
      <c r="G29" s="179">
        <v>20</v>
      </c>
      <c r="H29" s="180">
        <v>3.0581039755351687</v>
      </c>
      <c r="I29" s="180">
        <v>12.738853503184714</v>
      </c>
      <c r="J29" s="180">
        <v>8.928571428571429</v>
      </c>
      <c r="K29" s="180">
        <v>1.25</v>
      </c>
      <c r="L29" s="181">
        <v>1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</row>
    <row r="30" spans="2:42" ht="12.75">
      <c r="B30" s="1" t="s">
        <v>60</v>
      </c>
      <c r="C30" s="53">
        <v>38</v>
      </c>
      <c r="D30" s="44"/>
      <c r="E30" s="174" t="s">
        <v>218</v>
      </c>
      <c r="F30" s="175" t="s">
        <v>366</v>
      </c>
      <c r="G30" s="175">
        <v>19</v>
      </c>
      <c r="H30" s="176">
        <v>2.9051987767584104</v>
      </c>
      <c r="I30" s="176">
        <v>12.101910828025478</v>
      </c>
      <c r="J30" s="176">
        <v>8.482142857142858</v>
      </c>
      <c r="K30" s="176">
        <v>1.4210526315789473</v>
      </c>
      <c r="L30" s="177">
        <v>8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</row>
    <row r="31" spans="2:42" ht="12.75">
      <c r="B31" s="1" t="s">
        <v>554</v>
      </c>
      <c r="C31" s="53">
        <v>46</v>
      </c>
      <c r="D31" s="44"/>
      <c r="E31" s="178" t="s">
        <v>156</v>
      </c>
      <c r="F31" s="179" t="s">
        <v>157</v>
      </c>
      <c r="G31" s="179">
        <v>15</v>
      </c>
      <c r="H31" s="180">
        <v>2.293577981651376</v>
      </c>
      <c r="I31" s="180">
        <v>9.554140127388536</v>
      </c>
      <c r="J31" s="180">
        <v>6.696428571428571</v>
      </c>
      <c r="K31" s="180">
        <v>1.1333333333333333</v>
      </c>
      <c r="L31" s="181">
        <v>4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</row>
    <row r="32" spans="2:42" ht="15" customHeight="1">
      <c r="B32" s="1" t="s">
        <v>552</v>
      </c>
      <c r="C32" s="54">
        <v>5.464968152866242</v>
      </c>
      <c r="D32" s="37"/>
      <c r="E32" s="174" t="s">
        <v>304</v>
      </c>
      <c r="F32" s="175" t="s">
        <v>305</v>
      </c>
      <c r="G32" s="175">
        <v>15</v>
      </c>
      <c r="H32" s="176">
        <v>2.293577981651376</v>
      </c>
      <c r="I32" s="176">
        <v>9.554140127388536</v>
      </c>
      <c r="J32" s="176">
        <v>6.696428571428571</v>
      </c>
      <c r="K32" s="176">
        <v>1.1333333333333333</v>
      </c>
      <c r="L32" s="177">
        <v>8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  <row r="33" spans="2:42" ht="15" customHeight="1">
      <c r="B33" s="1" t="s">
        <v>553</v>
      </c>
      <c r="C33" s="54">
        <v>4.5</v>
      </c>
      <c r="D33" s="37"/>
      <c r="E33" s="174" t="s">
        <v>319</v>
      </c>
      <c r="F33" s="175" t="s">
        <v>230</v>
      </c>
      <c r="G33" s="175">
        <v>13</v>
      </c>
      <c r="H33" s="176">
        <v>1.9877675840978597</v>
      </c>
      <c r="I33" s="176">
        <v>8.280254777070063</v>
      </c>
      <c r="J33" s="176">
        <v>5.803571428571429</v>
      </c>
      <c r="K33" s="176">
        <v>1.2307692307692308</v>
      </c>
      <c r="L33" s="177">
        <v>6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2:43" ht="12.75">
      <c r="B34" s="1" t="s">
        <v>557</v>
      </c>
      <c r="C34" s="54">
        <v>2.127388535031847</v>
      </c>
      <c r="E34" s="178" t="s">
        <v>122</v>
      </c>
      <c r="F34" s="179" t="s">
        <v>123</v>
      </c>
      <c r="G34" s="179">
        <v>12</v>
      </c>
      <c r="H34" s="180">
        <v>1.834862385321101</v>
      </c>
      <c r="I34" s="180">
        <v>7.643312101910828</v>
      </c>
      <c r="J34" s="180">
        <v>5.357142857142857</v>
      </c>
      <c r="K34" s="180">
        <v>1.4166666666666667</v>
      </c>
      <c r="L34" s="185">
        <v>0</v>
      </c>
      <c r="AQ34" s="37"/>
    </row>
    <row r="35" spans="2:43" ht="15.75">
      <c r="B35" s="101" t="s">
        <v>331</v>
      </c>
      <c r="C35" s="52"/>
      <c r="E35" s="178" t="s">
        <v>209</v>
      </c>
      <c r="F35" s="179" t="s">
        <v>210</v>
      </c>
      <c r="G35" s="179">
        <v>10</v>
      </c>
      <c r="H35" s="180">
        <v>1.5290519877675843</v>
      </c>
      <c r="I35" s="180">
        <v>6.369426751592357</v>
      </c>
      <c r="J35" s="180">
        <v>4.464285714285714</v>
      </c>
      <c r="K35" s="180">
        <v>1.1</v>
      </c>
      <c r="L35" s="181">
        <v>9</v>
      </c>
      <c r="AQ35" s="37"/>
    </row>
    <row r="36" spans="5:12" ht="12.75">
      <c r="E36" s="174" t="s">
        <v>224</v>
      </c>
      <c r="F36" s="175" t="s">
        <v>350</v>
      </c>
      <c r="G36" s="175">
        <v>6</v>
      </c>
      <c r="H36" s="176">
        <v>0.9174311926605505</v>
      </c>
      <c r="I36" s="176">
        <v>3.821656050955414</v>
      </c>
      <c r="J36" s="176">
        <v>2.6785714285714284</v>
      </c>
      <c r="K36" s="176">
        <v>1</v>
      </c>
      <c r="L36" s="177">
        <v>3</v>
      </c>
    </row>
    <row r="37" spans="5:12" ht="12.75">
      <c r="E37" s="174" t="s">
        <v>295</v>
      </c>
      <c r="F37" s="175" t="s">
        <v>296</v>
      </c>
      <c r="G37" s="175">
        <v>6</v>
      </c>
      <c r="H37" s="176">
        <v>0.9174311926605505</v>
      </c>
      <c r="I37" s="176">
        <v>3.821656050955414</v>
      </c>
      <c r="J37" s="176">
        <v>2.6785714285714284</v>
      </c>
      <c r="K37" s="176">
        <v>1.1666666666666667</v>
      </c>
      <c r="L37" s="177">
        <v>0</v>
      </c>
    </row>
    <row r="38" spans="5:12" ht="12.75">
      <c r="E38" s="178" t="s">
        <v>205</v>
      </c>
      <c r="F38" s="179" t="s">
        <v>206</v>
      </c>
      <c r="G38" s="179">
        <v>5</v>
      </c>
      <c r="H38" s="180">
        <v>0.7645259938837922</v>
      </c>
      <c r="I38" s="180">
        <v>3.1847133757961785</v>
      </c>
      <c r="J38" s="180">
        <v>2.232142857142857</v>
      </c>
      <c r="K38" s="180">
        <v>2</v>
      </c>
      <c r="L38" s="181">
        <v>3</v>
      </c>
    </row>
    <row r="39" spans="5:12" ht="12.75">
      <c r="E39" s="174" t="s">
        <v>216</v>
      </c>
      <c r="F39" s="175" t="s">
        <v>217</v>
      </c>
      <c r="G39" s="175">
        <v>5</v>
      </c>
      <c r="H39" s="176">
        <v>0.7645259938837922</v>
      </c>
      <c r="I39" s="176">
        <v>3.1847133757961785</v>
      </c>
      <c r="J39" s="176">
        <v>2.232142857142857</v>
      </c>
      <c r="K39" s="176">
        <v>1.4</v>
      </c>
      <c r="L39" s="177">
        <v>3</v>
      </c>
    </row>
    <row r="40" spans="5:12" ht="12.75">
      <c r="E40" s="174" t="s">
        <v>275</v>
      </c>
      <c r="F40" s="175" t="s">
        <v>568</v>
      </c>
      <c r="G40" s="175">
        <v>5</v>
      </c>
      <c r="H40" s="176">
        <v>0.7645259938837922</v>
      </c>
      <c r="I40" s="176">
        <v>3.1847133757961785</v>
      </c>
      <c r="J40" s="176">
        <v>2.232142857142857</v>
      </c>
      <c r="K40" s="176">
        <v>1</v>
      </c>
      <c r="L40" s="177">
        <v>5</v>
      </c>
    </row>
    <row r="41" spans="5:12" ht="12.75">
      <c r="E41" s="178" t="s">
        <v>143</v>
      </c>
      <c r="F41" s="179" t="s">
        <v>144</v>
      </c>
      <c r="G41" s="179">
        <v>3</v>
      </c>
      <c r="H41" s="180">
        <v>0.45871559633027525</v>
      </c>
      <c r="I41" s="180">
        <v>1.910828025477707</v>
      </c>
      <c r="J41" s="180">
        <v>1.3392857142857142</v>
      </c>
      <c r="K41" s="180">
        <v>1.3333333333333333</v>
      </c>
      <c r="L41" s="181">
        <v>2</v>
      </c>
    </row>
    <row r="42" spans="5:12" ht="12.75">
      <c r="E42" s="178" t="s">
        <v>183</v>
      </c>
      <c r="F42" s="179" t="s">
        <v>184</v>
      </c>
      <c r="G42" s="179">
        <v>3</v>
      </c>
      <c r="H42" s="180">
        <v>0.45871559633027525</v>
      </c>
      <c r="I42" s="180">
        <v>1.910828025477707</v>
      </c>
      <c r="J42" s="180">
        <v>1.3392857142857142</v>
      </c>
      <c r="K42" s="180">
        <v>1</v>
      </c>
      <c r="L42" s="181">
        <v>2</v>
      </c>
    </row>
    <row r="43" spans="5:12" ht="12.75">
      <c r="E43" s="174" t="s">
        <v>306</v>
      </c>
      <c r="F43" s="175" t="s">
        <v>307</v>
      </c>
      <c r="G43" s="175">
        <v>3</v>
      </c>
      <c r="H43" s="176">
        <v>0.45871559633027525</v>
      </c>
      <c r="I43" s="176">
        <v>1.910828025477707</v>
      </c>
      <c r="J43" s="176">
        <v>1.3392857142857142</v>
      </c>
      <c r="K43" s="176">
        <v>1</v>
      </c>
      <c r="L43" s="177">
        <v>1</v>
      </c>
    </row>
    <row r="44" spans="5:12" ht="12.75">
      <c r="E44" s="178" t="s">
        <v>379</v>
      </c>
      <c r="F44" s="179" t="s">
        <v>173</v>
      </c>
      <c r="G44" s="179">
        <v>2</v>
      </c>
      <c r="H44" s="180">
        <v>0.30581039755351686</v>
      </c>
      <c r="I44" s="180">
        <v>1.2738853503184715</v>
      </c>
      <c r="J44" s="180">
        <v>0.8928571428571428</v>
      </c>
      <c r="K44" s="180">
        <v>1</v>
      </c>
      <c r="L44" s="181">
        <v>3</v>
      </c>
    </row>
    <row r="45" spans="5:12" ht="12.75">
      <c r="E45" s="174" t="s">
        <v>222</v>
      </c>
      <c r="F45" s="175" t="s">
        <v>223</v>
      </c>
      <c r="G45" s="175">
        <v>2</v>
      </c>
      <c r="H45" s="176">
        <v>0.30581039755351686</v>
      </c>
      <c r="I45" s="176">
        <v>1.2738853503184715</v>
      </c>
      <c r="J45" s="176">
        <v>0.8928571428571428</v>
      </c>
      <c r="K45" s="176">
        <v>1</v>
      </c>
      <c r="L45" s="185">
        <v>0</v>
      </c>
    </row>
    <row r="46" spans="5:12" ht="12.75">
      <c r="E46" s="174" t="s">
        <v>284</v>
      </c>
      <c r="F46" s="175" t="s">
        <v>318</v>
      </c>
      <c r="G46" s="175">
        <v>2</v>
      </c>
      <c r="H46" s="176">
        <v>0.30581039755351686</v>
      </c>
      <c r="I46" s="176">
        <v>1.2738853503184715</v>
      </c>
      <c r="J46" s="176">
        <v>0.8928571428571428</v>
      </c>
      <c r="K46" s="176">
        <v>1</v>
      </c>
      <c r="L46" s="185">
        <v>0</v>
      </c>
    </row>
    <row r="47" spans="5:12" ht="12.75">
      <c r="E47" s="174" t="s">
        <v>214</v>
      </c>
      <c r="F47" s="175" t="s">
        <v>215</v>
      </c>
      <c r="G47" s="175">
        <v>1</v>
      </c>
      <c r="H47" s="176">
        <v>0.15290519877675843</v>
      </c>
      <c r="I47" s="176">
        <v>0.6369426751592357</v>
      </c>
      <c r="J47" s="176">
        <v>0.4464285714285714</v>
      </c>
      <c r="K47" s="176">
        <v>1</v>
      </c>
      <c r="L47" s="185">
        <v>0</v>
      </c>
    </row>
    <row r="48" spans="5:12" ht="12.75">
      <c r="E48" s="174" t="s">
        <v>235</v>
      </c>
      <c r="F48" s="175" t="s">
        <v>236</v>
      </c>
      <c r="G48" s="175">
        <v>1</v>
      </c>
      <c r="H48" s="176">
        <v>0.15290519877675843</v>
      </c>
      <c r="I48" s="176">
        <v>0.6369426751592357</v>
      </c>
      <c r="J48" s="176">
        <v>0.4464285714285714</v>
      </c>
      <c r="K48" s="176">
        <v>1</v>
      </c>
      <c r="L48" s="177">
        <v>3</v>
      </c>
    </row>
    <row r="49" spans="5:12" ht="12.75">
      <c r="E49" s="174" t="s">
        <v>260</v>
      </c>
      <c r="F49" s="175" t="s">
        <v>261</v>
      </c>
      <c r="G49" s="175">
        <v>1</v>
      </c>
      <c r="H49" s="176">
        <v>0.15290519877675843</v>
      </c>
      <c r="I49" s="176">
        <v>0.6369426751592357</v>
      </c>
      <c r="J49" s="176">
        <v>0.4464285714285714</v>
      </c>
      <c r="K49" s="176">
        <v>2</v>
      </c>
      <c r="L49" s="177">
        <v>1</v>
      </c>
    </row>
    <row r="50" spans="5:12" ht="12.75">
      <c r="E50" s="174" t="s">
        <v>297</v>
      </c>
      <c r="F50" s="175" t="s">
        <v>298</v>
      </c>
      <c r="G50" s="175">
        <v>1</v>
      </c>
      <c r="H50" s="176">
        <v>0.15290519877675843</v>
      </c>
      <c r="I50" s="176">
        <v>0.6369426751592357</v>
      </c>
      <c r="J50" s="176">
        <v>0.4464285714285714</v>
      </c>
      <c r="K50" s="176">
        <v>3</v>
      </c>
      <c r="L50" s="185">
        <v>0</v>
      </c>
    </row>
    <row r="51" spans="5:12" ht="12.75">
      <c r="E51" s="174" t="s">
        <v>299</v>
      </c>
      <c r="F51" s="175" t="s">
        <v>343</v>
      </c>
      <c r="G51" s="175">
        <v>1</v>
      </c>
      <c r="H51" s="176">
        <v>0.15290519877675843</v>
      </c>
      <c r="I51" s="176">
        <v>0.6369426751592357</v>
      </c>
      <c r="J51" s="176">
        <v>0.4464285714285714</v>
      </c>
      <c r="K51" s="176">
        <v>1</v>
      </c>
      <c r="L51" s="185">
        <v>0</v>
      </c>
    </row>
    <row r="52" spans="5:14" ht="12.75">
      <c r="E52" s="174" t="s">
        <v>312</v>
      </c>
      <c r="F52" s="175" t="s">
        <v>313</v>
      </c>
      <c r="G52" s="175">
        <v>1</v>
      </c>
      <c r="H52" s="176">
        <v>0.15290519877675843</v>
      </c>
      <c r="I52" s="176">
        <v>0.6369426751592357</v>
      </c>
      <c r="J52" s="176">
        <v>0.4464285714285714</v>
      </c>
      <c r="K52" s="176">
        <v>1</v>
      </c>
      <c r="L52" s="177">
        <v>0</v>
      </c>
      <c r="N52" s="2" t="s">
        <v>637</v>
      </c>
    </row>
    <row r="53" spans="5:12" ht="12.75">
      <c r="E53" s="182" t="s">
        <v>201</v>
      </c>
      <c r="F53" s="183" t="s">
        <v>202</v>
      </c>
      <c r="G53" s="191" t="s">
        <v>625</v>
      </c>
      <c r="H53" s="191" t="s">
        <v>625</v>
      </c>
      <c r="I53" s="191" t="s">
        <v>625</v>
      </c>
      <c r="J53" s="191" t="s">
        <v>625</v>
      </c>
      <c r="K53" s="191" t="s">
        <v>625</v>
      </c>
      <c r="L53" s="183">
        <v>1</v>
      </c>
    </row>
    <row r="54" spans="5:12" ht="12.75">
      <c r="E54" s="174" t="s">
        <v>219</v>
      </c>
      <c r="F54" s="175" t="s">
        <v>342</v>
      </c>
      <c r="G54" s="191" t="s">
        <v>625</v>
      </c>
      <c r="H54" s="191" t="s">
        <v>625</v>
      </c>
      <c r="I54" s="191" t="s">
        <v>625</v>
      </c>
      <c r="J54" s="191" t="s">
        <v>625</v>
      </c>
      <c r="K54" s="191" t="s">
        <v>625</v>
      </c>
      <c r="L54" s="175">
        <v>1</v>
      </c>
    </row>
    <row r="55" spans="5:12" ht="12.75">
      <c r="E55" s="174" t="s">
        <v>550</v>
      </c>
      <c r="F55" s="175" t="s">
        <v>551</v>
      </c>
      <c r="G55" s="191" t="s">
        <v>625</v>
      </c>
      <c r="H55" s="191" t="s">
        <v>625</v>
      </c>
      <c r="I55" s="191" t="s">
        <v>625</v>
      </c>
      <c r="J55" s="191" t="s">
        <v>625</v>
      </c>
      <c r="K55" s="191" t="s">
        <v>625</v>
      </c>
      <c r="L55" s="175">
        <v>1</v>
      </c>
    </row>
    <row r="56" spans="5:15" ht="12.75">
      <c r="E56" s="174" t="s">
        <v>265</v>
      </c>
      <c r="F56" s="175" t="s">
        <v>266</v>
      </c>
      <c r="G56" s="191" t="s">
        <v>625</v>
      </c>
      <c r="H56" s="191" t="s">
        <v>625</v>
      </c>
      <c r="I56" s="191" t="s">
        <v>625</v>
      </c>
      <c r="J56" s="191" t="s">
        <v>625</v>
      </c>
      <c r="K56" s="191" t="s">
        <v>625</v>
      </c>
      <c r="L56" s="175">
        <v>2</v>
      </c>
      <c r="O56" s="2"/>
    </row>
    <row r="57" spans="5:15" ht="12.75">
      <c r="E57" s="174" t="s">
        <v>128</v>
      </c>
      <c r="F57" s="175" t="s">
        <v>129</v>
      </c>
      <c r="G57" s="187" t="s">
        <v>572</v>
      </c>
      <c r="H57" s="187" t="s">
        <v>572</v>
      </c>
      <c r="I57" s="187" t="s">
        <v>572</v>
      </c>
      <c r="J57" s="187" t="s">
        <v>572</v>
      </c>
      <c r="K57" s="187" t="s">
        <v>572</v>
      </c>
      <c r="L57" s="187" t="s">
        <v>572</v>
      </c>
      <c r="O57" s="2"/>
    </row>
    <row r="58" spans="5:12" ht="12.75">
      <c r="E58" s="174" t="s">
        <v>570</v>
      </c>
      <c r="F58" s="175" t="s">
        <v>571</v>
      </c>
      <c r="G58" s="187" t="s">
        <v>572</v>
      </c>
      <c r="H58" s="187" t="s">
        <v>572</v>
      </c>
      <c r="I58" s="187" t="s">
        <v>572</v>
      </c>
      <c r="J58" s="187" t="s">
        <v>572</v>
      </c>
      <c r="K58" s="187" t="s">
        <v>572</v>
      </c>
      <c r="L58" s="187" t="s">
        <v>572</v>
      </c>
    </row>
    <row r="59" spans="5:15" ht="12.75">
      <c r="E59" s="174" t="s">
        <v>140</v>
      </c>
      <c r="F59" s="175" t="s">
        <v>141</v>
      </c>
      <c r="G59" s="187" t="s">
        <v>572</v>
      </c>
      <c r="H59" s="187" t="s">
        <v>572</v>
      </c>
      <c r="I59" s="187" t="s">
        <v>572</v>
      </c>
      <c r="J59" s="187" t="s">
        <v>572</v>
      </c>
      <c r="K59" s="187" t="s">
        <v>572</v>
      </c>
      <c r="L59" s="187" t="s">
        <v>572</v>
      </c>
      <c r="O59" s="2"/>
    </row>
    <row r="60" spans="5:15" ht="12.75">
      <c r="E60" s="174" t="s">
        <v>149</v>
      </c>
      <c r="F60" s="175" t="s">
        <v>150</v>
      </c>
      <c r="G60" s="187" t="s">
        <v>572</v>
      </c>
      <c r="H60" s="187" t="s">
        <v>572</v>
      </c>
      <c r="I60" s="187" t="s">
        <v>572</v>
      </c>
      <c r="J60" s="187" t="s">
        <v>572</v>
      </c>
      <c r="K60" s="187" t="s">
        <v>572</v>
      </c>
      <c r="L60" s="187" t="s">
        <v>572</v>
      </c>
      <c r="O60" s="2"/>
    </row>
    <row r="61" spans="5:12" ht="12.75">
      <c r="E61" s="174" t="s">
        <v>638</v>
      </c>
      <c r="F61" s="175" t="s">
        <v>639</v>
      </c>
      <c r="G61" s="187" t="s">
        <v>572</v>
      </c>
      <c r="H61" s="187" t="s">
        <v>572</v>
      </c>
      <c r="I61" s="187" t="s">
        <v>572</v>
      </c>
      <c r="J61" s="187" t="s">
        <v>572</v>
      </c>
      <c r="K61" s="187" t="s">
        <v>572</v>
      </c>
      <c r="L61" s="187" t="s">
        <v>572</v>
      </c>
    </row>
    <row r="62" spans="5:12" ht="12.75">
      <c r="E62" s="174" t="s">
        <v>158</v>
      </c>
      <c r="F62" s="175" t="s">
        <v>159</v>
      </c>
      <c r="G62" s="187" t="s">
        <v>572</v>
      </c>
      <c r="H62" s="187" t="s">
        <v>572</v>
      </c>
      <c r="I62" s="187" t="s">
        <v>572</v>
      </c>
      <c r="J62" s="187" t="s">
        <v>572</v>
      </c>
      <c r="K62" s="187" t="s">
        <v>572</v>
      </c>
      <c r="L62" s="187" t="s">
        <v>572</v>
      </c>
    </row>
    <row r="63" spans="5:12" ht="12.75">
      <c r="E63" s="174" t="s">
        <v>267</v>
      </c>
      <c r="F63" s="175" t="s">
        <v>268</v>
      </c>
      <c r="G63" s="187" t="s">
        <v>572</v>
      </c>
      <c r="H63" s="187" t="s">
        <v>572</v>
      </c>
      <c r="I63" s="187" t="s">
        <v>572</v>
      </c>
      <c r="J63" s="187" t="s">
        <v>572</v>
      </c>
      <c r="K63" s="187" t="s">
        <v>572</v>
      </c>
      <c r="L63" s="187" t="s">
        <v>572</v>
      </c>
    </row>
    <row r="64" spans="5:12" ht="12.75">
      <c r="E64" s="174" t="s">
        <v>289</v>
      </c>
      <c r="F64" s="175" t="s">
        <v>290</v>
      </c>
      <c r="G64" s="187" t="s">
        <v>572</v>
      </c>
      <c r="H64" s="187" t="s">
        <v>572</v>
      </c>
      <c r="I64" s="187" t="s">
        <v>572</v>
      </c>
      <c r="J64" s="187" t="s">
        <v>572</v>
      </c>
      <c r="K64" s="187" t="s">
        <v>572</v>
      </c>
      <c r="L64" s="187" t="s">
        <v>572</v>
      </c>
    </row>
    <row r="66" ht="12.75">
      <c r="F66" t="s">
        <v>573</v>
      </c>
    </row>
    <row r="67" ht="12.75">
      <c r="F67" s="188" t="s">
        <v>626</v>
      </c>
    </row>
    <row r="68" ht="12.75">
      <c r="F68" t="s">
        <v>574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6:AP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91"/>
  <sheetViews>
    <sheetView zoomScale="85" zoomScaleNormal="85" zoomScalePageLayoutView="0" workbookViewId="0" topLeftCell="A1">
      <pane xSplit="2" ySplit="1" topLeftCell="C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4" sqref="G24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52" bestFit="1" customWidth="1"/>
    <col min="4" max="38" width="6.7109375" style="0" customWidth="1"/>
    <col min="39" max="16384" width="5.7109375" style="37" customWidth="1"/>
  </cols>
  <sheetData>
    <row r="1" spans="1:40" s="25" customFormat="1" ht="138" customHeight="1">
      <c r="A1" s="62"/>
      <c r="B1" s="51" t="s">
        <v>17</v>
      </c>
      <c r="C1" s="154" t="s">
        <v>14</v>
      </c>
      <c r="D1" s="157" t="s">
        <v>556</v>
      </c>
      <c r="E1" s="157" t="s">
        <v>417</v>
      </c>
      <c r="F1" s="157" t="s">
        <v>424</v>
      </c>
      <c r="G1" s="157" t="s">
        <v>558</v>
      </c>
      <c r="H1" s="157" t="s">
        <v>431</v>
      </c>
      <c r="I1" s="157" t="s">
        <v>433</v>
      </c>
      <c r="J1" s="157" t="s">
        <v>435</v>
      </c>
      <c r="K1" s="157" t="s">
        <v>441</v>
      </c>
      <c r="L1" s="157" t="s">
        <v>459</v>
      </c>
      <c r="M1" s="157" t="s">
        <v>461</v>
      </c>
      <c r="N1" s="157" t="s">
        <v>462</v>
      </c>
      <c r="O1" s="157" t="s">
        <v>467</v>
      </c>
      <c r="P1" s="157" t="s">
        <v>471</v>
      </c>
      <c r="Q1" s="157" t="s">
        <v>472</v>
      </c>
      <c r="R1" s="157" t="s">
        <v>477</v>
      </c>
      <c r="S1" s="157" t="s">
        <v>479</v>
      </c>
      <c r="T1" s="157" t="s">
        <v>483</v>
      </c>
      <c r="U1" s="157" t="s">
        <v>485</v>
      </c>
      <c r="V1" s="157" t="s">
        <v>486</v>
      </c>
      <c r="W1" s="157" t="s">
        <v>489</v>
      </c>
      <c r="X1" s="157" t="s">
        <v>493</v>
      </c>
      <c r="Y1" s="157" t="s">
        <v>495</v>
      </c>
      <c r="Z1" s="157" t="s">
        <v>496</v>
      </c>
      <c r="AA1" s="157" t="s">
        <v>497</v>
      </c>
      <c r="AB1" s="157" t="s">
        <v>501</v>
      </c>
      <c r="AC1" s="157" t="s">
        <v>513</v>
      </c>
      <c r="AD1" s="157" t="s">
        <v>516</v>
      </c>
      <c r="AE1" s="157" t="s">
        <v>521</v>
      </c>
      <c r="AF1" s="157" t="s">
        <v>535</v>
      </c>
      <c r="AG1" s="157" t="s">
        <v>536</v>
      </c>
      <c r="AH1" s="157" t="s">
        <v>537</v>
      </c>
      <c r="AI1" s="157" t="s">
        <v>540</v>
      </c>
      <c r="AJ1" s="157" t="s">
        <v>541</v>
      </c>
      <c r="AK1" s="157" t="s">
        <v>546</v>
      </c>
      <c r="AL1" s="157" t="s">
        <v>401</v>
      </c>
      <c r="AM1" s="157"/>
      <c r="AN1" s="35"/>
    </row>
    <row r="2" spans="1:39" s="25" customFormat="1" ht="12.75" customHeight="1">
      <c r="A2" s="63" t="s">
        <v>93</v>
      </c>
      <c r="B2" s="61" t="s">
        <v>560</v>
      </c>
      <c r="C2" s="50"/>
      <c r="D2" s="60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39" s="25" customFormat="1" ht="12.75" customHeight="1">
      <c r="A3" s="63" t="s">
        <v>44</v>
      </c>
      <c r="B3" s="61">
        <v>2436000</v>
      </c>
      <c r="C3" s="50"/>
      <c r="D3" s="60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s="25" customFormat="1" ht="12.75" customHeight="1">
      <c r="A4" s="63" t="s">
        <v>46</v>
      </c>
      <c r="B4" s="61" t="s">
        <v>561</v>
      </c>
      <c r="C4" s="50"/>
      <c r="D4" s="60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1:39" s="25" customFormat="1" ht="12.75" customHeight="1">
      <c r="A5" s="64" t="s">
        <v>66</v>
      </c>
      <c r="B5" s="68" t="s">
        <v>562</v>
      </c>
      <c r="C5" s="50"/>
      <c r="D5" s="60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2:39" s="25" customFormat="1" ht="15" customHeight="1">
      <c r="B6" s="24" t="s">
        <v>42</v>
      </c>
      <c r="C6" s="50"/>
      <c r="D6" s="46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  <c r="R6" s="39"/>
      <c r="S6" s="39"/>
      <c r="T6" s="39"/>
      <c r="U6" s="39"/>
      <c r="V6" s="39"/>
      <c r="W6" s="39"/>
      <c r="X6" s="39"/>
      <c r="Y6" s="39"/>
      <c r="Z6" s="40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1"/>
    </row>
    <row r="7" spans="1:39" s="83" customFormat="1" ht="12.75" customHeight="1">
      <c r="A7" s="57"/>
      <c r="B7" s="57" t="s">
        <v>16</v>
      </c>
      <c r="C7" s="54"/>
      <c r="D7" s="59">
        <v>2.3529411764705883</v>
      </c>
      <c r="E7" s="59">
        <v>7.647058823529412</v>
      </c>
      <c r="F7" s="59">
        <v>47.05882352941176</v>
      </c>
      <c r="G7" s="59">
        <v>15.88235294117647</v>
      </c>
      <c r="H7" s="59">
        <v>0.5882352941176471</v>
      </c>
      <c r="I7" s="59">
        <v>1.1764705882352942</v>
      </c>
      <c r="J7" s="59">
        <v>7.647058823529412</v>
      </c>
      <c r="K7" s="59">
        <v>8.235294117647058</v>
      </c>
      <c r="L7" s="59">
        <v>19.411764705882355</v>
      </c>
      <c r="M7" s="59">
        <v>0.5882352941176471</v>
      </c>
      <c r="N7" s="59">
        <v>37.05882352941177</v>
      </c>
      <c r="O7" s="59">
        <v>6.470588235294119</v>
      </c>
      <c r="P7" s="59">
        <v>25.882352941176475</v>
      </c>
      <c r="Q7" s="59">
        <v>31.176470588235293</v>
      </c>
      <c r="R7" s="59">
        <v>2.3529411764705883</v>
      </c>
      <c r="S7" s="59">
        <v>25.294117647058822</v>
      </c>
      <c r="T7" s="59">
        <v>0.5882352941176471</v>
      </c>
      <c r="U7" s="59">
        <v>2.941176470588235</v>
      </c>
      <c r="V7" s="59">
        <v>0.5882352941176471</v>
      </c>
      <c r="W7" s="59">
        <v>9.411764705882353</v>
      </c>
      <c r="X7" s="59">
        <v>11.176470588235295</v>
      </c>
      <c r="Y7" s="59">
        <v>12.941176470588237</v>
      </c>
      <c r="Z7" s="59">
        <v>4.117647058823529</v>
      </c>
      <c r="AA7" s="59">
        <v>15.88235294117647</v>
      </c>
      <c r="AB7" s="59">
        <v>51.17647058823529</v>
      </c>
      <c r="AC7" s="59">
        <v>1.7647058823529411</v>
      </c>
      <c r="AD7" s="59">
        <v>0.5882352941176471</v>
      </c>
      <c r="AE7" s="59">
        <v>1.1764705882352942</v>
      </c>
      <c r="AF7" s="59">
        <v>24.11764705882353</v>
      </c>
      <c r="AG7" s="59">
        <v>1.7647058823529411</v>
      </c>
      <c r="AH7" s="59">
        <v>3.5294117647058822</v>
      </c>
      <c r="AI7" s="59">
        <v>11.76470588235294</v>
      </c>
      <c r="AJ7" s="59">
        <v>8.823529411764707</v>
      </c>
      <c r="AK7" s="59">
        <v>1.1764705882352942</v>
      </c>
      <c r="AL7" s="59">
        <v>18.823529411764707</v>
      </c>
      <c r="AM7" s="59"/>
    </row>
    <row r="8" spans="1:39" s="83" customFormat="1" ht="11.25" customHeight="1">
      <c r="A8" s="57"/>
      <c r="B8" s="57" t="s">
        <v>24</v>
      </c>
      <c r="C8" s="56"/>
      <c r="D8" s="59">
        <v>1.8779342723004695</v>
      </c>
      <c r="E8" s="59">
        <v>6.103286384976526</v>
      </c>
      <c r="F8" s="59">
        <v>37.558685446009385</v>
      </c>
      <c r="G8" s="59">
        <v>12.676056338028168</v>
      </c>
      <c r="H8" s="59">
        <v>0.4694835680751174</v>
      </c>
      <c r="I8" s="59">
        <v>0.9389671361502347</v>
      </c>
      <c r="J8" s="59">
        <v>6.103286384976526</v>
      </c>
      <c r="K8" s="59">
        <v>6.572769953051644</v>
      </c>
      <c r="L8" s="59">
        <v>15.492957746478872</v>
      </c>
      <c r="M8" s="59">
        <v>0.4694835680751174</v>
      </c>
      <c r="N8" s="59">
        <v>29.577464788732392</v>
      </c>
      <c r="O8" s="59">
        <v>5.164319248826291</v>
      </c>
      <c r="P8" s="59">
        <v>20.657276995305164</v>
      </c>
      <c r="Q8" s="59">
        <v>24.88262910798122</v>
      </c>
      <c r="R8" s="59">
        <v>1.8779342723004695</v>
      </c>
      <c r="S8" s="59">
        <v>20.187793427230048</v>
      </c>
      <c r="T8" s="59">
        <v>0.4694835680751174</v>
      </c>
      <c r="U8" s="59">
        <v>2.3474178403755865</v>
      </c>
      <c r="V8" s="59">
        <v>0.4694835680751174</v>
      </c>
      <c r="W8" s="59">
        <v>7.511737089201878</v>
      </c>
      <c r="X8" s="59">
        <v>8.92018779342723</v>
      </c>
      <c r="Y8" s="59">
        <v>10.328638497652582</v>
      </c>
      <c r="Z8" s="59">
        <v>3.286384976525822</v>
      </c>
      <c r="AA8" s="59">
        <v>12.676056338028168</v>
      </c>
      <c r="AB8" s="59">
        <v>40.845070422535215</v>
      </c>
      <c r="AC8" s="59">
        <v>1.4084507042253522</v>
      </c>
      <c r="AD8" s="59">
        <v>0.4694835680751174</v>
      </c>
      <c r="AE8" s="59">
        <v>0.9389671361502347</v>
      </c>
      <c r="AF8" s="59">
        <v>19.248826291079812</v>
      </c>
      <c r="AG8" s="59">
        <v>1.4084507042253522</v>
      </c>
      <c r="AH8" s="59">
        <v>2.8169014084507045</v>
      </c>
      <c r="AI8" s="59">
        <v>9.389671361502346</v>
      </c>
      <c r="AJ8" s="59">
        <v>7.042253521126761</v>
      </c>
      <c r="AK8" s="59">
        <v>0.9389671361502347</v>
      </c>
      <c r="AL8" s="59">
        <v>15.023474178403756</v>
      </c>
      <c r="AM8" s="59"/>
    </row>
    <row r="9" spans="1:39" s="84" customFormat="1" ht="12.75" customHeight="1">
      <c r="A9" s="19"/>
      <c r="B9" s="18" t="s">
        <v>1</v>
      </c>
      <c r="C9" s="54"/>
      <c r="D9" s="48">
        <v>0.5847953216374271</v>
      </c>
      <c r="E9" s="48">
        <v>1.900584795321638</v>
      </c>
      <c r="F9" s="48">
        <v>11.695906432748538</v>
      </c>
      <c r="G9" s="48">
        <v>3.9473684210526323</v>
      </c>
      <c r="H9" s="48">
        <v>0.14619883040935677</v>
      </c>
      <c r="I9" s="48">
        <v>0.29239766081871355</v>
      </c>
      <c r="J9" s="48">
        <v>1.900584795321638</v>
      </c>
      <c r="K9" s="48">
        <v>2.046783625730995</v>
      </c>
      <c r="L9" s="48">
        <v>4.824561403508772</v>
      </c>
      <c r="M9" s="48">
        <v>0.14619883040935677</v>
      </c>
      <c r="N9" s="48">
        <v>9.210526315789474</v>
      </c>
      <c r="O9" s="48">
        <v>1.6081871345029244</v>
      </c>
      <c r="P9" s="48">
        <v>6.4327485380116975</v>
      </c>
      <c r="Q9" s="48">
        <v>7.748538011695908</v>
      </c>
      <c r="R9" s="48">
        <v>0.5847953216374271</v>
      </c>
      <c r="S9" s="48">
        <v>6.286549707602341</v>
      </c>
      <c r="T9" s="48">
        <v>0.14619883040935677</v>
      </c>
      <c r="U9" s="48">
        <v>0.7309941520467836</v>
      </c>
      <c r="V9" s="48">
        <v>0.14619883040935677</v>
      </c>
      <c r="W9" s="48">
        <v>2.3391812865497084</v>
      </c>
      <c r="X9" s="48">
        <v>2.7777777777777786</v>
      </c>
      <c r="Y9" s="48">
        <v>3.2163742690058488</v>
      </c>
      <c r="Z9" s="48">
        <v>1.0233918128654975</v>
      </c>
      <c r="AA9" s="48">
        <v>3.9473684210526323</v>
      </c>
      <c r="AB9" s="48">
        <v>12.71929824561404</v>
      </c>
      <c r="AC9" s="48">
        <v>0.4385964912280703</v>
      </c>
      <c r="AD9" s="48">
        <v>0.14619883040935677</v>
      </c>
      <c r="AE9" s="48">
        <v>0.29239766081871355</v>
      </c>
      <c r="AF9" s="48">
        <v>5.994152046783627</v>
      </c>
      <c r="AG9" s="48">
        <v>0.4385964912280703</v>
      </c>
      <c r="AH9" s="48">
        <v>0.8771929824561406</v>
      </c>
      <c r="AI9" s="48">
        <v>2.9239766081871346</v>
      </c>
      <c r="AJ9" s="48">
        <v>2.1929824561403515</v>
      </c>
      <c r="AK9" s="48">
        <v>0.29239766081871355</v>
      </c>
      <c r="AL9" s="48"/>
      <c r="AM9" s="48"/>
    </row>
    <row r="10" spans="1:39" s="85" customFormat="1" ht="12.75">
      <c r="A10" s="30"/>
      <c r="B10" s="30" t="s">
        <v>2</v>
      </c>
      <c r="C10" s="26">
        <v>0.06693940015731338</v>
      </c>
      <c r="D10" s="31">
        <v>3.419855682090218E-05</v>
      </c>
      <c r="E10" s="31">
        <v>0.00036122225642077927</v>
      </c>
      <c r="F10" s="31">
        <v>0.013679422728360865</v>
      </c>
      <c r="G10" s="31">
        <v>0.0015581717451523553</v>
      </c>
      <c r="H10" s="31">
        <v>2.137409801306386E-06</v>
      </c>
      <c r="I10" s="31">
        <v>8.549639205225545E-06</v>
      </c>
      <c r="J10" s="31">
        <v>0.00036122225642077927</v>
      </c>
      <c r="K10" s="31">
        <v>0.0004189323210560518</v>
      </c>
      <c r="L10" s="31">
        <v>0.0023276392736226535</v>
      </c>
      <c r="M10" s="31">
        <v>2.137409801306386E-06</v>
      </c>
      <c r="N10" s="31">
        <v>0.008483379501385044</v>
      </c>
      <c r="O10" s="31">
        <v>0.0002586265859580727</v>
      </c>
      <c r="P10" s="31">
        <v>0.004138025375329164</v>
      </c>
      <c r="Q10" s="31">
        <v>0.006003984131869637</v>
      </c>
      <c r="R10" s="31">
        <v>3.419855682090218E-05</v>
      </c>
      <c r="S10" s="31">
        <v>0.0039520707226155085</v>
      </c>
      <c r="T10" s="31">
        <v>2.137409801306386E-06</v>
      </c>
      <c r="U10" s="31">
        <v>5.343524503265963E-05</v>
      </c>
      <c r="V10" s="31">
        <v>2.137409801306386E-06</v>
      </c>
      <c r="W10" s="31">
        <v>0.0005471769091344349</v>
      </c>
      <c r="X10" s="31">
        <v>0.0007716049382716053</v>
      </c>
      <c r="Y10" s="31">
        <v>0.001034506343832291</v>
      </c>
      <c r="Z10" s="31">
        <v>0.00010473308026401295</v>
      </c>
      <c r="AA10" s="31">
        <v>0.0015581717451523553</v>
      </c>
      <c r="AB10" s="31">
        <v>0.01617805478608804</v>
      </c>
      <c r="AC10" s="31">
        <v>1.9236688211757477E-05</v>
      </c>
      <c r="AD10" s="31">
        <v>2.137409801306386E-06</v>
      </c>
      <c r="AE10" s="31">
        <v>8.549639205225545E-06</v>
      </c>
      <c r="AF10" s="31">
        <v>0.0035929858759960348</v>
      </c>
      <c r="AG10" s="31">
        <v>1.9236688211757477E-05</v>
      </c>
      <c r="AH10" s="31">
        <v>7.69467528470299E-05</v>
      </c>
      <c r="AI10" s="31">
        <v>0.000854963920522554</v>
      </c>
      <c r="AJ10" s="31">
        <v>0.0004809172052939369</v>
      </c>
      <c r="AK10" s="31">
        <v>8.549639205225545E-06</v>
      </c>
      <c r="AL10" s="31"/>
      <c r="AM10" s="31"/>
    </row>
    <row r="11" spans="2:39" ht="12.75">
      <c r="B11" s="1" t="s">
        <v>102</v>
      </c>
      <c r="C11" s="65"/>
      <c r="D11" s="47">
        <v>4</v>
      </c>
      <c r="E11" s="47">
        <v>13</v>
      </c>
      <c r="F11" s="47">
        <v>80</v>
      </c>
      <c r="G11" s="47">
        <v>27</v>
      </c>
      <c r="H11" s="47">
        <v>1</v>
      </c>
      <c r="I11" s="47">
        <v>2</v>
      </c>
      <c r="J11" s="47">
        <v>13</v>
      </c>
      <c r="K11" s="47">
        <v>14</v>
      </c>
      <c r="L11" s="47">
        <v>33</v>
      </c>
      <c r="M11" s="47">
        <v>1</v>
      </c>
      <c r="N11" s="47">
        <v>63</v>
      </c>
      <c r="O11" s="47">
        <v>11</v>
      </c>
      <c r="P11" s="47">
        <v>44</v>
      </c>
      <c r="Q11" s="47">
        <v>53</v>
      </c>
      <c r="R11" s="47">
        <v>4</v>
      </c>
      <c r="S11" s="47">
        <v>43</v>
      </c>
      <c r="T11" s="47">
        <v>1</v>
      </c>
      <c r="U11" s="47">
        <v>5</v>
      </c>
      <c r="V11" s="47">
        <v>1</v>
      </c>
      <c r="W11" s="47">
        <v>16</v>
      </c>
      <c r="X11" s="47">
        <v>19</v>
      </c>
      <c r="Y11" s="47">
        <v>22</v>
      </c>
      <c r="Z11" s="47">
        <v>7</v>
      </c>
      <c r="AA11" s="47">
        <v>27</v>
      </c>
      <c r="AB11" s="47">
        <v>87</v>
      </c>
      <c r="AC11" s="47">
        <v>3</v>
      </c>
      <c r="AD11" s="47">
        <v>1</v>
      </c>
      <c r="AE11" s="47">
        <v>2</v>
      </c>
      <c r="AF11" s="47">
        <v>41</v>
      </c>
      <c r="AG11" s="47">
        <v>3</v>
      </c>
      <c r="AH11" s="47">
        <v>6</v>
      </c>
      <c r="AI11" s="47">
        <v>20</v>
      </c>
      <c r="AJ11" s="47">
        <v>15</v>
      </c>
      <c r="AK11" s="47">
        <v>2</v>
      </c>
      <c r="AL11" s="47">
        <v>32</v>
      </c>
      <c r="AM11" s="47"/>
    </row>
    <row r="12" spans="1:39" s="82" customFormat="1" ht="12.75">
      <c r="A12" s="75"/>
      <c r="B12" s="57" t="s">
        <v>64</v>
      </c>
      <c r="C12" s="65">
        <v>2.1823529411764704</v>
      </c>
      <c r="D12" s="26">
        <v>1.25</v>
      </c>
      <c r="E12" s="26">
        <v>2.076923076923077</v>
      </c>
      <c r="F12" s="26">
        <v>1.175</v>
      </c>
      <c r="G12" s="26">
        <v>1.7037037037037037</v>
      </c>
      <c r="H12" s="26">
        <v>2</v>
      </c>
      <c r="I12" s="26">
        <v>1.5</v>
      </c>
      <c r="J12" s="26">
        <v>1</v>
      </c>
      <c r="K12" s="26">
        <v>1.2142857142857142</v>
      </c>
      <c r="L12" s="26">
        <v>1.121212121212121</v>
      </c>
      <c r="M12" s="26">
        <v>1</v>
      </c>
      <c r="N12" s="26">
        <v>1.1111111111111112</v>
      </c>
      <c r="O12" s="26">
        <v>1.6363636363636365</v>
      </c>
      <c r="P12" s="26">
        <v>1.9545454545454546</v>
      </c>
      <c r="Q12" s="26">
        <v>1.8113207547169812</v>
      </c>
      <c r="R12" s="26">
        <v>2</v>
      </c>
      <c r="S12" s="26">
        <v>1.2790697674418605</v>
      </c>
      <c r="T12" s="26">
        <v>1</v>
      </c>
      <c r="U12" s="26">
        <v>1</v>
      </c>
      <c r="V12" s="26">
        <v>2</v>
      </c>
      <c r="W12" s="26">
        <v>1.5</v>
      </c>
      <c r="X12" s="26">
        <v>1.2105263157894737</v>
      </c>
      <c r="Y12" s="26">
        <v>1.1363636363636365</v>
      </c>
      <c r="Z12" s="26">
        <v>1.4285714285714286</v>
      </c>
      <c r="AA12" s="26">
        <v>1.4074074074074074</v>
      </c>
      <c r="AB12" s="26">
        <v>1.5747126436781609</v>
      </c>
      <c r="AC12" s="26">
        <v>1.6666666666666667</v>
      </c>
      <c r="AD12" s="26">
        <v>1</v>
      </c>
      <c r="AE12" s="26">
        <v>1</v>
      </c>
      <c r="AF12" s="26">
        <v>1.2195121951219512</v>
      </c>
      <c r="AG12" s="26">
        <v>1</v>
      </c>
      <c r="AH12" s="26">
        <v>1</v>
      </c>
      <c r="AI12" s="26">
        <v>1.1</v>
      </c>
      <c r="AJ12" s="26">
        <v>1.2666666666666666</v>
      </c>
      <c r="AK12" s="26">
        <v>1</v>
      </c>
      <c r="AL12" s="26">
        <v>1.59375</v>
      </c>
      <c r="AM12" s="26"/>
    </row>
    <row r="13" spans="1:39" s="80" customFormat="1" ht="12.75">
      <c r="A13" s="38"/>
      <c r="B13" s="28" t="s">
        <v>62</v>
      </c>
      <c r="C13" s="66"/>
      <c r="D13" s="49">
        <v>1</v>
      </c>
      <c r="E13" s="49">
        <v>1</v>
      </c>
      <c r="F13" s="49">
        <v>1</v>
      </c>
      <c r="G13" s="49" t="s">
        <v>622</v>
      </c>
      <c r="H13" s="49" t="s">
        <v>622</v>
      </c>
      <c r="I13" s="49">
        <v>1</v>
      </c>
      <c r="J13" s="49" t="s">
        <v>622</v>
      </c>
      <c r="K13" s="49" t="s">
        <v>622</v>
      </c>
      <c r="L13" s="49">
        <v>14</v>
      </c>
      <c r="M13" s="49">
        <v>1</v>
      </c>
      <c r="N13" s="49">
        <v>2</v>
      </c>
      <c r="O13" s="49" t="s">
        <v>622</v>
      </c>
      <c r="P13" s="49">
        <v>5</v>
      </c>
      <c r="Q13" s="49">
        <v>3</v>
      </c>
      <c r="R13" s="49">
        <v>3</v>
      </c>
      <c r="S13" s="49">
        <v>12</v>
      </c>
      <c r="T13" s="49">
        <v>1</v>
      </c>
      <c r="U13" s="49">
        <v>1</v>
      </c>
      <c r="V13" s="49" t="s">
        <v>622</v>
      </c>
      <c r="W13" s="49">
        <v>5</v>
      </c>
      <c r="X13" s="49">
        <v>14</v>
      </c>
      <c r="Y13" s="49">
        <v>5</v>
      </c>
      <c r="Z13" s="49" t="s">
        <v>622</v>
      </c>
      <c r="AA13" s="49">
        <v>4</v>
      </c>
      <c r="AB13" s="49">
        <v>4</v>
      </c>
      <c r="AC13" s="49">
        <v>1</v>
      </c>
      <c r="AD13" s="49" t="s">
        <v>622</v>
      </c>
      <c r="AE13" s="49">
        <v>3</v>
      </c>
      <c r="AF13" s="49" t="s">
        <v>622</v>
      </c>
      <c r="AG13" s="49" t="s">
        <v>622</v>
      </c>
      <c r="AH13" s="49" t="s">
        <v>622</v>
      </c>
      <c r="AI13" s="49">
        <v>1</v>
      </c>
      <c r="AJ13" s="49" t="s">
        <v>622</v>
      </c>
      <c r="AK13" s="49" t="s">
        <v>622</v>
      </c>
      <c r="AL13" s="49" t="s">
        <v>622</v>
      </c>
      <c r="AM13" s="49"/>
    </row>
    <row r="14" spans="2:39" s="80" customFormat="1" ht="12.75">
      <c r="B14" s="81" t="s">
        <v>63</v>
      </c>
      <c r="C14" s="79"/>
      <c r="D14" s="31" t="s">
        <v>623</v>
      </c>
      <c r="E14" s="31" t="s">
        <v>623</v>
      </c>
      <c r="F14" s="31" t="s">
        <v>623</v>
      </c>
      <c r="G14" s="31" t="s">
        <v>623</v>
      </c>
      <c r="H14" s="31" t="s">
        <v>623</v>
      </c>
      <c r="I14" s="31" t="s">
        <v>623</v>
      </c>
      <c r="J14" s="31" t="s">
        <v>623</v>
      </c>
      <c r="K14" s="31" t="s">
        <v>623</v>
      </c>
      <c r="L14" s="31" t="s">
        <v>623</v>
      </c>
      <c r="M14" s="31" t="s">
        <v>623</v>
      </c>
      <c r="N14" s="31" t="s">
        <v>623</v>
      </c>
      <c r="O14" s="31" t="s">
        <v>623</v>
      </c>
      <c r="P14" s="31" t="s">
        <v>623</v>
      </c>
      <c r="Q14" s="31" t="s">
        <v>623</v>
      </c>
      <c r="R14" s="31" t="s">
        <v>623</v>
      </c>
      <c r="S14" s="31" t="s">
        <v>623</v>
      </c>
      <c r="T14" s="31" t="s">
        <v>623</v>
      </c>
      <c r="U14" s="31" t="s">
        <v>623</v>
      </c>
      <c r="V14" s="31" t="s">
        <v>623</v>
      </c>
      <c r="W14" s="31" t="s">
        <v>623</v>
      </c>
      <c r="X14" s="31" t="s">
        <v>623</v>
      </c>
      <c r="Y14" s="31" t="s">
        <v>623</v>
      </c>
      <c r="Z14" s="31" t="s">
        <v>623</v>
      </c>
      <c r="AA14" s="31" t="s">
        <v>623</v>
      </c>
      <c r="AB14" s="31" t="s">
        <v>623</v>
      </c>
      <c r="AC14" s="31" t="s">
        <v>623</v>
      </c>
      <c r="AD14" s="31" t="s">
        <v>623</v>
      </c>
      <c r="AE14" s="31" t="s">
        <v>623</v>
      </c>
      <c r="AF14" s="31" t="s">
        <v>623</v>
      </c>
      <c r="AG14" s="31" t="s">
        <v>623</v>
      </c>
      <c r="AH14" s="31" t="s">
        <v>623</v>
      </c>
      <c r="AI14" s="31" t="s">
        <v>623</v>
      </c>
      <c r="AJ14" s="31" t="s">
        <v>623</v>
      </c>
      <c r="AK14" s="31" t="s">
        <v>623</v>
      </c>
      <c r="AL14" s="31" t="s">
        <v>623</v>
      </c>
      <c r="AM14" s="31"/>
    </row>
    <row r="15" spans="2:38" s="76" customFormat="1" ht="12.75">
      <c r="B15" s="77"/>
      <c r="C15" s="7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</row>
    <row r="16" spans="2:38" ht="18">
      <c r="B16" s="27" t="s">
        <v>43</v>
      </c>
      <c r="C16" s="86"/>
      <c r="D16" s="37"/>
      <c r="E16" s="67"/>
      <c r="F16" s="37"/>
      <c r="G16" s="37" t="s">
        <v>102</v>
      </c>
      <c r="H16" s="37" t="s">
        <v>1</v>
      </c>
      <c r="I16" s="37" t="s">
        <v>16</v>
      </c>
      <c r="J16" s="37" t="s">
        <v>24</v>
      </c>
      <c r="K16" s="37" t="s">
        <v>64</v>
      </c>
      <c r="L16" s="37" t="s">
        <v>62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2:38" ht="12.75">
      <c r="B17" s="20" t="s">
        <v>404</v>
      </c>
      <c r="C17" s="53">
        <v>403</v>
      </c>
      <c r="D17" s="37"/>
      <c r="E17" s="174" t="s">
        <v>244</v>
      </c>
      <c r="F17" s="175" t="s">
        <v>245</v>
      </c>
      <c r="G17" s="175">
        <v>87</v>
      </c>
      <c r="H17" s="176">
        <v>12.71929824561404</v>
      </c>
      <c r="I17" s="176">
        <v>51.17647058823529</v>
      </c>
      <c r="J17" s="176">
        <v>40.845070422535215</v>
      </c>
      <c r="K17" s="176">
        <v>1.5747126436781609</v>
      </c>
      <c r="L17" s="177">
        <v>4</v>
      </c>
      <c r="M17" s="37"/>
      <c r="N17" s="75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2:38" ht="12.75">
      <c r="B18" s="1" t="s">
        <v>97</v>
      </c>
      <c r="C18" s="53">
        <v>170</v>
      </c>
      <c r="D18" s="37"/>
      <c r="E18" s="178" t="s">
        <v>132</v>
      </c>
      <c r="F18" s="179" t="s">
        <v>133</v>
      </c>
      <c r="G18" s="179">
        <v>80</v>
      </c>
      <c r="H18" s="180">
        <v>11.695906432748538</v>
      </c>
      <c r="I18" s="180">
        <v>47.05882352941176</v>
      </c>
      <c r="J18" s="180">
        <v>37.558685446009385</v>
      </c>
      <c r="K18" s="180">
        <v>1.175</v>
      </c>
      <c r="L18" s="181">
        <v>1</v>
      </c>
      <c r="M18" s="37"/>
      <c r="N18" s="82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2:38" ht="12.75">
      <c r="B19" s="1" t="s">
        <v>98</v>
      </c>
      <c r="C19" s="53">
        <v>213</v>
      </c>
      <c r="D19" s="37"/>
      <c r="E19" s="178" t="s">
        <v>185</v>
      </c>
      <c r="F19" s="179" t="s">
        <v>365</v>
      </c>
      <c r="G19" s="179">
        <v>63</v>
      </c>
      <c r="H19" s="180">
        <v>9.210526315789474</v>
      </c>
      <c r="I19" s="180">
        <v>37.05882352941177</v>
      </c>
      <c r="J19" s="180">
        <v>29.577464788732392</v>
      </c>
      <c r="K19" s="180">
        <v>1.1111111111111112</v>
      </c>
      <c r="L19" s="181">
        <v>2</v>
      </c>
      <c r="M19" s="37"/>
      <c r="N19" s="82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2:38" ht="12.75">
      <c r="B20" s="18" t="s">
        <v>24</v>
      </c>
      <c r="C20" s="54">
        <v>79.81220657276995</v>
      </c>
      <c r="D20" s="37"/>
      <c r="E20" s="182" t="s">
        <v>197</v>
      </c>
      <c r="F20" s="183" t="s">
        <v>198</v>
      </c>
      <c r="G20" s="183">
        <v>53</v>
      </c>
      <c r="H20" s="184">
        <v>7.748538011695908</v>
      </c>
      <c r="I20" s="184">
        <v>31.176470588235293</v>
      </c>
      <c r="J20" s="184">
        <v>24.88262910798122</v>
      </c>
      <c r="K20" s="184">
        <v>1.8113207547169812</v>
      </c>
      <c r="L20" s="185">
        <v>3</v>
      </c>
      <c r="M20" s="37"/>
      <c r="N20" s="166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2:38" ht="12.75">
      <c r="B21" s="1" t="s">
        <v>3</v>
      </c>
      <c r="C21" s="54">
        <v>0.9330605998426866</v>
      </c>
      <c r="D21" s="37"/>
      <c r="E21" s="178" t="s">
        <v>195</v>
      </c>
      <c r="F21" s="179" t="s">
        <v>196</v>
      </c>
      <c r="G21" s="179">
        <v>44</v>
      </c>
      <c r="H21" s="180">
        <v>6.4327485380116975</v>
      </c>
      <c r="I21" s="180">
        <v>25.882352941176475</v>
      </c>
      <c r="J21" s="180">
        <v>20.657276995305164</v>
      </c>
      <c r="K21" s="180">
        <v>1.9545454545454546</v>
      </c>
      <c r="L21" s="181">
        <v>5</v>
      </c>
      <c r="M21" s="37"/>
      <c r="N21" s="82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2:38" ht="15" customHeight="1">
      <c r="B22" s="1" t="s">
        <v>332</v>
      </c>
      <c r="C22" s="54">
        <v>13.5</v>
      </c>
      <c r="D22" s="37"/>
      <c r="E22" s="178" t="s">
        <v>209</v>
      </c>
      <c r="F22" s="179" t="s">
        <v>210</v>
      </c>
      <c r="G22" s="179">
        <v>43</v>
      </c>
      <c r="H22" s="180">
        <v>6.286549707602341</v>
      </c>
      <c r="I22" s="180">
        <v>25.294117647058822</v>
      </c>
      <c r="J22" s="180">
        <v>20.187793427230048</v>
      </c>
      <c r="K22" s="180">
        <v>1.2790697674418605</v>
      </c>
      <c r="L22" s="181">
        <v>12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2:38" ht="12.75">
      <c r="B23" s="1" t="s">
        <v>99</v>
      </c>
      <c r="C23" s="55">
        <v>26</v>
      </c>
      <c r="D23" s="37"/>
      <c r="E23" s="174" t="s">
        <v>295</v>
      </c>
      <c r="F23" s="175" t="s">
        <v>296</v>
      </c>
      <c r="G23" s="175">
        <v>41</v>
      </c>
      <c r="H23" s="176">
        <v>5.994152046783627</v>
      </c>
      <c r="I23" s="176">
        <v>24.11764705882353</v>
      </c>
      <c r="J23" s="176">
        <v>19.248826291079812</v>
      </c>
      <c r="K23" s="176">
        <v>1.2195121951219512</v>
      </c>
      <c r="L23" s="177"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2:38" ht="12.75">
      <c r="B24" s="1" t="s">
        <v>49</v>
      </c>
      <c r="C24" s="55">
        <v>234</v>
      </c>
      <c r="D24" s="37"/>
      <c r="E24" s="178" t="s">
        <v>330</v>
      </c>
      <c r="F24" s="179" t="s">
        <v>180</v>
      </c>
      <c r="G24" s="179">
        <v>33</v>
      </c>
      <c r="H24" s="180">
        <v>4.824561403508772</v>
      </c>
      <c r="I24" s="180">
        <v>19.411764705882355</v>
      </c>
      <c r="J24" s="180">
        <v>15.492957746478872</v>
      </c>
      <c r="K24" s="180">
        <v>1.121212121212121</v>
      </c>
      <c r="L24" s="181">
        <v>14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2:38" ht="12.75">
      <c r="B25" s="1" t="s">
        <v>59</v>
      </c>
      <c r="C25" s="56">
        <v>3.211267605633803</v>
      </c>
      <c r="D25" s="37"/>
      <c r="E25" s="175"/>
      <c r="F25" s="175" t="s">
        <v>401</v>
      </c>
      <c r="G25" s="175">
        <v>32</v>
      </c>
      <c r="H25" s="186" t="s">
        <v>569</v>
      </c>
      <c r="I25" s="176">
        <v>18.823529411764707</v>
      </c>
      <c r="J25" s="176">
        <v>15.023474178403756</v>
      </c>
      <c r="K25" s="176">
        <v>1.59375</v>
      </c>
      <c r="L25" s="177"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2:38" ht="12.75">
      <c r="B26" s="1" t="s">
        <v>100</v>
      </c>
      <c r="C26" s="56">
        <v>4.023529411764706</v>
      </c>
      <c r="D26" s="37"/>
      <c r="E26" s="178" t="s">
        <v>619</v>
      </c>
      <c r="F26" s="179" t="s">
        <v>567</v>
      </c>
      <c r="G26" s="179">
        <v>27</v>
      </c>
      <c r="H26" s="180">
        <v>3.9473684210526323</v>
      </c>
      <c r="I26" s="180">
        <v>15.88235294117647</v>
      </c>
      <c r="J26" s="180">
        <v>12.676056338028168</v>
      </c>
      <c r="K26" s="180">
        <v>1.7037037037037037</v>
      </c>
      <c r="L26" s="181"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2:38" ht="12.75">
      <c r="B27" s="1" t="s">
        <v>55</v>
      </c>
      <c r="C27" s="56">
        <v>3.211267605633803</v>
      </c>
      <c r="D27" s="37"/>
      <c r="E27" s="174" t="s">
        <v>237</v>
      </c>
      <c r="F27" s="175" t="s">
        <v>368</v>
      </c>
      <c r="G27" s="175">
        <v>27</v>
      </c>
      <c r="H27" s="176">
        <v>3.9473684210526323</v>
      </c>
      <c r="I27" s="176">
        <v>15.88235294117647</v>
      </c>
      <c r="J27" s="176">
        <v>12.676056338028168</v>
      </c>
      <c r="K27" s="176">
        <v>1.4074074074074074</v>
      </c>
      <c r="L27" s="177">
        <v>4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2:38" ht="12.75">
      <c r="B28" s="1" t="s">
        <v>101</v>
      </c>
      <c r="C28" s="56">
        <v>4.023529411764706</v>
      </c>
      <c r="D28" s="37"/>
      <c r="E28" s="174" t="s">
        <v>233</v>
      </c>
      <c r="F28" s="175" t="s">
        <v>234</v>
      </c>
      <c r="G28" s="175">
        <v>22</v>
      </c>
      <c r="H28" s="176">
        <v>3.2163742690058488</v>
      </c>
      <c r="I28" s="176">
        <v>12.941176470588237</v>
      </c>
      <c r="J28" s="176">
        <v>10.328638497652582</v>
      </c>
      <c r="K28" s="176">
        <v>1.1363636363636365</v>
      </c>
      <c r="L28" s="177">
        <v>5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2:38" ht="12.75">
      <c r="B29" s="1" t="s">
        <v>61</v>
      </c>
      <c r="C29" s="53">
        <v>34</v>
      </c>
      <c r="D29" s="37"/>
      <c r="E29" s="174" t="s">
        <v>304</v>
      </c>
      <c r="F29" s="175" t="s">
        <v>305</v>
      </c>
      <c r="G29" s="175">
        <v>20</v>
      </c>
      <c r="H29" s="176">
        <v>2.9239766081871346</v>
      </c>
      <c r="I29" s="176">
        <v>11.76470588235294</v>
      </c>
      <c r="J29" s="176">
        <v>9.389671361502346</v>
      </c>
      <c r="K29" s="176">
        <v>1.1</v>
      </c>
      <c r="L29" s="177">
        <v>1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2:38" ht="12.75">
      <c r="B30" s="1" t="s">
        <v>60</v>
      </c>
      <c r="C30" s="53">
        <v>34</v>
      </c>
      <c r="D30" s="44"/>
      <c r="E30" s="174" t="s">
        <v>319</v>
      </c>
      <c r="F30" s="175" t="s">
        <v>230</v>
      </c>
      <c r="G30" s="175">
        <v>19</v>
      </c>
      <c r="H30" s="176">
        <v>2.7777777777777786</v>
      </c>
      <c r="I30" s="176">
        <v>11.176470588235295</v>
      </c>
      <c r="J30" s="176">
        <v>8.92018779342723</v>
      </c>
      <c r="K30" s="176">
        <v>1.2105263157894737</v>
      </c>
      <c r="L30" s="177">
        <v>14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37"/>
    </row>
    <row r="31" spans="2:38" ht="12.75">
      <c r="B31" s="1" t="s">
        <v>554</v>
      </c>
      <c r="C31" s="53">
        <v>39</v>
      </c>
      <c r="D31" s="44"/>
      <c r="E31" s="174" t="s">
        <v>224</v>
      </c>
      <c r="F31" s="175" t="s">
        <v>350</v>
      </c>
      <c r="G31" s="175">
        <v>16</v>
      </c>
      <c r="H31" s="176">
        <v>2.3391812865497084</v>
      </c>
      <c r="I31" s="176">
        <v>9.411764705882353</v>
      </c>
      <c r="J31" s="176">
        <v>7.511737089201878</v>
      </c>
      <c r="K31" s="176">
        <v>1.5</v>
      </c>
      <c r="L31" s="177">
        <v>5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37"/>
    </row>
    <row r="32" spans="2:38" ht="15" customHeight="1">
      <c r="B32" s="1" t="s">
        <v>552</v>
      </c>
      <c r="C32" s="54">
        <v>5.55</v>
      </c>
      <c r="D32" s="37"/>
      <c r="E32" s="174" t="s">
        <v>306</v>
      </c>
      <c r="F32" s="175" t="s">
        <v>307</v>
      </c>
      <c r="G32" s="175">
        <v>15</v>
      </c>
      <c r="H32" s="176">
        <v>2.1929824561403515</v>
      </c>
      <c r="I32" s="176">
        <v>8.823529411764707</v>
      </c>
      <c r="J32" s="176">
        <v>7.042253521126761</v>
      </c>
      <c r="K32" s="176">
        <v>1.2666666666666666</v>
      </c>
      <c r="L32" s="177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2:38" ht="15" customHeight="1">
      <c r="B33" s="1" t="s">
        <v>553</v>
      </c>
      <c r="C33" s="54">
        <v>4.5</v>
      </c>
      <c r="D33" s="37"/>
      <c r="E33" s="178" t="s">
        <v>156</v>
      </c>
      <c r="F33" s="179" t="s">
        <v>157</v>
      </c>
      <c r="G33" s="179">
        <v>14</v>
      </c>
      <c r="H33" s="180">
        <v>2.046783625730995</v>
      </c>
      <c r="I33" s="180">
        <v>8.235294117647058</v>
      </c>
      <c r="J33" s="180">
        <v>6.572769953051644</v>
      </c>
      <c r="K33" s="180">
        <v>1.2142857142857142</v>
      </c>
      <c r="L33" s="181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2:38" ht="12.75">
      <c r="B34" s="1" t="s">
        <v>557</v>
      </c>
      <c r="C34" s="54">
        <v>2.1823529411764704</v>
      </c>
      <c r="E34" s="178" t="s">
        <v>122</v>
      </c>
      <c r="F34" s="179" t="s">
        <v>123</v>
      </c>
      <c r="G34" s="179">
        <v>13</v>
      </c>
      <c r="H34" s="180">
        <v>1.900584795321638</v>
      </c>
      <c r="I34" s="180">
        <v>7.647058823529412</v>
      </c>
      <c r="J34" s="180">
        <v>6.103286384976526</v>
      </c>
      <c r="K34" s="180">
        <v>2.076923076923077</v>
      </c>
      <c r="L34" s="181">
        <v>1</v>
      </c>
      <c r="AL34" s="37"/>
    </row>
    <row r="35" spans="2:38" ht="15.75">
      <c r="B35" s="101" t="s">
        <v>331</v>
      </c>
      <c r="E35" s="178" t="s">
        <v>145</v>
      </c>
      <c r="F35" s="179" t="s">
        <v>146</v>
      </c>
      <c r="G35" s="179">
        <v>13</v>
      </c>
      <c r="H35" s="180">
        <v>1.900584795321638</v>
      </c>
      <c r="I35" s="180">
        <v>7.647058823529412</v>
      </c>
      <c r="J35" s="180">
        <v>6.103286384976526</v>
      </c>
      <c r="K35" s="180">
        <v>1</v>
      </c>
      <c r="L35" s="181">
        <v>0</v>
      </c>
      <c r="AL35" s="37"/>
    </row>
    <row r="36" spans="5:38" ht="12.75">
      <c r="E36" s="178" t="s">
        <v>620</v>
      </c>
      <c r="F36" s="179" t="s">
        <v>189</v>
      </c>
      <c r="G36" s="179">
        <v>11</v>
      </c>
      <c r="H36" s="180">
        <v>1.6081871345029244</v>
      </c>
      <c r="I36" s="180">
        <v>6.470588235294119</v>
      </c>
      <c r="J36" s="180">
        <v>5.164319248826291</v>
      </c>
      <c r="K36" s="180">
        <v>1.6363636363636365</v>
      </c>
      <c r="L36" s="181">
        <v>0</v>
      </c>
      <c r="AL36" s="37"/>
    </row>
    <row r="37" spans="5:38" ht="12.75">
      <c r="E37" s="174" t="s">
        <v>235</v>
      </c>
      <c r="F37" s="175" t="s">
        <v>236</v>
      </c>
      <c r="G37" s="175">
        <v>7</v>
      </c>
      <c r="H37" s="176">
        <v>1.0233918128654975</v>
      </c>
      <c r="I37" s="176">
        <v>4.117647058823529</v>
      </c>
      <c r="J37" s="176">
        <v>3.286384976525822</v>
      </c>
      <c r="K37" s="176">
        <v>1.4285714285714286</v>
      </c>
      <c r="L37" s="177">
        <v>0</v>
      </c>
      <c r="AL37" s="37"/>
    </row>
    <row r="38" spans="5:38" ht="12.75">
      <c r="E38" s="174" t="s">
        <v>299</v>
      </c>
      <c r="F38" s="175" t="s">
        <v>343</v>
      </c>
      <c r="G38" s="175">
        <v>6</v>
      </c>
      <c r="H38" s="176">
        <v>0.8771929824561406</v>
      </c>
      <c r="I38" s="176">
        <v>3.5294117647058822</v>
      </c>
      <c r="J38" s="176">
        <v>2.8169014084507045</v>
      </c>
      <c r="K38" s="176">
        <v>1</v>
      </c>
      <c r="L38" s="177">
        <v>0</v>
      </c>
      <c r="AL38" s="37"/>
    </row>
    <row r="39" spans="5:38" ht="12.75">
      <c r="E39" s="174" t="s">
        <v>218</v>
      </c>
      <c r="F39" s="175" t="s">
        <v>366</v>
      </c>
      <c r="G39" s="175">
        <v>5</v>
      </c>
      <c r="H39" s="176">
        <v>0.7309941520467836</v>
      </c>
      <c r="I39" s="176">
        <v>2.941176470588235</v>
      </c>
      <c r="J39" s="176">
        <v>2.3474178403755865</v>
      </c>
      <c r="K39" s="176">
        <v>1</v>
      </c>
      <c r="L39" s="177">
        <v>1</v>
      </c>
      <c r="AL39" s="37"/>
    </row>
    <row r="40" spans="5:38" ht="12.75">
      <c r="E40" s="178" t="s">
        <v>379</v>
      </c>
      <c r="F40" s="179" t="s">
        <v>173</v>
      </c>
      <c r="G40" s="179">
        <v>4</v>
      </c>
      <c r="H40" s="180">
        <v>0.5847953216374271</v>
      </c>
      <c r="I40" s="180">
        <v>2.3529411764705883</v>
      </c>
      <c r="J40" s="180">
        <v>1.8779342723004695</v>
      </c>
      <c r="K40" s="180">
        <v>1.25</v>
      </c>
      <c r="L40" s="181">
        <v>1</v>
      </c>
      <c r="AL40" s="37"/>
    </row>
    <row r="41" spans="5:38" ht="12.75">
      <c r="E41" s="182" t="s">
        <v>205</v>
      </c>
      <c r="F41" s="183" t="s">
        <v>206</v>
      </c>
      <c r="G41" s="183">
        <v>4</v>
      </c>
      <c r="H41" s="184">
        <v>0.5847953216374271</v>
      </c>
      <c r="I41" s="184">
        <v>2.3529411764705883</v>
      </c>
      <c r="J41" s="184">
        <v>1.8779342723004695</v>
      </c>
      <c r="K41" s="184">
        <v>2</v>
      </c>
      <c r="L41" s="185">
        <v>3</v>
      </c>
      <c r="AL41" s="37"/>
    </row>
    <row r="42" spans="5:38" ht="12.75">
      <c r="E42" s="174" t="s">
        <v>260</v>
      </c>
      <c r="F42" s="175" t="s">
        <v>261</v>
      </c>
      <c r="G42" s="175">
        <v>3</v>
      </c>
      <c r="H42" s="176">
        <v>0.4385964912280703</v>
      </c>
      <c r="I42" s="176">
        <v>1.7647058823529411</v>
      </c>
      <c r="J42" s="176">
        <v>1.4084507042253522</v>
      </c>
      <c r="K42" s="176">
        <v>1.6666666666666667</v>
      </c>
      <c r="L42" s="177">
        <v>1</v>
      </c>
      <c r="AL42" s="37"/>
    </row>
    <row r="43" spans="5:38" ht="12.75">
      <c r="E43" s="174" t="s">
        <v>297</v>
      </c>
      <c r="F43" s="175" t="s">
        <v>298</v>
      </c>
      <c r="G43" s="175">
        <v>3</v>
      </c>
      <c r="H43" s="176">
        <v>0.4385964912280703</v>
      </c>
      <c r="I43" s="176">
        <v>1.7647058823529411</v>
      </c>
      <c r="J43" s="176">
        <v>1.4084507042253522</v>
      </c>
      <c r="K43" s="176">
        <v>1</v>
      </c>
      <c r="L43" s="177">
        <v>0</v>
      </c>
      <c r="AL43" s="37"/>
    </row>
    <row r="44" spans="5:38" ht="12.75">
      <c r="E44" s="178" t="s">
        <v>143</v>
      </c>
      <c r="F44" s="179" t="s">
        <v>144</v>
      </c>
      <c r="G44" s="179">
        <v>2</v>
      </c>
      <c r="H44" s="180">
        <v>0.29239766081871355</v>
      </c>
      <c r="I44" s="180">
        <v>1.1764705882352942</v>
      </c>
      <c r="J44" s="180">
        <v>0.9389671361502347</v>
      </c>
      <c r="K44" s="180">
        <v>1.5</v>
      </c>
      <c r="L44" s="181">
        <v>1</v>
      </c>
      <c r="AL44" s="37"/>
    </row>
    <row r="45" spans="5:38" ht="12.75">
      <c r="E45" s="174" t="s">
        <v>275</v>
      </c>
      <c r="F45" s="175" t="s">
        <v>568</v>
      </c>
      <c r="G45" s="175">
        <v>2</v>
      </c>
      <c r="H45" s="176">
        <v>0.29239766081871355</v>
      </c>
      <c r="I45" s="176">
        <v>1.1764705882352942</v>
      </c>
      <c r="J45" s="176">
        <v>0.9389671361502347</v>
      </c>
      <c r="K45" s="176">
        <v>1</v>
      </c>
      <c r="L45" s="177">
        <v>3</v>
      </c>
      <c r="AL45" s="37"/>
    </row>
    <row r="46" spans="5:38" ht="12.75">
      <c r="E46" s="174" t="s">
        <v>312</v>
      </c>
      <c r="F46" s="175" t="s">
        <v>313</v>
      </c>
      <c r="G46" s="175">
        <v>2</v>
      </c>
      <c r="H46" s="176">
        <v>0.29239766081871355</v>
      </c>
      <c r="I46" s="176">
        <v>1.1764705882352942</v>
      </c>
      <c r="J46" s="176">
        <v>0.9389671361502347</v>
      </c>
      <c r="K46" s="176">
        <v>1</v>
      </c>
      <c r="L46" s="177">
        <v>0</v>
      </c>
      <c r="AL46" s="37"/>
    </row>
    <row r="47" spans="5:38" ht="12.75">
      <c r="E47" s="178" t="s">
        <v>140</v>
      </c>
      <c r="F47" s="179" t="s">
        <v>141</v>
      </c>
      <c r="G47" s="179">
        <v>1</v>
      </c>
      <c r="H47" s="180">
        <v>0.14619883040935677</v>
      </c>
      <c r="I47" s="180">
        <v>0.5882352941176471</v>
      </c>
      <c r="J47" s="180">
        <v>0.4694835680751174</v>
      </c>
      <c r="K47" s="180">
        <v>2</v>
      </c>
      <c r="L47" s="181">
        <v>0</v>
      </c>
      <c r="AL47" s="37"/>
    </row>
    <row r="48" spans="5:38" ht="12.75">
      <c r="E48" s="178" t="s">
        <v>183</v>
      </c>
      <c r="F48" s="179" t="s">
        <v>184</v>
      </c>
      <c r="G48" s="179">
        <v>1</v>
      </c>
      <c r="H48" s="180">
        <v>0.14619883040935677</v>
      </c>
      <c r="I48" s="180">
        <v>0.5882352941176471</v>
      </c>
      <c r="J48" s="180">
        <v>0.4694835680751174</v>
      </c>
      <c r="K48" s="180">
        <v>1</v>
      </c>
      <c r="L48" s="181">
        <v>1</v>
      </c>
      <c r="AL48" s="37"/>
    </row>
    <row r="49" spans="5:38" ht="12.75">
      <c r="E49" s="178" t="s">
        <v>214</v>
      </c>
      <c r="F49" s="179" t="s">
        <v>215</v>
      </c>
      <c r="G49" s="179">
        <v>1</v>
      </c>
      <c r="H49" s="180">
        <v>0.14619883040935677</v>
      </c>
      <c r="I49" s="180">
        <v>0.5882352941176471</v>
      </c>
      <c r="J49" s="180">
        <v>0.4694835680751174</v>
      </c>
      <c r="K49" s="180">
        <v>1</v>
      </c>
      <c r="L49" s="181">
        <v>1</v>
      </c>
      <c r="AL49" s="37"/>
    </row>
    <row r="50" spans="5:38" ht="12.75">
      <c r="E50" s="174" t="s">
        <v>219</v>
      </c>
      <c r="F50" s="175" t="s">
        <v>342</v>
      </c>
      <c r="G50" s="175">
        <v>1</v>
      </c>
      <c r="H50" s="176">
        <v>0.14619883040935677</v>
      </c>
      <c r="I50" s="176">
        <v>0.5882352941176471</v>
      </c>
      <c r="J50" s="176">
        <v>0.4694835680751174</v>
      </c>
      <c r="K50" s="176">
        <v>2</v>
      </c>
      <c r="L50" s="177">
        <v>0</v>
      </c>
      <c r="AL50" s="37"/>
    </row>
    <row r="51" spans="5:38" ht="12.75">
      <c r="E51" s="174" t="s">
        <v>265</v>
      </c>
      <c r="F51" s="175" t="s">
        <v>266</v>
      </c>
      <c r="G51" s="175">
        <v>1</v>
      </c>
      <c r="H51" s="176">
        <v>0.14619883040935677</v>
      </c>
      <c r="I51" s="176">
        <v>0.5882352941176471</v>
      </c>
      <c r="J51" s="176">
        <v>0.4694835680751174</v>
      </c>
      <c r="K51" s="176">
        <v>1</v>
      </c>
      <c r="L51" s="177">
        <v>0</v>
      </c>
      <c r="AL51" s="37"/>
    </row>
    <row r="52" spans="5:38" ht="12.75">
      <c r="E52" s="174" t="s">
        <v>128</v>
      </c>
      <c r="F52" s="175" t="s">
        <v>129</v>
      </c>
      <c r="G52" s="187" t="s">
        <v>572</v>
      </c>
      <c r="H52" s="187" t="s">
        <v>572</v>
      </c>
      <c r="I52" s="187" t="s">
        <v>572</v>
      </c>
      <c r="J52" s="187" t="s">
        <v>572</v>
      </c>
      <c r="K52" s="187" t="s">
        <v>572</v>
      </c>
      <c r="L52" s="187" t="s">
        <v>572</v>
      </c>
      <c r="AL52" s="37"/>
    </row>
    <row r="53" spans="5:38" ht="12.75">
      <c r="E53" s="174" t="s">
        <v>570</v>
      </c>
      <c r="F53" s="175" t="s">
        <v>571</v>
      </c>
      <c r="G53" s="187" t="s">
        <v>572</v>
      </c>
      <c r="H53" s="187" t="s">
        <v>572</v>
      </c>
      <c r="I53" s="187" t="s">
        <v>572</v>
      </c>
      <c r="J53" s="187" t="s">
        <v>572</v>
      </c>
      <c r="K53" s="187" t="s">
        <v>572</v>
      </c>
      <c r="L53" s="187" t="s">
        <v>572</v>
      </c>
      <c r="AL53" s="37"/>
    </row>
    <row r="54" spans="5:38" ht="12.75">
      <c r="E54" s="174" t="s">
        <v>149</v>
      </c>
      <c r="F54" s="175" t="s">
        <v>150</v>
      </c>
      <c r="G54" s="187" t="s">
        <v>572</v>
      </c>
      <c r="H54" s="187" t="s">
        <v>572</v>
      </c>
      <c r="I54" s="187" t="s">
        <v>572</v>
      </c>
      <c r="J54" s="187" t="s">
        <v>572</v>
      </c>
      <c r="K54" s="187" t="s">
        <v>572</v>
      </c>
      <c r="L54" s="187" t="s">
        <v>572</v>
      </c>
      <c r="AL54" s="37"/>
    </row>
    <row r="55" spans="5:38" ht="12.75">
      <c r="E55" s="174" t="s">
        <v>267</v>
      </c>
      <c r="F55" s="175" t="s">
        <v>268</v>
      </c>
      <c r="G55" s="187" t="s">
        <v>572</v>
      </c>
      <c r="H55" s="187" t="s">
        <v>572</v>
      </c>
      <c r="I55" s="187" t="s">
        <v>572</v>
      </c>
      <c r="J55" s="187" t="s">
        <v>572</v>
      </c>
      <c r="K55" s="187" t="s">
        <v>572</v>
      </c>
      <c r="L55" s="187" t="s">
        <v>572</v>
      </c>
      <c r="AL55" s="37"/>
    </row>
    <row r="56" spans="5:38" ht="12.75">
      <c r="E56" s="174" t="s">
        <v>289</v>
      </c>
      <c r="F56" s="175" t="s">
        <v>290</v>
      </c>
      <c r="G56" s="187" t="s">
        <v>572</v>
      </c>
      <c r="H56" s="187" t="s">
        <v>572</v>
      </c>
      <c r="I56" s="187" t="s">
        <v>572</v>
      </c>
      <c r="J56" s="187" t="s">
        <v>572</v>
      </c>
      <c r="K56" s="187" t="s">
        <v>572</v>
      </c>
      <c r="L56" s="187" t="s">
        <v>572</v>
      </c>
      <c r="AL56" s="37"/>
    </row>
    <row r="57" ht="12.75">
      <c r="AL57" s="37"/>
    </row>
    <row r="58" spans="6:38" ht="12.75">
      <c r="F58" s="2" t="s">
        <v>573</v>
      </c>
      <c r="AL58" s="37"/>
    </row>
    <row r="59" spans="6:38" ht="12.75">
      <c r="F59" s="2" t="s">
        <v>574</v>
      </c>
      <c r="AL59" s="37"/>
    </row>
    <row r="60" ht="12.75">
      <c r="AL60" s="37"/>
    </row>
    <row r="61" ht="12.75">
      <c r="AL61" s="37"/>
    </row>
    <row r="62" ht="12.75">
      <c r="AL62" s="37"/>
    </row>
    <row r="63" ht="12.75">
      <c r="AL63" s="37"/>
    </row>
    <row r="64" ht="12.75">
      <c r="AL64" s="37"/>
    </row>
    <row r="65" ht="12.75">
      <c r="AL65" s="37"/>
    </row>
    <row r="66" ht="12.75">
      <c r="AL66" s="37"/>
    </row>
    <row r="67" ht="12.75">
      <c r="AL67" s="37"/>
    </row>
    <row r="68" ht="12.75">
      <c r="AL68" s="37"/>
    </row>
    <row r="69" ht="12.75">
      <c r="AL69" s="37"/>
    </row>
    <row r="70" ht="12.75">
      <c r="AL70" s="37"/>
    </row>
    <row r="71" ht="12.75">
      <c r="AL71" s="37"/>
    </row>
    <row r="72" ht="12.75">
      <c r="AL72" s="37"/>
    </row>
    <row r="73" ht="12.75">
      <c r="AL73" s="37"/>
    </row>
    <row r="74" ht="12.75">
      <c r="AL74" s="37"/>
    </row>
    <row r="75" ht="12.75">
      <c r="AL75" s="37"/>
    </row>
    <row r="76" ht="12.75">
      <c r="AL76" s="37"/>
    </row>
    <row r="77" ht="12.75">
      <c r="AL77" s="37"/>
    </row>
    <row r="78" ht="12.75">
      <c r="AL78" s="37"/>
    </row>
    <row r="79" ht="12.75">
      <c r="AL79" s="37"/>
    </row>
    <row r="80" ht="12.75">
      <c r="AL80" s="37"/>
    </row>
    <row r="81" ht="12.75">
      <c r="AL81" s="37"/>
    </row>
    <row r="82" ht="12.75">
      <c r="AL82" s="37"/>
    </row>
    <row r="83" ht="12.75">
      <c r="AL83" s="37"/>
    </row>
    <row r="84" ht="12.75">
      <c r="AL84" s="37"/>
    </row>
    <row r="85" ht="12.75">
      <c r="AL85" s="37"/>
    </row>
    <row r="86" ht="12.75">
      <c r="AL86" s="37"/>
    </row>
    <row r="87" ht="12.75">
      <c r="AL87" s="37"/>
    </row>
    <row r="88" ht="12.75">
      <c r="AL88" s="37"/>
    </row>
    <row r="89" ht="12.75">
      <c r="AL89" s="37"/>
    </row>
    <row r="90" ht="12.75">
      <c r="AL90" s="37"/>
    </row>
    <row r="91" ht="12.75">
      <c r="AL91" s="37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6:AL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14.7109375" style="0" bestFit="1" customWidth="1"/>
    <col min="2" max="2" width="19.28125" style="0" bestFit="1" customWidth="1"/>
  </cols>
  <sheetData>
    <row r="1" spans="1:2" ht="12.75">
      <c r="A1" s="1" t="s">
        <v>328</v>
      </c>
      <c r="B1" s="1" t="s">
        <v>329</v>
      </c>
    </row>
    <row r="2" spans="1:2" ht="12.75">
      <c r="A2">
        <v>1</v>
      </c>
      <c r="B2">
        <f>COUNTIF('ENTRY '!G2:G404,"&lt;=1")</f>
        <v>1</v>
      </c>
    </row>
    <row r="3" spans="1:2" ht="12.75">
      <c r="A3">
        <v>2</v>
      </c>
      <c r="B3">
        <f>COUNTIF('ENTRY '!G2:G404,"&lt;=2")-(B2)</f>
        <v>2</v>
      </c>
    </row>
    <row r="4" spans="1:2" ht="12.75">
      <c r="A4">
        <v>3</v>
      </c>
      <c r="B4">
        <f>COUNTIF('ENTRY '!G2:G404,"&lt;=3")-(B2+B3)</f>
        <v>21</v>
      </c>
    </row>
    <row r="5" spans="1:2" ht="12.75">
      <c r="A5">
        <v>4</v>
      </c>
      <c r="B5">
        <f>COUNTIF('ENTRY '!G2:G404,"&lt;=4")-(SUM(B2:B4))</f>
        <v>37</v>
      </c>
    </row>
    <row r="6" spans="1:2" ht="12.75">
      <c r="A6">
        <v>5</v>
      </c>
      <c r="B6">
        <f>COUNTIF('ENTRY '!G2:G404,"&lt;=5")-(SUM(B2:B5))</f>
        <v>40</v>
      </c>
    </row>
    <row r="7" spans="1:2" ht="12.75">
      <c r="A7">
        <v>6</v>
      </c>
      <c r="B7">
        <f>COUNTIF('ENTRY '!G2:G404,"&lt;=6")-(SUM(B2:B6))</f>
        <v>13</v>
      </c>
    </row>
    <row r="8" spans="1:2" ht="12.75">
      <c r="A8">
        <v>7</v>
      </c>
      <c r="B8">
        <f>COUNTIF('ENTRY '!G2:G404,"&lt;=7")-(SUM(B2:B7))</f>
        <v>10</v>
      </c>
    </row>
    <row r="9" spans="1:2" ht="12.75">
      <c r="A9">
        <v>8</v>
      </c>
      <c r="B9">
        <f>COUNTIF('ENTRY '!G2:G404,"&lt;=8")-(SUM(B2:B8))</f>
        <v>6</v>
      </c>
    </row>
    <row r="10" spans="1:2" ht="12.75">
      <c r="A10">
        <v>9</v>
      </c>
      <c r="B10">
        <f>COUNTIF('ENTRY '!G2:G404,"&lt;=9")-(SUM(B2:B9))</f>
        <v>7</v>
      </c>
    </row>
    <row r="11" spans="1:2" ht="12.75">
      <c r="A11">
        <v>10</v>
      </c>
      <c r="B11">
        <f>COUNTIF('ENTRY '!G2:G404,"&lt;=10")-(SUM(B2:B10))</f>
        <v>9</v>
      </c>
    </row>
    <row r="12" spans="1:2" ht="12.75">
      <c r="A12">
        <v>11</v>
      </c>
      <c r="B12">
        <f>COUNTIF('ENTRY '!G2:G404,"&lt;=11")-(SUM(B2:B11))</f>
        <v>5</v>
      </c>
    </row>
    <row r="13" spans="1:2" ht="12.75">
      <c r="A13">
        <v>12</v>
      </c>
      <c r="B13">
        <f>COUNTIF('ENTRY '!G2:G404,"&lt;=12")-(SUM(B2:B12))</f>
        <v>2</v>
      </c>
    </row>
    <row r="14" spans="1:2" ht="12.75">
      <c r="A14">
        <v>13</v>
      </c>
      <c r="B14">
        <f>COUNTIF('ENTRY '!G2:G404,"&lt;=13")-(SUM(B2:B13))</f>
        <v>3</v>
      </c>
    </row>
    <row r="15" spans="1:2" ht="12.75">
      <c r="A15">
        <v>14</v>
      </c>
      <c r="B15">
        <f>COUNTIF('ENTRY '!G2:G404,"&lt;=14")-(SUM(B2:B14))</f>
        <v>1</v>
      </c>
    </row>
    <row r="16" spans="1:2" ht="12.75">
      <c r="A16">
        <v>15</v>
      </c>
      <c r="B16">
        <f>COUNTIF('ENTRY '!G2:G404,"&lt;=15")-(SUM(B2:B15))</f>
        <v>0</v>
      </c>
    </row>
    <row r="17" spans="1:2" ht="12.75">
      <c r="A17">
        <v>16</v>
      </c>
      <c r="B17">
        <f>COUNTIF('ENTRY '!G2:G404,"&lt;=16")-(SUM(B2:B16))</f>
        <v>0</v>
      </c>
    </row>
    <row r="18" spans="1:2" ht="12.75">
      <c r="A18">
        <v>17</v>
      </c>
      <c r="B18">
        <f>COUNTIF('ENTRY '!G2:G404,"&lt;=17")-(SUM(B2:B17))</f>
        <v>0</v>
      </c>
    </row>
    <row r="19" spans="1:2" ht="12.75">
      <c r="A19">
        <v>18</v>
      </c>
      <c r="B19">
        <f>COUNTIF('ENTRY '!G2:G404,"&lt;=18")-(SUM(B2:B18))</f>
        <v>0</v>
      </c>
    </row>
    <row r="20" spans="1:2" ht="12.75">
      <c r="A20">
        <v>19</v>
      </c>
      <c r="B20">
        <f>COUNTIF('ENTRY '!G2:G404,"&lt;=19")-(SUM(B2:B19))</f>
        <v>0</v>
      </c>
    </row>
    <row r="21" spans="1:2" ht="12.75">
      <c r="A21">
        <v>20</v>
      </c>
      <c r="B21">
        <f>COUNTIF('ENTRY '!G2:G404,"&lt;=20")-(SUM(B2:B20))</f>
        <v>0</v>
      </c>
    </row>
    <row r="22" spans="1:2" ht="12.75">
      <c r="A22">
        <v>21</v>
      </c>
      <c r="B22">
        <f>COUNTIF('ENTRY '!G2:G404,"&lt;=21")-(SUM(B2:B21))</f>
        <v>0</v>
      </c>
    </row>
    <row r="23" spans="1:2" ht="12.75">
      <c r="A23">
        <v>22</v>
      </c>
      <c r="B23">
        <f>COUNTIF('ENTRY '!G2:G404,"&lt;=22")-(SUM(B2:B22))</f>
        <v>0</v>
      </c>
    </row>
    <row r="24" spans="1:2" ht="12.75">
      <c r="A24">
        <v>23</v>
      </c>
      <c r="B24">
        <f>COUNTIF('ENTRY '!G2:G404,"&lt;=23")-(SUM(B2:B23))</f>
        <v>0</v>
      </c>
    </row>
    <row r="25" spans="1:2" ht="12.75">
      <c r="A25">
        <v>24</v>
      </c>
      <c r="B25">
        <f>COUNTIF('ENTRY '!G2:G404,"&lt;=24")-(SUM(B2:B24))</f>
        <v>0</v>
      </c>
    </row>
    <row r="26" spans="1:2" ht="12.75">
      <c r="A26">
        <v>25</v>
      </c>
      <c r="B26">
        <f>COUNTIF('ENTRY '!G2:G404,"&lt;=25")-(SUM(B2:B25))</f>
        <v>0</v>
      </c>
    </row>
    <row r="27" spans="1:2" ht="12.75">
      <c r="A27">
        <v>26</v>
      </c>
      <c r="B27">
        <f>COUNTIF('ENTRY '!G2:G404,"&lt;=26")-(SUM(B2:B26))</f>
        <v>0</v>
      </c>
    </row>
    <row r="28" spans="1:2" ht="12.75">
      <c r="A28">
        <v>27</v>
      </c>
      <c r="B28">
        <f>COUNTIF('ENTRY '!G2:G404,"&lt;=27")-(SUM(B2:B27))</f>
        <v>0</v>
      </c>
    </row>
    <row r="29" spans="1:2" ht="12.75">
      <c r="A29">
        <v>28</v>
      </c>
      <c r="B29">
        <f>COUNTIF('ENTRY '!G2:G404,"&lt;=28")-(SUM(B2:B28))</f>
        <v>0</v>
      </c>
    </row>
    <row r="30" spans="1:2" ht="12.75">
      <c r="A30">
        <v>29</v>
      </c>
      <c r="B30">
        <f>COUNTIF('ENTRY '!G2:G404,"&lt;=29")-(SUM(B2:B29))</f>
        <v>0</v>
      </c>
    </row>
    <row r="31" spans="1:2" ht="12.75">
      <c r="A31">
        <v>30</v>
      </c>
      <c r="B31">
        <f>COUNTIF('ENTRY '!G2:G404,"&lt;=30")-(SUM(B2:B30))</f>
        <v>0</v>
      </c>
    </row>
    <row r="32" spans="1:2" ht="12.75">
      <c r="A32">
        <v>31</v>
      </c>
      <c r="B32">
        <f>COUNTIF('ENTRY '!G2:G404,"&lt;=31")-(SUM(B2:B31))</f>
        <v>0</v>
      </c>
    </row>
    <row r="33" spans="1:2" ht="12.75">
      <c r="A33">
        <v>32</v>
      </c>
      <c r="B33">
        <f>COUNTIF('ENTRY '!G2:G404,"&lt;=32")-(SUM(B2:B32))</f>
        <v>0</v>
      </c>
    </row>
    <row r="34" spans="1:2" ht="12.75">
      <c r="A34">
        <v>33</v>
      </c>
      <c r="B34">
        <f>COUNTIF('ENTRY '!G2:G404,"&lt;=33")-(SUM(B2:B33))</f>
        <v>0</v>
      </c>
    </row>
    <row r="35" spans="1:2" ht="12.75">
      <c r="A35">
        <v>34</v>
      </c>
      <c r="B35">
        <f>COUNTIF('ENTRY '!G2:G404,"&lt;=34")-(SUM(B2:B34))</f>
        <v>0</v>
      </c>
    </row>
    <row r="36" spans="1:2" ht="12.75">
      <c r="A36">
        <v>35</v>
      </c>
      <c r="B36">
        <f>COUNTIF('ENTRY '!G2:G404,"&lt;=35")-(SUM(B2:B35))</f>
        <v>0</v>
      </c>
    </row>
    <row r="37" spans="1:2" ht="12.75">
      <c r="A37">
        <v>36</v>
      </c>
      <c r="B37">
        <f>COUNTIF('ENTRY '!G2:G404,"&lt;=36")-(SUM(B2:B36))</f>
        <v>0</v>
      </c>
    </row>
    <row r="38" spans="1:2" ht="12.75">
      <c r="A38">
        <v>37</v>
      </c>
      <c r="B38">
        <f>COUNTIF('ENTRY '!G2:G404,"&lt;=37")-(SUM(B2:B37))</f>
        <v>0</v>
      </c>
    </row>
    <row r="39" spans="1:2" ht="12.75">
      <c r="A39">
        <v>38</v>
      </c>
      <c r="B39">
        <f>COUNTIF('ENTRY '!G2:G404,"&lt;=38")-(SUM(B2:B38))</f>
        <v>0</v>
      </c>
    </row>
    <row r="40" spans="1:2" ht="12.75">
      <c r="A40">
        <v>39</v>
      </c>
      <c r="B40">
        <f>COUNTIF('ENTRY '!G2:G404,"&lt;=39")-(SUM(B2:B39))</f>
        <v>0</v>
      </c>
    </row>
    <row r="41" spans="1:2" ht="12.75">
      <c r="A41">
        <v>40</v>
      </c>
      <c r="B41">
        <f>COUNTIF('ENTRY '!G2:G404,"&lt;=40")-(SUM(B2:B40))</f>
        <v>0</v>
      </c>
    </row>
    <row r="43" ht="13.5" thickBot="1">
      <c r="G43" s="97"/>
    </row>
    <row r="44" spans="1:7" ht="15">
      <c r="A44" s="127" t="s">
        <v>400</v>
      </c>
      <c r="B44" s="128"/>
      <c r="C44" s="128"/>
      <c r="D44" s="128"/>
      <c r="E44" s="128"/>
      <c r="F44" s="129"/>
      <c r="G44" s="133"/>
    </row>
    <row r="45" spans="1:7" ht="15" thickBot="1">
      <c r="A45" s="130" t="s">
        <v>399</v>
      </c>
      <c r="B45" s="131"/>
      <c r="C45" s="131"/>
      <c r="D45" s="131"/>
      <c r="E45" s="131"/>
      <c r="F45" s="132"/>
      <c r="G45" s="13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Matt</cp:lastModifiedBy>
  <cp:lastPrinted>2009-11-02T19:37:36Z</cp:lastPrinted>
  <dcterms:created xsi:type="dcterms:W3CDTF">2004-09-23T19:27:36Z</dcterms:created>
  <dcterms:modified xsi:type="dcterms:W3CDTF">2018-02-24T13:41:37Z</dcterms:modified>
  <cp:category/>
  <cp:version/>
  <cp:contentType/>
  <cp:contentStatus/>
</cp:coreProperties>
</file>