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730" windowHeight="9390" tabRatio="759" firstSheet="1" activeTab="6"/>
  </bookViews>
  <sheets>
    <sheet name="2018 Posttreatment Mapping Data" sheetId="43" r:id="rId1"/>
    <sheet name="2018 Pretreatment Mapping Data" sheetId="40" r:id="rId2"/>
    <sheet name="BOAT SURVEY" sheetId="44" r:id="rId3"/>
    <sheet name="ENTRY " sheetId="11" r:id="rId4"/>
    <sheet name="STATS" sheetId="15" r:id="rId5"/>
    <sheet name="2018 Posttreat STATS Summary" sheetId="41" r:id="rId6"/>
    <sheet name="2018 Pretreatment STATS Summary" sheetId="38" r:id="rId7"/>
    <sheet name="MAX DEPTH GRAPH" sheetId="25" r:id="rId8"/>
    <sheet name="CALCULATE FQI" sheetId="23" r:id="rId9"/>
    <sheet name="2018 Posttreatment Edited FQI" sheetId="42" r:id="rId10"/>
    <sheet name="2018 Pretreatment Edited FQI" sheetId="39" r:id="rId11"/>
  </sheets>
  <definedNames>
    <definedName name="_xlnm.Print_Area" localSheetId="5">'2018 Posttreat STATS Summary'!$B$1:$E$35</definedName>
    <definedName name="_xlnm.Print_Area" localSheetId="0">'2018 Posttreatment Mapping Data'!$A$1:$K$24</definedName>
    <definedName name="_xlnm.Print_Area" localSheetId="1">'2018 Pretreatment Mapping Data'!$A$1:$K$24</definedName>
    <definedName name="_xlnm.Print_Area" localSheetId="6">'2018 Pretreatment STATS Summary'!$B$1:$E$35</definedName>
    <definedName name="_xlnm.Print_Area" localSheetId="2">'BOAT SURVEY'!$A$1:$C$11</definedName>
    <definedName name="_xlnm.Print_Area" localSheetId="3">'ENTRY '!$A$1:$AJ$24</definedName>
    <definedName name="_xlnm.Print_Area" localSheetId="4">STATS!$B$1:$U$35</definedName>
  </definedNames>
  <calcPr calcId="125725"/>
</workbook>
</file>

<file path=xl/calcChain.xml><?xml version="1.0" encoding="utf-8"?>
<calcChain xmlns="http://schemas.openxmlformats.org/spreadsheetml/2006/main">
  <c r="C34" i="15"/>
  <c r="C11"/>
  <c r="EG1"/>
  <c r="D2" i="11" l="1"/>
  <c r="C2"/>
  <c r="B2"/>
  <c r="G2" s="1"/>
  <c r="C17" i="15"/>
  <c r="C23" s="1"/>
  <c r="D7"/>
  <c r="D11" s="1"/>
  <c r="E7"/>
  <c r="E11" s="1"/>
  <c r="F7"/>
  <c r="G7"/>
  <c r="H7"/>
  <c r="D11" i="23" s="1"/>
  <c r="E11" s="1"/>
  <c r="I7" i="15"/>
  <c r="I11" s="1"/>
  <c r="J7"/>
  <c r="J11" s="1"/>
  <c r="K7"/>
  <c r="K9" s="1"/>
  <c r="L7"/>
  <c r="D15" i="23" s="1"/>
  <c r="E15" s="1"/>
  <c r="M7" i="15"/>
  <c r="N7"/>
  <c r="N10" s="1"/>
  <c r="N8" s="1"/>
  <c r="N14" s="1"/>
  <c r="O7"/>
  <c r="P7"/>
  <c r="P9" s="1"/>
  <c r="Q7"/>
  <c r="R7"/>
  <c r="R11" s="1"/>
  <c r="S7"/>
  <c r="T7"/>
  <c r="T9" s="1"/>
  <c r="U7"/>
  <c r="U11" s="1"/>
  <c r="V7"/>
  <c r="V11" s="1"/>
  <c r="W7"/>
  <c r="X7"/>
  <c r="X10" s="1"/>
  <c r="X8" s="1"/>
  <c r="X14" s="1"/>
  <c r="Y7"/>
  <c r="Z7"/>
  <c r="Z11" s="1"/>
  <c r="AA7"/>
  <c r="AA11" s="1"/>
  <c r="AB7"/>
  <c r="AB9" s="1"/>
  <c r="AC7"/>
  <c r="AD7"/>
  <c r="AD9" s="1"/>
  <c r="AE7"/>
  <c r="AE10" s="1"/>
  <c r="AE8" s="1"/>
  <c r="AE14" s="1"/>
  <c r="AF7"/>
  <c r="AG7"/>
  <c r="AG10" s="1"/>
  <c r="AG8" s="1"/>
  <c r="AG14" s="1"/>
  <c r="AH7"/>
  <c r="AH9" s="1"/>
  <c r="AI7"/>
  <c r="AJ7"/>
  <c r="AJ10" s="1"/>
  <c r="AJ8" s="1"/>
  <c r="AJ14" s="1"/>
  <c r="AK7"/>
  <c r="AK10" s="1"/>
  <c r="AK8" s="1"/>
  <c r="AK14" s="1"/>
  <c r="AL7"/>
  <c r="AM7"/>
  <c r="D37" i="23" s="1"/>
  <c r="E37" s="1"/>
  <c r="AN7" i="15"/>
  <c r="AO7"/>
  <c r="AP7"/>
  <c r="AP10" s="1"/>
  <c r="AP8" s="1"/>
  <c r="AP14" s="1"/>
  <c r="AQ7"/>
  <c r="AR7"/>
  <c r="AR10" s="1"/>
  <c r="AR8" s="1"/>
  <c r="AR14" s="1"/>
  <c r="AS7"/>
  <c r="AS11" s="1"/>
  <c r="AT7"/>
  <c r="AU7"/>
  <c r="AU11" s="1"/>
  <c r="AV7"/>
  <c r="AW7"/>
  <c r="AW11" s="1"/>
  <c r="AX7"/>
  <c r="AX11" s="1"/>
  <c r="AY7"/>
  <c r="AZ7"/>
  <c r="D49" i="23" s="1"/>
  <c r="E49" s="1"/>
  <c r="BA7" i="15"/>
  <c r="BB7"/>
  <c r="BC7"/>
  <c r="BC10" s="1"/>
  <c r="BC8" s="1"/>
  <c r="BC14" s="1"/>
  <c r="BD7"/>
  <c r="BE7"/>
  <c r="BE10" s="1"/>
  <c r="BE8" s="1"/>
  <c r="BE14" s="1"/>
  <c r="BF7"/>
  <c r="BF9" s="1"/>
  <c r="BG7"/>
  <c r="BG11" s="1"/>
  <c r="BH7"/>
  <c r="D56" i="23" s="1"/>
  <c r="E56" s="1"/>
  <c r="BI7" i="15"/>
  <c r="BI11" s="1"/>
  <c r="BJ7"/>
  <c r="BK7"/>
  <c r="BL7"/>
  <c r="BL10" s="1"/>
  <c r="BL8" s="1"/>
  <c r="BL14" s="1"/>
  <c r="BM7"/>
  <c r="BN7"/>
  <c r="BO7"/>
  <c r="BP7"/>
  <c r="D63" i="23" s="1"/>
  <c r="E63" s="1"/>
  <c r="BQ7" i="15"/>
  <c r="BQ10" s="1"/>
  <c r="BQ8" s="1"/>
  <c r="BQ14" s="1"/>
  <c r="BR7"/>
  <c r="BS7"/>
  <c r="BS9" s="1"/>
  <c r="BT7"/>
  <c r="BT9" s="1"/>
  <c r="BU7"/>
  <c r="D68" i="23" s="1"/>
  <c r="E68" s="1"/>
  <c r="BV7" i="15"/>
  <c r="BV9" s="1"/>
  <c r="BW7"/>
  <c r="BX7"/>
  <c r="BX10" s="1"/>
  <c r="BX8" s="1"/>
  <c r="BX14" s="1"/>
  <c r="BY7"/>
  <c r="BZ7"/>
  <c r="CA7"/>
  <c r="CB7"/>
  <c r="CC7"/>
  <c r="D76" i="23" s="1"/>
  <c r="E76" s="1"/>
  <c r="CD7" i="15"/>
  <c r="CE7"/>
  <c r="CE10" s="1"/>
  <c r="CE8" s="1"/>
  <c r="CE14" s="1"/>
  <c r="CF7"/>
  <c r="CF10" s="1"/>
  <c r="CF8" s="1"/>
  <c r="CF14" s="1"/>
  <c r="CG7"/>
  <c r="CG11" s="1"/>
  <c r="CH7"/>
  <c r="CI7"/>
  <c r="CJ7"/>
  <c r="D83" i="23" s="1"/>
  <c r="E83" s="1"/>
  <c r="CK7" i="15"/>
  <c r="CL7"/>
  <c r="CM7"/>
  <c r="CM11" s="1"/>
  <c r="CN7"/>
  <c r="CN10" s="1"/>
  <c r="CN8" s="1"/>
  <c r="CN14" s="1"/>
  <c r="CO7"/>
  <c r="CO11" s="1"/>
  <c r="CP7"/>
  <c r="CQ7"/>
  <c r="CR7"/>
  <c r="CS7"/>
  <c r="CS9" s="1"/>
  <c r="CT7"/>
  <c r="CT10" s="1"/>
  <c r="CT8" s="1"/>
  <c r="CT14" s="1"/>
  <c r="CU7"/>
  <c r="CU11" s="1"/>
  <c r="CV7"/>
  <c r="CV11" s="1"/>
  <c r="CW7"/>
  <c r="CW11" s="1"/>
  <c r="CX7"/>
  <c r="CY7"/>
  <c r="D99" i="23" s="1"/>
  <c r="E99" s="1"/>
  <c r="CZ7" i="15"/>
  <c r="DA7"/>
  <c r="DA11" s="1"/>
  <c r="DB7"/>
  <c r="DB11" s="1"/>
  <c r="DC7"/>
  <c r="DD7"/>
  <c r="DE7"/>
  <c r="D104" i="23" s="1"/>
  <c r="E104" s="1"/>
  <c r="DF7" i="15"/>
  <c r="DF11" s="1"/>
  <c r="DG7"/>
  <c r="DH7"/>
  <c r="D107" i="23" s="1"/>
  <c r="E107" s="1"/>
  <c r="DI7" i="15"/>
  <c r="D108" i="23" s="1"/>
  <c r="E108" s="1"/>
  <c r="DJ7" i="15"/>
  <c r="D109" i="23" s="1"/>
  <c r="E109" s="1"/>
  <c r="DK7" i="15"/>
  <c r="DK9" s="1"/>
  <c r="DL7"/>
  <c r="DL10" s="1"/>
  <c r="DL8" s="1"/>
  <c r="DL14" s="1"/>
  <c r="DM7"/>
  <c r="DN7"/>
  <c r="DN9" s="1"/>
  <c r="DO7"/>
  <c r="DO10" s="1"/>
  <c r="DO8" s="1"/>
  <c r="DO14" s="1"/>
  <c r="DP7"/>
  <c r="DQ7"/>
  <c r="DQ9" s="1"/>
  <c r="DR7"/>
  <c r="DS7"/>
  <c r="DS11" s="1"/>
  <c r="DT7"/>
  <c r="DU7"/>
  <c r="DU11" s="1"/>
  <c r="DV7"/>
  <c r="DV11" s="1"/>
  <c r="DW7"/>
  <c r="D121" i="23" s="1"/>
  <c r="E121" s="1"/>
  <c r="DX7" i="15"/>
  <c r="D122" i="23" s="1"/>
  <c r="E122" s="1"/>
  <c r="DY7" i="15"/>
  <c r="DZ7"/>
  <c r="DZ10" s="1"/>
  <c r="DZ8" s="1"/>
  <c r="DZ14" s="1"/>
  <c r="EA7"/>
  <c r="EA9" s="1"/>
  <c r="EB7"/>
  <c r="EB11" s="1"/>
  <c r="EC7"/>
  <c r="EC11" s="1"/>
  <c r="ED7"/>
  <c r="D128" i="23" s="1"/>
  <c r="E128" s="1"/>
  <c r="EE7" i="15"/>
  <c r="EF7"/>
  <c r="EG7"/>
  <c r="EH7"/>
  <c r="EH10" s="1"/>
  <c r="EH8" s="1"/>
  <c r="EH14" s="1"/>
  <c r="EI7"/>
  <c r="EI9" s="1"/>
  <c r="EJ7"/>
  <c r="EJ9" s="1"/>
  <c r="EK7"/>
  <c r="EK11" s="1"/>
  <c r="EQ7"/>
  <c r="ER7"/>
  <c r="ER10" s="1"/>
  <c r="ER8" s="1"/>
  <c r="ER14" s="1"/>
  <c r="ES7"/>
  <c r="ET7"/>
  <c r="ET10" s="1"/>
  <c r="ET8" s="1"/>
  <c r="ET14" s="1"/>
  <c r="EU7"/>
  <c r="EV7"/>
  <c r="EW7"/>
  <c r="EW9" s="1"/>
  <c r="EX7"/>
  <c r="EX10" s="1"/>
  <c r="EX8" s="1"/>
  <c r="EX14" s="1"/>
  <c r="EY7"/>
  <c r="EY9" s="1"/>
  <c r="EP7"/>
  <c r="EP10" s="1"/>
  <c r="EP12"/>
  <c r="EO7"/>
  <c r="D94" i="23" s="1"/>
  <c r="E94" s="1"/>
  <c r="EO1" i="15"/>
  <c r="EP1"/>
  <c r="EQ1"/>
  <c r="ER1"/>
  <c r="ES1"/>
  <c r="ET1"/>
  <c r="EU1"/>
  <c r="EV1"/>
  <c r="EW1"/>
  <c r="EX1"/>
  <c r="EY1"/>
  <c r="B15" i="11"/>
  <c r="G15" s="1"/>
  <c r="B3"/>
  <c r="G3" s="1"/>
  <c r="D3" i="23"/>
  <c r="D2"/>
  <c r="B4" i="11"/>
  <c r="G4" s="1"/>
  <c r="B5"/>
  <c r="G5" s="1"/>
  <c r="B6"/>
  <c r="G6" s="1"/>
  <c r="B7"/>
  <c r="G7" s="1"/>
  <c r="B8"/>
  <c r="G8" s="1"/>
  <c r="B9"/>
  <c r="G9" s="1"/>
  <c r="B10"/>
  <c r="G10" s="1"/>
  <c r="B11"/>
  <c r="G11" s="1"/>
  <c r="B12"/>
  <c r="G12" s="1"/>
  <c r="B13"/>
  <c r="G13" s="1"/>
  <c r="B14"/>
  <c r="G14" s="1"/>
  <c r="B16"/>
  <c r="G16" s="1"/>
  <c r="B17"/>
  <c r="G17" s="1"/>
  <c r="B18"/>
  <c r="G18" s="1"/>
  <c r="B19"/>
  <c r="G19" s="1"/>
  <c r="B20"/>
  <c r="G20" s="1"/>
  <c r="B21"/>
  <c r="G21" s="1"/>
  <c r="B22"/>
  <c r="G22" s="1"/>
  <c r="B23"/>
  <c r="G23" s="1"/>
  <c r="B24"/>
  <c r="G24" s="1"/>
  <c r="B25"/>
  <c r="G25" s="1"/>
  <c r="B26"/>
  <c r="G26" s="1"/>
  <c r="B27"/>
  <c r="G27" s="1"/>
  <c r="B28"/>
  <c r="G28" s="1"/>
  <c r="B29"/>
  <c r="G29" s="1"/>
  <c r="B30"/>
  <c r="G30" s="1"/>
  <c r="B31"/>
  <c r="G31" s="1"/>
  <c r="B32"/>
  <c r="G32" s="1"/>
  <c r="B33"/>
  <c r="G33" s="1"/>
  <c r="B34"/>
  <c r="G34" s="1"/>
  <c r="B35"/>
  <c r="G35" s="1"/>
  <c r="B36"/>
  <c r="G36" s="1"/>
  <c r="B37"/>
  <c r="G37" s="1"/>
  <c r="B38"/>
  <c r="G38" s="1"/>
  <c r="B39"/>
  <c r="G39" s="1"/>
  <c r="B40"/>
  <c r="G40" s="1"/>
  <c r="B41"/>
  <c r="G41" s="1"/>
  <c r="B42"/>
  <c r="G42" s="1"/>
  <c r="B43"/>
  <c r="G43" s="1"/>
  <c r="B44"/>
  <c r="G44" s="1"/>
  <c r="B45"/>
  <c r="G45" s="1"/>
  <c r="B46"/>
  <c r="G46" s="1"/>
  <c r="B47"/>
  <c r="G47" s="1"/>
  <c r="B48"/>
  <c r="G48" s="1"/>
  <c r="B49"/>
  <c r="G49" s="1"/>
  <c r="B50"/>
  <c r="G50" s="1"/>
  <c r="B51"/>
  <c r="G51" s="1"/>
  <c r="B52"/>
  <c r="G52" s="1"/>
  <c r="B53"/>
  <c r="G53" s="1"/>
  <c r="B54"/>
  <c r="G54" s="1"/>
  <c r="B55"/>
  <c r="G55" s="1"/>
  <c r="B56"/>
  <c r="G56" s="1"/>
  <c r="B57"/>
  <c r="G57" s="1"/>
  <c r="B58"/>
  <c r="G58" s="1"/>
  <c r="B59"/>
  <c r="G59" s="1"/>
  <c r="B60"/>
  <c r="G60" s="1"/>
  <c r="B61"/>
  <c r="G61" s="1"/>
  <c r="B62"/>
  <c r="G62" s="1"/>
  <c r="B63"/>
  <c r="G63" s="1"/>
  <c r="B64"/>
  <c r="G64" s="1"/>
  <c r="B65"/>
  <c r="G65" s="1"/>
  <c r="B66"/>
  <c r="G66" s="1"/>
  <c r="B67"/>
  <c r="G67" s="1"/>
  <c r="E12" i="15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AE12"/>
  <c r="AF12"/>
  <c r="AG12"/>
  <c r="AH12"/>
  <c r="AI12"/>
  <c r="AJ12"/>
  <c r="AK12"/>
  <c r="AL12"/>
  <c r="AM12"/>
  <c r="AN12"/>
  <c r="AO12"/>
  <c r="AP12"/>
  <c r="AQ12"/>
  <c r="AR12"/>
  <c r="AS12"/>
  <c r="AT12"/>
  <c r="AU12"/>
  <c r="AV12"/>
  <c r="AW12"/>
  <c r="AX12"/>
  <c r="AY12"/>
  <c r="AZ12"/>
  <c r="BA12"/>
  <c r="BB12"/>
  <c r="BC12"/>
  <c r="BD12"/>
  <c r="BE12"/>
  <c r="BF12"/>
  <c r="BG12"/>
  <c r="BH12"/>
  <c r="BI12"/>
  <c r="BJ12"/>
  <c r="BK12"/>
  <c r="BL12"/>
  <c r="BM12"/>
  <c r="BN12"/>
  <c r="BO12"/>
  <c r="BP12"/>
  <c r="BQ12"/>
  <c r="BR12"/>
  <c r="BS12"/>
  <c r="BT12"/>
  <c r="BU12"/>
  <c r="BV12"/>
  <c r="BW12"/>
  <c r="BX12"/>
  <c r="BY12"/>
  <c r="BZ12"/>
  <c r="CA12"/>
  <c r="CB12"/>
  <c r="CC12"/>
  <c r="CD12"/>
  <c r="CE12"/>
  <c r="CF12"/>
  <c r="CG12"/>
  <c r="CH12"/>
  <c r="CI12"/>
  <c r="CJ12"/>
  <c r="CK12"/>
  <c r="CL12"/>
  <c r="CM12"/>
  <c r="CN12"/>
  <c r="CO12"/>
  <c r="CP12"/>
  <c r="CQ12"/>
  <c r="CR12"/>
  <c r="CS12"/>
  <c r="CT12"/>
  <c r="CU12"/>
  <c r="CV12"/>
  <c r="CV13" s="1"/>
  <c r="CW12"/>
  <c r="CX12"/>
  <c r="CY12"/>
  <c r="CZ12"/>
  <c r="DA12"/>
  <c r="DB12"/>
  <c r="DC12"/>
  <c r="DD12"/>
  <c r="DE12"/>
  <c r="DF12"/>
  <c r="DG12"/>
  <c r="DH12"/>
  <c r="DI12"/>
  <c r="DJ12"/>
  <c r="DK12"/>
  <c r="DL12"/>
  <c r="DM12"/>
  <c r="DN12"/>
  <c r="DO12"/>
  <c r="DP12"/>
  <c r="DQ12"/>
  <c r="DR12"/>
  <c r="DS12"/>
  <c r="DT12"/>
  <c r="DU12"/>
  <c r="DV12"/>
  <c r="DW12"/>
  <c r="DX12"/>
  <c r="DY12"/>
  <c r="DZ12"/>
  <c r="EA12"/>
  <c r="EB12"/>
  <c r="EC12"/>
  <c r="ED12"/>
  <c r="EE12"/>
  <c r="EF12"/>
  <c r="EG12"/>
  <c r="EH12"/>
  <c r="EI12"/>
  <c r="EJ12"/>
  <c r="EK12"/>
  <c r="EL12"/>
  <c r="EM12"/>
  <c r="EN12"/>
  <c r="EO12"/>
  <c r="EQ12"/>
  <c r="ER12"/>
  <c r="ES12"/>
  <c r="ET12"/>
  <c r="EU12"/>
  <c r="EV12"/>
  <c r="EW12"/>
  <c r="EX12"/>
  <c r="EY12"/>
  <c r="D12"/>
  <c r="CF11"/>
  <c r="EL7"/>
  <c r="EL9" s="1"/>
  <c r="EM7"/>
  <c r="EM10" s="1"/>
  <c r="EN7"/>
  <c r="EN11" s="1"/>
  <c r="D3" i="11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C3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EL1" i="15"/>
  <c r="EM1"/>
  <c r="EN1"/>
  <c r="DR1"/>
  <c r="DS1"/>
  <c r="DT1"/>
  <c r="DU1"/>
  <c r="DV1"/>
  <c r="DW1"/>
  <c r="DX1"/>
  <c r="DY1"/>
  <c r="DO1"/>
  <c r="DP1"/>
  <c r="DQ1"/>
  <c r="DZ1"/>
  <c r="DD1"/>
  <c r="DE1"/>
  <c r="DF1"/>
  <c r="DG1"/>
  <c r="DH1"/>
  <c r="DI1"/>
  <c r="CS1"/>
  <c r="CT1"/>
  <c r="CI1"/>
  <c r="CJ1"/>
  <c r="CK1"/>
  <c r="CL1"/>
  <c r="CM1"/>
  <c r="BL1"/>
  <c r="BM1"/>
  <c r="BN1"/>
  <c r="AR1"/>
  <c r="AS1"/>
  <c r="AT1"/>
  <c r="AU1"/>
  <c r="AO1"/>
  <c r="AP1"/>
  <c r="AQ1"/>
  <c r="AV1"/>
  <c r="AW1"/>
  <c r="X1"/>
  <c r="Y1"/>
  <c r="Z1"/>
  <c r="AA1"/>
  <c r="AB1"/>
  <c r="P1"/>
  <c r="Q1"/>
  <c r="M1"/>
  <c r="N1"/>
  <c r="O1"/>
  <c r="R1"/>
  <c r="L1"/>
  <c r="G1"/>
  <c r="H1"/>
  <c r="I1"/>
  <c r="J1"/>
  <c r="K1"/>
  <c r="F1"/>
  <c r="CR1"/>
  <c r="CU1"/>
  <c r="CV1"/>
  <c r="CW1"/>
  <c r="CX1"/>
  <c r="BJ1"/>
  <c r="BK1"/>
  <c r="BO1"/>
  <c r="S1"/>
  <c r="T1"/>
  <c r="AX1"/>
  <c r="BQ1"/>
  <c r="BR1"/>
  <c r="BS1"/>
  <c r="BT1"/>
  <c r="BU1"/>
  <c r="BV1"/>
  <c r="AI1"/>
  <c r="AJ1"/>
  <c r="AK1"/>
  <c r="AL1"/>
  <c r="AM1"/>
  <c r="AN1"/>
  <c r="U1"/>
  <c r="V1"/>
  <c r="W1"/>
  <c r="AC1"/>
  <c r="AD1"/>
  <c r="AE1"/>
  <c r="AF1"/>
  <c r="AG1"/>
  <c r="AH1"/>
  <c r="AY1"/>
  <c r="AZ1"/>
  <c r="BA1"/>
  <c r="BB1"/>
  <c r="BC1"/>
  <c r="BD1"/>
  <c r="BE1"/>
  <c r="BF1"/>
  <c r="BG1"/>
  <c r="BH1"/>
  <c r="BI1"/>
  <c r="BP1"/>
  <c r="BW1"/>
  <c r="BX1"/>
  <c r="BY1"/>
  <c r="BZ1"/>
  <c r="CA1"/>
  <c r="CB1"/>
  <c r="CC1"/>
  <c r="CD1"/>
  <c r="CE1"/>
  <c r="CF1"/>
  <c r="CG1"/>
  <c r="CH1"/>
  <c r="CN1"/>
  <c r="CO1"/>
  <c r="CP1"/>
  <c r="CQ1"/>
  <c r="CY1"/>
  <c r="CZ1"/>
  <c r="DA1"/>
  <c r="DB1"/>
  <c r="DC1"/>
  <c r="DJ1"/>
  <c r="DK1"/>
  <c r="DL1"/>
  <c r="DM1"/>
  <c r="DN1"/>
  <c r="EA1"/>
  <c r="EB1"/>
  <c r="EC1"/>
  <c r="ED1"/>
  <c r="EE1"/>
  <c r="EF1"/>
  <c r="EH1"/>
  <c r="EI1"/>
  <c r="EJ1"/>
  <c r="EK1"/>
  <c r="D45" i="23"/>
  <c r="E45" s="1"/>
  <c r="D105"/>
  <c r="E105" s="1"/>
  <c r="D1"/>
  <c r="B3" i="15"/>
  <c r="B5"/>
  <c r="B2"/>
  <c r="B4"/>
  <c r="CJ9"/>
  <c r="CN9"/>
  <c r="BR11"/>
  <c r="D27" i="23"/>
  <c r="E27" s="1"/>
  <c r="D23"/>
  <c r="E23" s="1"/>
  <c r="DH10" i="15"/>
  <c r="DH8" s="1"/>
  <c r="DH14" s="1"/>
  <c r="D9" i="23"/>
  <c r="E9" s="1"/>
  <c r="CN11" i="15"/>
  <c r="CJ10"/>
  <c r="CJ8" s="1"/>
  <c r="CJ14" s="1"/>
  <c r="AH11"/>
  <c r="L9"/>
  <c r="AP11"/>
  <c r="DB9"/>
  <c r="V10"/>
  <c r="V8" s="1"/>
  <c r="V14" s="1"/>
  <c r="D134" i="23"/>
  <c r="E134" s="1"/>
  <c r="AZ11" i="15"/>
  <c r="R9"/>
  <c r="R10"/>
  <c r="R8" s="1"/>
  <c r="R14" s="1"/>
  <c r="BL9"/>
  <c r="DL9"/>
  <c r="BT11"/>
  <c r="EJ11"/>
  <c r="V9"/>
  <c r="EF11"/>
  <c r="D30" i="23"/>
  <c r="E30" s="1"/>
  <c r="N11" i="15"/>
  <c r="N9"/>
  <c r="D79" i="23"/>
  <c r="E79" s="1"/>
  <c r="AL11" i="15"/>
  <c r="AP9"/>
  <c r="DT10"/>
  <c r="DT8" s="1"/>
  <c r="DT14" s="1"/>
  <c r="D118" i="23"/>
  <c r="E118" s="1"/>
  <c r="L11" i="15"/>
  <c r="DJ11"/>
  <c r="BI10"/>
  <c r="BI8" s="1"/>
  <c r="BI14" s="1"/>
  <c r="DZ9"/>
  <c r="EO9"/>
  <c r="D116" i="23"/>
  <c r="E116" s="1"/>
  <c r="D60"/>
  <c r="E60" s="1"/>
  <c r="BL11" i="15"/>
  <c r="D25" i="23"/>
  <c r="E25" s="1"/>
  <c r="D21"/>
  <c r="E21" s="1"/>
  <c r="I10" i="15" l="1"/>
  <c r="I8" s="1"/>
  <c r="I14" s="1"/>
  <c r="D17" i="23"/>
  <c r="E17" s="1"/>
  <c r="D34"/>
  <c r="E34" s="1"/>
  <c r="DB10" i="15"/>
  <c r="DB8" s="1"/>
  <c r="DB14" s="1"/>
  <c r="AM10"/>
  <c r="AM8" s="1"/>
  <c r="AM14" s="1"/>
  <c r="CE9"/>
  <c r="DO11"/>
  <c r="DO13" s="1"/>
  <c r="DI9"/>
  <c r="EJ13"/>
  <c r="D88" i="23"/>
  <c r="E88" s="1"/>
  <c r="CS10" i="15"/>
  <c r="CS8" s="1"/>
  <c r="CS14" s="1"/>
  <c r="BQ9"/>
  <c r="AW10"/>
  <c r="AW8" s="1"/>
  <c r="AW14" s="1"/>
  <c r="D101" i="23"/>
  <c r="E101" s="1"/>
  <c r="DE9" i="15"/>
  <c r="D84" i="23"/>
  <c r="E84" s="1"/>
  <c r="AW9" i="15"/>
  <c r="Q11"/>
  <c r="Q13" s="1"/>
  <c r="D54" i="23"/>
  <c r="E54" s="1"/>
  <c r="BM11" i="15"/>
  <c r="AC11"/>
  <c r="AC13" s="1"/>
  <c r="EX11"/>
  <c r="EX13" s="1"/>
  <c r="D43" i="23"/>
  <c r="E43" s="1"/>
  <c r="BE9" i="15"/>
  <c r="I9"/>
  <c r="CG10"/>
  <c r="CG8" s="1"/>
  <c r="CG14" s="1"/>
  <c r="D80" i="23"/>
  <c r="E80" s="1"/>
  <c r="ER11" i="15"/>
  <c r="ER13" s="1"/>
  <c r="AM11"/>
  <c r="AM13" s="1"/>
  <c r="EA11"/>
  <c r="EA13" s="1"/>
  <c r="S11"/>
  <c r="S13" s="1"/>
  <c r="CY9"/>
  <c r="CU10"/>
  <c r="CU8" s="1"/>
  <c r="CU14" s="1"/>
  <c r="AM9"/>
  <c r="AI11"/>
  <c r="AI13" s="1"/>
  <c r="EP9"/>
  <c r="AU9"/>
  <c r="AE9"/>
  <c r="D31" i="23"/>
  <c r="E31" s="1"/>
  <c r="EI11" i="15"/>
  <c r="AU10"/>
  <c r="AU8" s="1"/>
  <c r="AU14" s="1"/>
  <c r="K11"/>
  <c r="D18" i="23"/>
  <c r="E18" s="1"/>
  <c r="DS9" i="15"/>
  <c r="EI10"/>
  <c r="EI8" s="1"/>
  <c r="EI14" s="1"/>
  <c r="D78" i="23"/>
  <c r="E78" s="1"/>
  <c r="D130"/>
  <c r="E130" s="1"/>
  <c r="D114"/>
  <c r="E114" s="1"/>
  <c r="BD11" i="15"/>
  <c r="EN13"/>
  <c r="CV9"/>
  <c r="DH11"/>
  <c r="D111" i="23"/>
  <c r="E111" s="1"/>
  <c r="EF13" i="15"/>
  <c r="BP9"/>
  <c r="CF9"/>
  <c r="BX11"/>
  <c r="BX13" s="1"/>
  <c r="EJ10"/>
  <c r="EJ8" s="1"/>
  <c r="EJ14" s="1"/>
  <c r="D96" i="23"/>
  <c r="E96" s="1"/>
  <c r="L13" i="15"/>
  <c r="DL11"/>
  <c r="DL13" s="1"/>
  <c r="BT10"/>
  <c r="BT8" s="1"/>
  <c r="BT14" s="1"/>
  <c r="CV10"/>
  <c r="CV8" s="1"/>
  <c r="CV14" s="1"/>
  <c r="DH13"/>
  <c r="C18"/>
  <c r="EF9" s="1"/>
  <c r="DP11"/>
  <c r="DP13" s="1"/>
  <c r="CR11"/>
  <c r="D53" i="23"/>
  <c r="E53" s="1"/>
  <c r="D20"/>
  <c r="E20" s="1"/>
  <c r="I13" i="15"/>
  <c r="EG11"/>
  <c r="EG13" s="1"/>
  <c r="D61" i="23"/>
  <c r="E61" s="1"/>
  <c r="D50"/>
  <c r="E50" s="1"/>
  <c r="F11" i="15"/>
  <c r="F13" s="1"/>
  <c r="EC13"/>
  <c r="D35" i="23"/>
  <c r="E35" s="1"/>
  <c r="D106"/>
  <c r="E106" s="1"/>
  <c r="D90"/>
  <c r="E90" s="1"/>
  <c r="CI11" i="15"/>
  <c r="CI13" s="1"/>
  <c r="D74" i="23"/>
  <c r="E74" s="1"/>
  <c r="CO13" i="15"/>
  <c r="CW13"/>
  <c r="DW11"/>
  <c r="DW13" s="1"/>
  <c r="ER9"/>
  <c r="E13"/>
  <c r="CM9"/>
  <c r="D117" i="23"/>
  <c r="E117" s="1"/>
  <c r="D66"/>
  <c r="E66" s="1"/>
  <c r="EK13" i="15"/>
  <c r="DU13"/>
  <c r="CG13"/>
  <c r="DW9"/>
  <c r="BS10"/>
  <c r="BS8" s="1"/>
  <c r="BS14" s="1"/>
  <c r="BC11"/>
  <c r="BC13" s="1"/>
  <c r="BI9"/>
  <c r="L10"/>
  <c r="L8" s="1"/>
  <c r="L14" s="1"/>
  <c r="Y11"/>
  <c r="Y13" s="1"/>
  <c r="D82" i="23"/>
  <c r="E82" s="1"/>
  <c r="BE11" i="15"/>
  <c r="BE13" s="1"/>
  <c r="D92" i="23"/>
  <c r="E92" s="1"/>
  <c r="BA11" i="15"/>
  <c r="BA13" s="1"/>
  <c r="D12" i="23"/>
  <c r="E12" s="1"/>
  <c r="D26"/>
  <c r="E26" s="1"/>
  <c r="D64"/>
  <c r="E64" s="1"/>
  <c r="DI10" i="15"/>
  <c r="DI8" s="1"/>
  <c r="DI14" s="1"/>
  <c r="DO9"/>
  <c r="DS10"/>
  <c r="DS8" s="1"/>
  <c r="DS14" s="1"/>
  <c r="D40" i="23"/>
  <c r="E40" s="1"/>
  <c r="DI11" i="15"/>
  <c r="DI13" s="1"/>
  <c r="BQ11"/>
  <c r="BQ13" s="1"/>
  <c r="BR13"/>
  <c r="AR9"/>
  <c r="AK9"/>
  <c r="DA13"/>
  <c r="DW10"/>
  <c r="DW8" s="1"/>
  <c r="DW14" s="1"/>
  <c r="BM13"/>
  <c r="D29" i="23"/>
  <c r="E29" s="1"/>
  <c r="D102"/>
  <c r="E102" s="1"/>
  <c r="D133"/>
  <c r="E133" s="1"/>
  <c r="CY10" i="15"/>
  <c r="CY8" s="1"/>
  <c r="CY14" s="1"/>
  <c r="AS13"/>
  <c r="D42" i="23"/>
  <c r="E42" s="1"/>
  <c r="EA10" i="15"/>
  <c r="EA8" s="1"/>
  <c r="EA14" s="1"/>
  <c r="CY11"/>
  <c r="CY13" s="1"/>
  <c r="D125" i="23"/>
  <c r="E125" s="1"/>
  <c r="AK11" i="15"/>
  <c r="AK13" s="1"/>
  <c r="D75" i="23"/>
  <c r="E75" s="1"/>
  <c r="CB11" i="15"/>
  <c r="CB13" s="1"/>
  <c r="CC11"/>
  <c r="CC13" s="1"/>
  <c r="EC10"/>
  <c r="EC8" s="1"/>
  <c r="EC14" s="1"/>
  <c r="EC9"/>
  <c r="DM10"/>
  <c r="DM8" s="1"/>
  <c r="DM14" s="1"/>
  <c r="D112" i="23"/>
  <c r="E112" s="1"/>
  <c r="CD11" i="15"/>
  <c r="CD13" s="1"/>
  <c r="EU11"/>
  <c r="EU13" s="1"/>
  <c r="EU10"/>
  <c r="EU8" s="1"/>
  <c r="EU14" s="1"/>
  <c r="DR11"/>
  <c r="DR13" s="1"/>
  <c r="M10"/>
  <c r="M8" s="1"/>
  <c r="M14" s="1"/>
  <c r="M11"/>
  <c r="M13" s="1"/>
  <c r="D10" i="23"/>
  <c r="E10" s="1"/>
  <c r="G11" i="15"/>
  <c r="G13" s="1"/>
  <c r="DD11"/>
  <c r="DD13" s="1"/>
  <c r="DD10"/>
  <c r="DD8" s="1"/>
  <c r="DD14" s="1"/>
  <c r="AV11"/>
  <c r="AV13" s="1"/>
  <c r="AV9"/>
  <c r="DJ13"/>
  <c r="N13"/>
  <c r="EX9"/>
  <c r="DV13"/>
  <c r="BG13"/>
  <c r="AU13"/>
  <c r="J13"/>
  <c r="D13"/>
  <c r="CA11"/>
  <c r="CA13" s="1"/>
  <c r="R13"/>
  <c r="BS11"/>
  <c r="BS13" s="1"/>
  <c r="DZ11"/>
  <c r="DZ13" s="1"/>
  <c r="EH11"/>
  <c r="EH13" s="1"/>
  <c r="BF11"/>
  <c r="BF13" s="1"/>
  <c r="AJ11"/>
  <c r="AJ13" s="1"/>
  <c r="D69" i="23"/>
  <c r="E69" s="1"/>
  <c r="DM11" i="15"/>
  <c r="DM13" s="1"/>
  <c r="EO11"/>
  <c r="EO13" s="1"/>
  <c r="X11"/>
  <c r="X13" s="1"/>
  <c r="D123" i="23"/>
  <c r="E123" s="1"/>
  <c r="DY10" i="15"/>
  <c r="DY8" s="1"/>
  <c r="DY14" s="1"/>
  <c r="DY9"/>
  <c r="DY11"/>
  <c r="DY13" s="1"/>
  <c r="D85" i="23"/>
  <c r="E85" s="1"/>
  <c r="CL11" i="15"/>
  <c r="CL13" s="1"/>
  <c r="D65" i="23"/>
  <c r="E65" s="1"/>
  <c r="BR9" i="15"/>
  <c r="AX10"/>
  <c r="AX8" s="1"/>
  <c r="AX14" s="1"/>
  <c r="AX9"/>
  <c r="P11"/>
  <c r="P13" s="1"/>
  <c r="D19" i="23"/>
  <c r="E19" s="1"/>
  <c r="P10" i="15"/>
  <c r="P8" s="1"/>
  <c r="P14" s="1"/>
  <c r="EL10"/>
  <c r="EL11"/>
  <c r="EL13" s="1"/>
  <c r="CK11"/>
  <c r="CK13" s="1"/>
  <c r="AT11"/>
  <c r="AT13" s="1"/>
  <c r="AT9"/>
  <c r="D44" i="23"/>
  <c r="E44" s="1"/>
  <c r="AT10" i="15"/>
  <c r="AT8" s="1"/>
  <c r="AT14" s="1"/>
  <c r="D36" i="23"/>
  <c r="E36" s="1"/>
  <c r="W11" i="15"/>
  <c r="W13" s="1"/>
  <c r="D24" i="23"/>
  <c r="E24" s="1"/>
  <c r="D22"/>
  <c r="E22" s="1"/>
  <c r="DM9" i="15"/>
  <c r="AJ9"/>
  <c r="CT9"/>
  <c r="X9"/>
  <c r="EO10"/>
  <c r="AL13"/>
  <c r="AH13"/>
  <c r="DH9"/>
  <c r="AA13"/>
  <c r="DF13"/>
  <c r="DB13"/>
  <c r="CU13"/>
  <c r="CM13"/>
  <c r="U13"/>
  <c r="EI13"/>
  <c r="EB13"/>
  <c r="V13"/>
  <c r="C24"/>
  <c r="DU9"/>
  <c r="D113" i="23"/>
  <c r="E113" s="1"/>
  <c r="CM10" i="15"/>
  <c r="CM8" s="1"/>
  <c r="CM14" s="1"/>
  <c r="EM11"/>
  <c r="EM13" s="1"/>
  <c r="BU9"/>
  <c r="EM9"/>
  <c r="EP11"/>
  <c r="EP13" s="1"/>
  <c r="DN11"/>
  <c r="DN13" s="1"/>
  <c r="CW10"/>
  <c r="CW8" s="1"/>
  <c r="CW14" s="1"/>
  <c r="D97" i="23" s="1"/>
  <c r="E97" s="1"/>
  <c r="D77"/>
  <c r="E77" s="1"/>
  <c r="D71"/>
  <c r="E71" s="1"/>
  <c r="BU11" i="15"/>
  <c r="BU13" s="1"/>
  <c r="AZ9"/>
  <c r="O11"/>
  <c r="O13" s="1"/>
  <c r="H10"/>
  <c r="H8" s="1"/>
  <c r="H14" s="1"/>
  <c r="M9"/>
  <c r="BG9"/>
  <c r="DU10"/>
  <c r="DU8" s="1"/>
  <c r="DU14" s="1"/>
  <c r="D124" i="23"/>
  <c r="E124" s="1"/>
  <c r="D127"/>
  <c r="E127" s="1"/>
  <c r="EH9" i="15"/>
  <c r="DN10"/>
  <c r="DN8" s="1"/>
  <c r="DN14" s="1"/>
  <c r="D38" i="23"/>
  <c r="E38" s="1"/>
  <c r="D57"/>
  <c r="E57" s="1"/>
  <c r="D115"/>
  <c r="E115" s="1"/>
  <c r="BH9" i="15"/>
  <c r="D86" i="23"/>
  <c r="E86" s="1"/>
  <c r="BX9" i="15"/>
  <c r="CT11"/>
  <c r="CT13" s="1"/>
  <c r="DC11"/>
  <c r="DC13" s="1"/>
  <c r="D47" i="23"/>
  <c r="E47" s="1"/>
  <c r="AR11" i="15"/>
  <c r="AR13" s="1"/>
  <c r="D126" i="23"/>
  <c r="E126" s="1"/>
  <c r="CG9" i="15"/>
  <c r="DS13"/>
  <c r="BU10"/>
  <c r="BU8" s="1"/>
  <c r="BU14" s="1"/>
  <c r="D46" i="23"/>
  <c r="E46" s="1"/>
  <c r="AZ10" i="15"/>
  <c r="AZ8" s="1"/>
  <c r="AZ14" s="1"/>
  <c r="CJ11"/>
  <c r="CJ13" s="1"/>
  <c r="D87" i="23"/>
  <c r="E87" s="1"/>
  <c r="G9" i="15"/>
  <c r="D95" i="23"/>
  <c r="E95" s="1"/>
  <c r="DX9" i="15"/>
  <c r="EU9"/>
  <c r="AV10"/>
  <c r="AV8" s="1"/>
  <c r="AV14" s="1"/>
  <c r="BO11"/>
  <c r="BO13" s="1"/>
  <c r="H11"/>
  <c r="H13" s="1"/>
  <c r="DF9"/>
  <c r="DF10"/>
  <c r="DF8" s="1"/>
  <c r="DF14" s="1"/>
  <c r="CF13"/>
  <c r="BT13"/>
  <c r="BL13"/>
  <c r="D131" i="23"/>
  <c r="E131" s="1"/>
  <c r="CU9" i="15"/>
  <c r="D91" i="23"/>
  <c r="E91" s="1"/>
  <c r="BH10" i="15"/>
  <c r="BH8" s="1"/>
  <c r="BH14" s="1"/>
  <c r="AE11"/>
  <c r="AE13" s="1"/>
  <c r="D14" i="23"/>
  <c r="E14" s="1"/>
  <c r="G10" i="15"/>
  <c r="G8" s="1"/>
  <c r="G14" s="1"/>
  <c r="EW11"/>
  <c r="EW13" s="1"/>
  <c r="DQ11"/>
  <c r="DQ13" s="1"/>
  <c r="D93" i="23"/>
  <c r="E93" s="1"/>
  <c r="AX13" i="15"/>
  <c r="K13"/>
  <c r="D119" i="23"/>
  <c r="E119" s="1"/>
  <c r="EW10" i="15"/>
  <c r="EW8" s="1"/>
  <c r="EW14" s="1"/>
  <c r="J10"/>
  <c r="J8" s="1"/>
  <c r="J14" s="1"/>
  <c r="AP13"/>
  <c r="EB9"/>
  <c r="H9"/>
  <c r="D132" i="23"/>
  <c r="E132" s="1"/>
  <c r="AA10" i="15"/>
  <c r="AA8" s="1"/>
  <c r="AA14" s="1"/>
  <c r="D16" i="23"/>
  <c r="E16" s="1"/>
  <c r="BG10" i="15"/>
  <c r="BG8" s="1"/>
  <c r="BG14" s="1"/>
  <c r="EQ11"/>
  <c r="EQ13" s="1"/>
  <c r="BH11"/>
  <c r="BH13" s="1"/>
  <c r="CW9"/>
  <c r="K10"/>
  <c r="K8" s="1"/>
  <c r="K14" s="1"/>
  <c r="AH10"/>
  <c r="AH8" s="1"/>
  <c r="AH14" s="1"/>
  <c r="DJ10"/>
  <c r="DJ8" s="1"/>
  <c r="DJ14" s="1"/>
  <c r="Z13"/>
  <c r="EB10"/>
  <c r="EB8" s="1"/>
  <c r="EB14" s="1"/>
  <c r="BR10"/>
  <c r="BR8" s="1"/>
  <c r="BR14" s="1"/>
  <c r="DJ9"/>
  <c r="DQ10"/>
  <c r="DQ8" s="1"/>
  <c r="DQ14" s="1"/>
  <c r="BI13"/>
  <c r="C26"/>
  <c r="C28"/>
  <c r="C33"/>
  <c r="D32" i="23"/>
  <c r="E32" s="1"/>
  <c r="AF10" i="15"/>
  <c r="AF8" s="1"/>
  <c r="AF14" s="1"/>
  <c r="AF11"/>
  <c r="AF13" s="1"/>
  <c r="AF9"/>
  <c r="D110" i="23"/>
  <c r="E110" s="1"/>
  <c r="DK11" i="15"/>
  <c r="DK13" s="1"/>
  <c r="DK10"/>
  <c r="DK8" s="1"/>
  <c r="DK14" s="1"/>
  <c r="CZ11"/>
  <c r="CZ13" s="1"/>
  <c r="CX10"/>
  <c r="CX8" s="1"/>
  <c r="CX14" s="1"/>
  <c r="CX11"/>
  <c r="CX13" s="1"/>
  <c r="D98" i="23"/>
  <c r="E98" s="1"/>
  <c r="D72"/>
  <c r="E72" s="1"/>
  <c r="BY9" i="15"/>
  <c r="BY10"/>
  <c r="BY8" s="1"/>
  <c r="BY14" s="1"/>
  <c r="BY11"/>
  <c r="BY13" s="1"/>
  <c r="BW9"/>
  <c r="BW10"/>
  <c r="BW8" s="1"/>
  <c r="BW14" s="1"/>
  <c r="D70" i="23"/>
  <c r="E70" s="1"/>
  <c r="BW11" i="15"/>
  <c r="BW13" s="1"/>
  <c r="D62" i="23"/>
  <c r="E62" s="1"/>
  <c r="BN11" i="15"/>
  <c r="BN13" s="1"/>
  <c r="BJ11"/>
  <c r="BJ13" s="1"/>
  <c r="BJ9"/>
  <c r="BJ10"/>
  <c r="BJ8" s="1"/>
  <c r="BJ14" s="1"/>
  <c r="D58" i="23"/>
  <c r="E58" s="1"/>
  <c r="BB10" i="15"/>
  <c r="BB8" s="1"/>
  <c r="BB14" s="1"/>
  <c r="BB11"/>
  <c r="BB13" s="1"/>
  <c r="D51" i="23"/>
  <c r="E51" s="1"/>
  <c r="BB9" i="15"/>
  <c r="AY11"/>
  <c r="AY13" s="1"/>
  <c r="D48" i="23"/>
  <c r="E48" s="1"/>
  <c r="AY10" i="15"/>
  <c r="AY8" s="1"/>
  <c r="AY14" s="1"/>
  <c r="AQ11"/>
  <c r="AQ13" s="1"/>
  <c r="D41" i="23"/>
  <c r="E41" s="1"/>
  <c r="C32" i="15"/>
  <c r="CX9"/>
  <c r="AY9"/>
  <c r="D100" i="23"/>
  <c r="E100" s="1"/>
  <c r="C22" i="15"/>
  <c r="B2" i="25"/>
  <c r="EY10" i="15"/>
  <c r="EY8" s="1"/>
  <c r="EY14" s="1"/>
  <c r="EY11"/>
  <c r="EY13" s="1"/>
  <c r="EV11"/>
  <c r="EV13" s="1"/>
  <c r="EV9"/>
  <c r="ES9"/>
  <c r="ES10"/>
  <c r="ES8" s="1"/>
  <c r="ES14" s="1"/>
  <c r="ES11"/>
  <c r="ES13" s="1"/>
  <c r="D129" i="23"/>
  <c r="E129" s="1"/>
  <c r="EE11" i="15"/>
  <c r="EE13" s="1"/>
  <c r="CP10"/>
  <c r="CP8" s="1"/>
  <c r="CP14" s="1"/>
  <c r="D89" i="23"/>
  <c r="E89" s="1"/>
  <c r="CP9" i="15"/>
  <c r="CP11"/>
  <c r="CP13" s="1"/>
  <c r="D81" i="23"/>
  <c r="E81" s="1"/>
  <c r="CH11" i="15"/>
  <c r="CH13" s="1"/>
  <c r="BZ11"/>
  <c r="BZ13" s="1"/>
  <c r="D73" i="23"/>
  <c r="E73" s="1"/>
  <c r="BZ9" i="15"/>
  <c r="BZ10"/>
  <c r="BZ8" s="1"/>
  <c r="BZ14" s="1"/>
  <c r="BK9"/>
  <c r="BK10"/>
  <c r="BK8" s="1"/>
  <c r="BK14" s="1"/>
  <c r="BK11"/>
  <c r="BK13" s="1"/>
  <c r="D59" i="23"/>
  <c r="E59" s="1"/>
  <c r="D39"/>
  <c r="E39" s="1"/>
  <c r="AO11" i="15"/>
  <c r="AO13" s="1"/>
  <c r="AO10"/>
  <c r="AO8" s="1"/>
  <c r="AO14" s="1"/>
  <c r="AO9"/>
  <c r="AG11"/>
  <c r="AG13" s="1"/>
  <c r="D33" i="23"/>
  <c r="E33" s="1"/>
  <c r="AG9" i="15"/>
  <c r="AD10"/>
  <c r="AD8" s="1"/>
  <c r="AD14" s="1"/>
  <c r="AD11"/>
  <c r="AD13" s="1"/>
  <c r="BD13"/>
  <c r="AZ13"/>
  <c r="EV10"/>
  <c r="EV8" s="1"/>
  <c r="EV14" s="1"/>
  <c r="CR13"/>
  <c r="CN13"/>
  <c r="EK10"/>
  <c r="EK8" s="1"/>
  <c r="EK14" s="1"/>
  <c r="D135" i="23"/>
  <c r="E135" s="1"/>
  <c r="EK9" i="15"/>
  <c r="DV10"/>
  <c r="DV8" s="1"/>
  <c r="DV14" s="1"/>
  <c r="D120" i="23"/>
  <c r="E120" s="1"/>
  <c r="DV9" i="15"/>
  <c r="DX10"/>
  <c r="DX8" s="1"/>
  <c r="DX14" s="1"/>
  <c r="DX11"/>
  <c r="DX13" s="1"/>
  <c r="DT9"/>
  <c r="DT11"/>
  <c r="DT13" s="1"/>
  <c r="BP10"/>
  <c r="BP8" s="1"/>
  <c r="BP14" s="1"/>
  <c r="BP11"/>
  <c r="BP13" s="1"/>
  <c r="AB11"/>
  <c r="AB13" s="1"/>
  <c r="AB10"/>
  <c r="AB8" s="1"/>
  <c r="AB14" s="1"/>
  <c r="ET11"/>
  <c r="ET13" s="1"/>
  <c r="ET9"/>
  <c r="ED9"/>
  <c r="ED11"/>
  <c r="ED13" s="1"/>
  <c r="DD9"/>
  <c r="D103" i="23"/>
  <c r="E103" s="1"/>
  <c r="BV10" i="15"/>
  <c r="BV8" s="1"/>
  <c r="BV14" s="1"/>
  <c r="BV11"/>
  <c r="BV13" s="1"/>
  <c r="BF10"/>
  <c r="BF8" s="1"/>
  <c r="BF14" s="1"/>
  <c r="D55" i="23"/>
  <c r="E55" s="1"/>
  <c r="T10" i="15"/>
  <c r="T8" s="1"/>
  <c r="T14" s="1"/>
  <c r="T11"/>
  <c r="T13" s="1"/>
  <c r="D13" i="23"/>
  <c r="E13" s="1"/>
  <c r="J9" i="15"/>
  <c r="D9"/>
  <c r="D10"/>
  <c r="D8" s="1"/>
  <c r="D14" s="1"/>
  <c r="AW13"/>
  <c r="DE10"/>
  <c r="DE8" s="1"/>
  <c r="DE14" s="1"/>
  <c r="DE11"/>
  <c r="DE13" s="1"/>
  <c r="CQ11"/>
  <c r="CQ13" s="1"/>
  <c r="BC9"/>
  <c r="D52" i="23"/>
  <c r="E52" s="1"/>
  <c r="AN11" i="15"/>
  <c r="AN13" s="1"/>
  <c r="AA9"/>
  <c r="D28" i="23"/>
  <c r="E28" s="1"/>
  <c r="ED10" i="15"/>
  <c r="ED8" s="1"/>
  <c r="ED14" s="1"/>
  <c r="DG11"/>
  <c r="DG13" s="1"/>
  <c r="CS11"/>
  <c r="CS13" s="1"/>
  <c r="CE11"/>
  <c r="CE13" s="1"/>
  <c r="D67" i="23"/>
  <c r="E67" s="1"/>
  <c r="DC9" i="15" l="1"/>
  <c r="O9"/>
  <c r="AS9"/>
  <c r="BO9"/>
  <c r="EQ9"/>
  <c r="AN9"/>
  <c r="CI9"/>
  <c r="CO9"/>
  <c r="CC9"/>
  <c r="CQ9"/>
  <c r="EN9"/>
  <c r="Y9"/>
  <c r="CK9"/>
  <c r="DP9"/>
  <c r="DA9"/>
  <c r="F9"/>
  <c r="AL9"/>
  <c r="E9"/>
  <c r="BD9"/>
  <c r="AI9"/>
  <c r="CL9"/>
  <c r="EG9"/>
  <c r="CA9"/>
  <c r="DR9"/>
  <c r="BA9"/>
  <c r="U9"/>
  <c r="Z9"/>
  <c r="CB9"/>
  <c r="AC9"/>
  <c r="BM9"/>
  <c r="CD9"/>
  <c r="W9"/>
  <c r="S9"/>
  <c r="CR9"/>
  <c r="H27" i="11"/>
  <c r="H8"/>
  <c r="H34"/>
  <c r="H65"/>
  <c r="H67"/>
  <c r="H24"/>
  <c r="H60"/>
  <c r="H32"/>
  <c r="H4"/>
  <c r="H64"/>
  <c r="H45"/>
  <c r="H51"/>
  <c r="H6"/>
  <c r="H37"/>
  <c r="H54"/>
  <c r="H10"/>
  <c r="H35"/>
  <c r="H58"/>
  <c r="H12"/>
  <c r="H59"/>
  <c r="H16"/>
  <c r="H46"/>
  <c r="H17"/>
  <c r="H48"/>
  <c r="H62"/>
  <c r="H43"/>
  <c r="H38"/>
  <c r="H19"/>
  <c r="H66"/>
  <c r="H39"/>
  <c r="H36"/>
  <c r="H14"/>
  <c r="H18"/>
  <c r="H33"/>
  <c r="H9"/>
  <c r="H22"/>
  <c r="H26"/>
  <c r="H44"/>
  <c r="H7"/>
  <c r="H40"/>
  <c r="H29"/>
  <c r="H30"/>
  <c r="H28"/>
  <c r="H23"/>
  <c r="H3"/>
  <c r="H2"/>
  <c r="H57"/>
  <c r="H50"/>
  <c r="H11"/>
  <c r="H49"/>
  <c r="H15"/>
  <c r="H21"/>
  <c r="H52"/>
  <c r="H47"/>
  <c r="H53"/>
  <c r="H20"/>
  <c r="H5"/>
  <c r="H63"/>
  <c r="H31"/>
  <c r="H61"/>
  <c r="H42"/>
  <c r="H56"/>
  <c r="H13"/>
  <c r="H25"/>
  <c r="H55"/>
  <c r="H41"/>
  <c r="AQ9" i="15"/>
  <c r="Q9"/>
  <c r="D137" i="23"/>
  <c r="B3" i="25"/>
  <c r="B4" s="1"/>
  <c r="C30" i="15"/>
  <c r="EE9"/>
  <c r="BN9"/>
  <c r="DG9"/>
  <c r="CH9"/>
  <c r="CZ9"/>
  <c r="B5" i="25" l="1"/>
  <c r="B6" s="1"/>
  <c r="F56" i="11"/>
  <c r="E56"/>
  <c r="F61"/>
  <c r="E61"/>
  <c r="F57"/>
  <c r="E57"/>
  <c r="F41"/>
  <c r="E41"/>
  <c r="E25"/>
  <c r="F25"/>
  <c r="F13"/>
  <c r="E13"/>
  <c r="F5"/>
  <c r="E5"/>
  <c r="E53"/>
  <c r="F53"/>
  <c r="E47"/>
  <c r="F47"/>
  <c r="E21"/>
  <c r="F21"/>
  <c r="F50"/>
  <c r="E50"/>
  <c r="C29" i="15"/>
  <c r="E42" i="11"/>
  <c r="F42"/>
  <c r="C19" i="15"/>
  <c r="DC10" s="1"/>
  <c r="F2" i="11"/>
  <c r="E2"/>
  <c r="E30"/>
  <c r="F30"/>
  <c r="F7"/>
  <c r="E7"/>
  <c r="F44"/>
  <c r="E44"/>
  <c r="F26"/>
  <c r="E26"/>
  <c r="E14"/>
  <c r="F14"/>
  <c r="E36"/>
  <c r="F36"/>
  <c r="F66"/>
  <c r="E66"/>
  <c r="E43"/>
  <c r="F43"/>
  <c r="E58"/>
  <c r="F58"/>
  <c r="E54"/>
  <c r="F54"/>
  <c r="F37"/>
  <c r="E37"/>
  <c r="F45"/>
  <c r="E45"/>
  <c r="E67"/>
  <c r="F67"/>
  <c r="E65"/>
  <c r="F65"/>
  <c r="E139" i="23"/>
  <c r="E138"/>
  <c r="F55" i="11"/>
  <c r="E55"/>
  <c r="E3"/>
  <c r="F3"/>
  <c r="F23"/>
  <c r="E23"/>
  <c r="E28"/>
  <c r="F28"/>
  <c r="E40"/>
  <c r="F40"/>
  <c r="F33"/>
  <c r="E33"/>
  <c r="E39"/>
  <c r="F39"/>
  <c r="E46"/>
  <c r="F46"/>
  <c r="F59"/>
  <c r="E59"/>
  <c r="E12"/>
  <c r="F12"/>
  <c r="F35"/>
  <c r="E35"/>
  <c r="E4"/>
  <c r="F4"/>
  <c r="F60"/>
  <c r="E60"/>
  <c r="E24"/>
  <c r="F24"/>
  <c r="E8"/>
  <c r="F8"/>
  <c r="E63"/>
  <c r="F63"/>
  <c r="F31"/>
  <c r="E31"/>
  <c r="E20"/>
  <c r="F20"/>
  <c r="F52"/>
  <c r="E52"/>
  <c r="F49"/>
  <c r="E49"/>
  <c r="F9"/>
  <c r="E9"/>
  <c r="F19"/>
  <c r="E19"/>
  <c r="E48"/>
  <c r="F48"/>
  <c r="E10"/>
  <c r="F10"/>
  <c r="F51"/>
  <c r="E51"/>
  <c r="E64"/>
  <c r="F64"/>
  <c r="E34"/>
  <c r="F34"/>
  <c r="E15"/>
  <c r="F15"/>
  <c r="E11"/>
  <c r="F11"/>
  <c r="E29"/>
  <c r="F29"/>
  <c r="F22"/>
  <c r="E22"/>
  <c r="F18"/>
  <c r="E18"/>
  <c r="E38"/>
  <c r="F38"/>
  <c r="E62"/>
  <c r="F62"/>
  <c r="F17"/>
  <c r="E17"/>
  <c r="F16"/>
  <c r="E16"/>
  <c r="F6"/>
  <c r="E6"/>
  <c r="F32"/>
  <c r="E32"/>
  <c r="F27"/>
  <c r="E27"/>
  <c r="O10" i="15" l="1"/>
  <c r="AS10"/>
  <c r="AN10"/>
  <c r="EQ10"/>
  <c r="EF10"/>
  <c r="BO10"/>
  <c r="CC10"/>
  <c r="CO10"/>
  <c r="C25"/>
  <c r="B7" i="25"/>
  <c r="DA10" i="15"/>
  <c r="Z10"/>
  <c r="AL10"/>
  <c r="EG10"/>
  <c r="CK10"/>
  <c r="BD10"/>
  <c r="CI10"/>
  <c r="BM10"/>
  <c r="CR10"/>
  <c r="Q10"/>
  <c r="DP10"/>
  <c r="DG10"/>
  <c r="AC10"/>
  <c r="U10"/>
  <c r="CA10"/>
  <c r="CQ10"/>
  <c r="S10"/>
  <c r="Y10"/>
  <c r="BA10"/>
  <c r="CL10"/>
  <c r="W10"/>
  <c r="DR10"/>
  <c r="CB10"/>
  <c r="CD10"/>
  <c r="AI10"/>
  <c r="E10"/>
  <c r="EN10"/>
  <c r="C20"/>
  <c r="EE10"/>
  <c r="AQ10"/>
  <c r="F10"/>
  <c r="CZ10"/>
  <c r="BN10"/>
  <c r="CH10"/>
  <c r="C27"/>
  <c r="DC8" l="1"/>
  <c r="DC14" s="1"/>
  <c r="O8"/>
  <c r="O14" s="1"/>
  <c r="AS8"/>
  <c r="AS14" s="1"/>
  <c r="EQ8"/>
  <c r="EQ14" s="1"/>
  <c r="AN8"/>
  <c r="AN14" s="1"/>
  <c r="BO8"/>
  <c r="BO14" s="1"/>
  <c r="EF8"/>
  <c r="EF14" s="1"/>
  <c r="CO8"/>
  <c r="CO14" s="1"/>
  <c r="CC8"/>
  <c r="CC14" s="1"/>
  <c r="CZ8"/>
  <c r="CZ14" s="1"/>
  <c r="B8" i="25"/>
  <c r="CD8" i="15"/>
  <c r="CD14" s="1"/>
  <c r="CL8"/>
  <c r="CL14" s="1"/>
  <c r="CQ8"/>
  <c r="CQ14" s="1"/>
  <c r="DG8"/>
  <c r="DG14" s="1"/>
  <c r="BM8"/>
  <c r="BM14" s="1"/>
  <c r="EG8"/>
  <c r="EG14" s="1"/>
  <c r="BN8"/>
  <c r="BN14" s="1"/>
  <c r="EE8"/>
  <c r="EE14" s="1"/>
  <c r="AI8"/>
  <c r="AI14" s="1"/>
  <c r="W8"/>
  <c r="W14" s="1"/>
  <c r="S8"/>
  <c r="S14" s="1"/>
  <c r="AC8"/>
  <c r="AC14" s="1"/>
  <c r="CR8"/>
  <c r="CR14" s="1"/>
  <c r="CK8"/>
  <c r="CK14" s="1"/>
  <c r="DA8"/>
  <c r="DA14" s="1"/>
  <c r="CH8"/>
  <c r="CH14" s="1"/>
  <c r="AQ8"/>
  <c r="AQ14" s="1"/>
  <c r="E8"/>
  <c r="E14" s="1"/>
  <c r="DR8"/>
  <c r="DR14" s="1"/>
  <c r="Y8"/>
  <c r="Y14" s="1"/>
  <c r="U8"/>
  <c r="U14" s="1"/>
  <c r="Q8"/>
  <c r="Q14" s="1"/>
  <c r="BD8"/>
  <c r="BD14" s="1"/>
  <c r="Z8"/>
  <c r="Z14" s="1"/>
  <c r="F8"/>
  <c r="F14" s="1"/>
  <c r="CB8"/>
  <c r="CB14" s="1"/>
  <c r="BA8"/>
  <c r="BA14" s="1"/>
  <c r="CA8"/>
  <c r="CA14" s="1"/>
  <c r="DP8"/>
  <c r="DP14" s="1"/>
  <c r="CI8"/>
  <c r="CI14" s="1"/>
  <c r="AL8"/>
  <c r="AL14" s="1"/>
  <c r="B9" i="25" l="1"/>
  <c r="C14" i="15"/>
  <c r="C21" s="1"/>
  <c r="B10" i="25" l="1"/>
  <c r="B11" l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</calcChain>
</file>

<file path=xl/comments1.xml><?xml version="1.0" encoding="utf-8"?>
<comments xmlns="http://schemas.openxmlformats.org/spreadsheetml/2006/main">
  <authors>
    <author>naultm</author>
  </authors>
  <commentList>
    <comment ref="A11" authorId="0">
      <text>
        <r>
          <rPr>
            <b/>
            <sz val="8"/>
            <color indexed="81"/>
            <rFont val="Tahoma"/>
            <family val="2"/>
          </rPr>
          <t>naultm:</t>
        </r>
        <r>
          <rPr>
            <sz val="8"/>
            <color indexed="81"/>
            <rFont val="Tahoma"/>
            <family val="2"/>
          </rPr>
          <t xml:space="preserve">
formerly </t>
        </r>
        <r>
          <rPr>
            <i/>
            <sz val="8"/>
            <color indexed="81"/>
            <rFont val="Tahoma"/>
            <family val="2"/>
          </rPr>
          <t>Megalodonta beckii</t>
        </r>
      </text>
    </comment>
  </commentList>
</comments>
</file>

<file path=xl/sharedStrings.xml><?xml version="1.0" encoding="utf-8"?>
<sst xmlns="http://schemas.openxmlformats.org/spreadsheetml/2006/main" count="1031" uniqueCount="520">
  <si>
    <t>sampling point</t>
  </si>
  <si>
    <t>Relative Frequency (%)</t>
  </si>
  <si>
    <t>Relative Frequency (squared)</t>
  </si>
  <si>
    <t>Simpson Diversity Index</t>
  </si>
  <si>
    <t>comments</t>
  </si>
  <si>
    <t>sp3</t>
  </si>
  <si>
    <t>sp4</t>
  </si>
  <si>
    <t>sp5</t>
  </si>
  <si>
    <t>sp6</t>
  </si>
  <si>
    <t>sp7</t>
  </si>
  <si>
    <t>sp8</t>
  </si>
  <si>
    <t>sp9</t>
  </si>
  <si>
    <t>Total vegetation</t>
  </si>
  <si>
    <t>Frequency of occurrence within vegetated areas (%)</t>
  </si>
  <si>
    <t>STATS</t>
  </si>
  <si>
    <t>Entry</t>
  </si>
  <si>
    <t>Sampled holding rake pole (P) or rake rope (R)?</t>
  </si>
  <si>
    <t>Depth with some plants (NO ENTRY!)</t>
  </si>
  <si>
    <t>Depths within vegetated range(NO ENTRY!)</t>
  </si>
  <si>
    <t>Frequency of occurrence at sites shallower than maximum depth of plants</t>
  </si>
  <si>
    <t>Total Number Species at Site (NO ENTRY!)</t>
  </si>
  <si>
    <t>Longitude (need electronic copy of site locations)</t>
  </si>
  <si>
    <t>INDIVIDUAL SPECIES STATS:</t>
  </si>
  <si>
    <t>SUMMARY STATS:</t>
  </si>
  <si>
    <t>County</t>
  </si>
  <si>
    <t>WBIC</t>
  </si>
  <si>
    <t>Number of sites sampled using rake on Pole (P)</t>
  </si>
  <si>
    <t>Average number of native species per site (shallower than max depth)</t>
  </si>
  <si>
    <t>Total Number Species at Site (shallower than max depth) (NO ENTRY!) includes exotics</t>
  </si>
  <si>
    <t>Total Number Species - veg sites only (NO ENTRY!)includes exotics</t>
  </si>
  <si>
    <t>Total Number Species - veg sites only (NO ENTRY!) No exotics</t>
  </si>
  <si>
    <t>Average number of all species per site (shallower than max depth)</t>
  </si>
  <si>
    <t>Species Richness (including visuals)</t>
  </si>
  <si>
    <t xml:space="preserve">Species Richness </t>
  </si>
  <si>
    <t>#visual sightings</t>
  </si>
  <si>
    <t>present (visual or collected)</t>
  </si>
  <si>
    <t>Average Rake Fullness</t>
  </si>
  <si>
    <t>Survey Date</t>
  </si>
  <si>
    <r>
      <t>Potamogeton crispus</t>
    </r>
    <r>
      <rPr>
        <sz val="9"/>
        <rFont val="Arial"/>
        <family val="2"/>
      </rPr>
      <t>,Curly-leaf pondweed</t>
    </r>
  </si>
  <si>
    <t xml:space="preserve">Depth (ft) </t>
  </si>
  <si>
    <t>Latitiude (need electronic copy of site locations)</t>
  </si>
  <si>
    <t xml:space="preserve">Total Rake Fullness </t>
  </si>
  <si>
    <t>Name</t>
  </si>
  <si>
    <t>Date</t>
  </si>
  <si>
    <t>Field Crew</t>
  </si>
  <si>
    <t>Lake</t>
  </si>
  <si>
    <t>sp2</t>
  </si>
  <si>
    <t>sp1</t>
  </si>
  <si>
    <t>Total number of sites with vegetation</t>
  </si>
  <si>
    <t>Total number of sites shallower than maximum depth of plants</t>
  </si>
  <si>
    <t>Number of sites sampled using rake on Rope (R)</t>
  </si>
  <si>
    <t>Average number of all species per site (veg. sites only)</t>
  </si>
  <si>
    <t>Average number of native species per site (veg. sites only)</t>
  </si>
  <si>
    <t>Number of sites where species found</t>
  </si>
  <si>
    <t>Section</t>
  </si>
  <si>
    <t>Species</t>
  </si>
  <si>
    <t>Common Name</t>
  </si>
  <si>
    <t>C</t>
  </si>
  <si>
    <t>species present=1</t>
  </si>
  <si>
    <t>Alisma triviale</t>
  </si>
  <si>
    <t>Bolboschoenus fluviatilis</t>
  </si>
  <si>
    <t>Brasenia schreberi</t>
  </si>
  <si>
    <t>Watershield</t>
  </si>
  <si>
    <t>Calla palustris</t>
  </si>
  <si>
    <t>Callitriche hermaphroditica</t>
  </si>
  <si>
    <t>Callitriche heterophylla</t>
  </si>
  <si>
    <t>Callitriche palustris</t>
  </si>
  <si>
    <t>Carex comosa</t>
  </si>
  <si>
    <t>Bottle brush sedge</t>
  </si>
  <si>
    <t>Catabrosa aquatica</t>
  </si>
  <si>
    <t>Brook grass</t>
  </si>
  <si>
    <t>Ceratophyllum demersum</t>
  </si>
  <si>
    <t>Coontail</t>
  </si>
  <si>
    <t>Ceratophyllum echinatum</t>
  </si>
  <si>
    <t>Dulichium arundinaceum</t>
  </si>
  <si>
    <t>Three-way sedge</t>
  </si>
  <si>
    <t>Elatine minima</t>
  </si>
  <si>
    <t>Waterwort</t>
  </si>
  <si>
    <t>Elatine triandra</t>
  </si>
  <si>
    <t>Eleocharis acicularis</t>
  </si>
  <si>
    <t>Needle spikerush</t>
  </si>
  <si>
    <t>Eleocharis erythropoda</t>
  </si>
  <si>
    <t>Eleocharis palustris</t>
  </si>
  <si>
    <t>Creeping spikerush</t>
  </si>
  <si>
    <t>Elodea canadensis</t>
  </si>
  <si>
    <t>Common waterweed</t>
  </si>
  <si>
    <t>Elodea nuttallii</t>
  </si>
  <si>
    <t>Slender waterweed</t>
  </si>
  <si>
    <t>Equisetum fluviatile</t>
  </si>
  <si>
    <t>Water horsetail</t>
  </si>
  <si>
    <t>Eriocaulon aquaticum</t>
  </si>
  <si>
    <t>Pipewort</t>
  </si>
  <si>
    <t>Glyceria borealis</t>
  </si>
  <si>
    <t>Northern manna grass</t>
  </si>
  <si>
    <t>Gratiola aurea</t>
  </si>
  <si>
    <t>Heteranthera dubia</t>
  </si>
  <si>
    <t>Water star-grass</t>
  </si>
  <si>
    <t>Isoetes echinospora</t>
  </si>
  <si>
    <t>Spiny-spored quillwort</t>
  </si>
  <si>
    <t>Isoetes lacustris</t>
  </si>
  <si>
    <t>Brown-fruited rush</t>
  </si>
  <si>
    <t>Juncus torreyi</t>
  </si>
  <si>
    <t>Torrey's rush</t>
  </si>
  <si>
    <t>Lemna minor</t>
  </si>
  <si>
    <t>Small duckweed</t>
  </si>
  <si>
    <t>Lemna perpusilla</t>
  </si>
  <si>
    <t>Least duckweed</t>
  </si>
  <si>
    <t>Lemna trisulca</t>
  </si>
  <si>
    <t>Littorella</t>
  </si>
  <si>
    <t>Lobelia dortmanna</t>
  </si>
  <si>
    <t>Water lobelia</t>
  </si>
  <si>
    <t>Ludwigia palustris</t>
  </si>
  <si>
    <t>Water marigold</t>
  </si>
  <si>
    <t>Myriophyllum alterniflorum</t>
  </si>
  <si>
    <t>Alternate-flowered water-milfoil</t>
  </si>
  <si>
    <t>Myriophyllum farwellii</t>
  </si>
  <si>
    <t>Farwell's water-milfoil</t>
  </si>
  <si>
    <t>Myriophyllum heterophyllum</t>
  </si>
  <si>
    <t>Various-leaved water-milfoil</t>
  </si>
  <si>
    <t>Northern water-milfoil</t>
  </si>
  <si>
    <t>Myriophyllum tenellum</t>
  </si>
  <si>
    <t>Dwarf water-milfoil</t>
  </si>
  <si>
    <t>Myriophyllum verticillatum</t>
  </si>
  <si>
    <t>Whorled water-milfoil</t>
  </si>
  <si>
    <t>Najas flexilis</t>
  </si>
  <si>
    <t>Najas gracillima</t>
  </si>
  <si>
    <t>Najas guadalupensis</t>
  </si>
  <si>
    <t>Nelumbo lutea</t>
  </si>
  <si>
    <t>Nitella</t>
  </si>
  <si>
    <t>Nuphar advena</t>
  </si>
  <si>
    <t>Yellow pond lily</t>
  </si>
  <si>
    <t>Nuphar microphylla</t>
  </si>
  <si>
    <t>Small pond lily</t>
  </si>
  <si>
    <t>Intermediate pond lily</t>
  </si>
  <si>
    <t>Nuphar variegata</t>
  </si>
  <si>
    <t>Spatterdock</t>
  </si>
  <si>
    <t>Nymphaea odorata</t>
  </si>
  <si>
    <t>White water lily</t>
  </si>
  <si>
    <t>Phragmites australis</t>
  </si>
  <si>
    <t>Common reed</t>
  </si>
  <si>
    <t>Polygonum amphibium</t>
  </si>
  <si>
    <t>Water smartweed</t>
  </si>
  <si>
    <t>Polygonum punctatum</t>
  </si>
  <si>
    <t>Dotted smartweed</t>
  </si>
  <si>
    <t>Pontederia cordata</t>
  </si>
  <si>
    <t>Pickerelweed</t>
  </si>
  <si>
    <t>Potamogeton alpinus</t>
  </si>
  <si>
    <t>Alpine pondweed</t>
  </si>
  <si>
    <t>Potamogeton amplifolius</t>
  </si>
  <si>
    <t>Large-leaf pondweed</t>
  </si>
  <si>
    <t>Potamogeton confervoides</t>
  </si>
  <si>
    <t>Algal-leaved pondweed</t>
  </si>
  <si>
    <t>Potamogeton diversifolius</t>
  </si>
  <si>
    <t>Potamogeton epihydrus</t>
  </si>
  <si>
    <t>Ribbon-leaf pondweed</t>
  </si>
  <si>
    <t>Potamogeton foliosus</t>
  </si>
  <si>
    <t>Leafy pondweed</t>
  </si>
  <si>
    <t>Potamogeton friesii</t>
  </si>
  <si>
    <t>Potamogeton gramineus</t>
  </si>
  <si>
    <t>Potamogeton hillii</t>
  </si>
  <si>
    <t>Hill's pondweed</t>
  </si>
  <si>
    <t>Potamogeton illinoensis</t>
  </si>
  <si>
    <t>Illinois pondweed</t>
  </si>
  <si>
    <t>Potamogeton natans</t>
  </si>
  <si>
    <t>Potamogeton nodosus</t>
  </si>
  <si>
    <t>Long-leaf pondweed</t>
  </si>
  <si>
    <t>Potamogeton oakesianus</t>
  </si>
  <si>
    <t>Potamogeton obtusifolius</t>
  </si>
  <si>
    <t>Blunt-leaf pondweed</t>
  </si>
  <si>
    <t>White-stem pondweed</t>
  </si>
  <si>
    <t>Potamogeton pulcher</t>
  </si>
  <si>
    <t>Spotted pondweed</t>
  </si>
  <si>
    <t>Potamogeton pusillus</t>
  </si>
  <si>
    <t>Small pondweed</t>
  </si>
  <si>
    <t>Potamogeton richardsonii</t>
  </si>
  <si>
    <t>Clasping-leaf pondweed</t>
  </si>
  <si>
    <t>Potamogeton robbinsii</t>
  </si>
  <si>
    <t>Potamogeton spirillus</t>
  </si>
  <si>
    <t>Spiral-fruited pondweed</t>
  </si>
  <si>
    <t>Potamogeton strictifolius</t>
  </si>
  <si>
    <t>Stiff pondweed</t>
  </si>
  <si>
    <t>Potamogeton vaseyi</t>
  </si>
  <si>
    <t>Vasey's pondweed</t>
  </si>
  <si>
    <t>Potamogeton zosteriformis</t>
  </si>
  <si>
    <t>Flat-stem pondweed</t>
  </si>
  <si>
    <t>Ranunculus aquatilis</t>
  </si>
  <si>
    <t>Ranunculus flabellaris</t>
  </si>
  <si>
    <t>Ranunculus flammula</t>
  </si>
  <si>
    <t>Creeping spearwort</t>
  </si>
  <si>
    <t>Riccia fluitans</t>
  </si>
  <si>
    <t>Slender riccia</t>
  </si>
  <si>
    <t>Ditch grass</t>
  </si>
  <si>
    <t>Arum-leaved arrowhead</t>
  </si>
  <si>
    <t>Sagittaria cuneata</t>
  </si>
  <si>
    <t>Midwestern arrowhead</t>
  </si>
  <si>
    <t>Sagittaria graminea</t>
  </si>
  <si>
    <t>Sagittaria latifolia</t>
  </si>
  <si>
    <t>Common arrowhead</t>
  </si>
  <si>
    <t>Sagittaria rigida</t>
  </si>
  <si>
    <t>Schoenoplectus acutus</t>
  </si>
  <si>
    <t>Hardstem bulrush</t>
  </si>
  <si>
    <t>Schoenoplectus heterochaetus</t>
  </si>
  <si>
    <t>Slender bulrush</t>
  </si>
  <si>
    <t>Schoenoplectus pungens</t>
  </si>
  <si>
    <t>Schoenoplectus subterminalis</t>
  </si>
  <si>
    <t>Water bulrush</t>
  </si>
  <si>
    <t>Schoenoplectus tabernaemontani</t>
  </si>
  <si>
    <t>Softstem bulrush</t>
  </si>
  <si>
    <t>Sparganium americanum</t>
  </si>
  <si>
    <t xml:space="preserve">American bur-reed </t>
  </si>
  <si>
    <t>Sparganium androcladum</t>
  </si>
  <si>
    <t xml:space="preserve">Branched bur-reed </t>
  </si>
  <si>
    <t>Sparganium angustifolium</t>
  </si>
  <si>
    <t xml:space="preserve">Narrow-leaved bur-reed </t>
  </si>
  <si>
    <t>Sparganium emersum</t>
  </si>
  <si>
    <t xml:space="preserve">Short-stemmed bur-reed </t>
  </si>
  <si>
    <t>Sparganium eurycarpum</t>
  </si>
  <si>
    <t>Common bur-reed</t>
  </si>
  <si>
    <t>Sparganium fluctuans</t>
  </si>
  <si>
    <t>Sparganium natans</t>
  </si>
  <si>
    <t>Small bur-reed</t>
  </si>
  <si>
    <t>Spirodela polyrhiza</t>
  </si>
  <si>
    <t>Stuckenia filiformis</t>
  </si>
  <si>
    <t>Stuckenia pectinata</t>
  </si>
  <si>
    <t>Stuckenia vaginata</t>
  </si>
  <si>
    <t>Sheathed pondweed</t>
  </si>
  <si>
    <t>Typha angustifolium</t>
  </si>
  <si>
    <t>Narrow-leaved cattail</t>
  </si>
  <si>
    <t>Typha latifolia</t>
  </si>
  <si>
    <t>Broad-leaved cattail</t>
  </si>
  <si>
    <t>Utricularia cornuta</t>
  </si>
  <si>
    <t>Horned bladderwort</t>
  </si>
  <si>
    <t>Utricularia geminiscapa</t>
  </si>
  <si>
    <t>Twin-stemmed bladderwort</t>
  </si>
  <si>
    <t>Utricularia gibba</t>
  </si>
  <si>
    <t>Creeping bladderwort</t>
  </si>
  <si>
    <t>Utricularia intermedia</t>
  </si>
  <si>
    <t>Flat-leaf bladderwort</t>
  </si>
  <si>
    <t>Utricularia minor</t>
  </si>
  <si>
    <t>Utricularia purpurea</t>
  </si>
  <si>
    <t>Large purple bladderwort</t>
  </si>
  <si>
    <t>Utricularia resupinata</t>
  </si>
  <si>
    <t>Small purple bladderwort</t>
  </si>
  <si>
    <t>Utricularia vulgaris</t>
  </si>
  <si>
    <t>Common bladderwort</t>
  </si>
  <si>
    <t>Vallisneria americana</t>
  </si>
  <si>
    <t>Wild celery</t>
  </si>
  <si>
    <t>Wolffia columbiana</t>
  </si>
  <si>
    <t>Common watermeal</t>
  </si>
  <si>
    <t>Zannichellia palustris</t>
  </si>
  <si>
    <t>Zizania aquatica</t>
  </si>
  <si>
    <t>Zizania palustris</t>
  </si>
  <si>
    <t>Northern wild rice</t>
  </si>
  <si>
    <t xml:space="preserve">N </t>
  </si>
  <si>
    <t>mean C</t>
  </si>
  <si>
    <t>Ruppia cirrhosa</t>
  </si>
  <si>
    <t>Horned pondweed</t>
  </si>
  <si>
    <t>Sago pondweed</t>
  </si>
  <si>
    <t>Potamogeton praelongus</t>
  </si>
  <si>
    <t>Juncus pelocarpus f. submersus</t>
  </si>
  <si>
    <t>Southern wild rice</t>
  </si>
  <si>
    <t>DEPTH BIN (FT)</t>
  </si>
  <si>
    <t># SITES (NO ENTRY)</t>
  </si>
  <si>
    <t>Myriophyllum sibiricum</t>
  </si>
  <si>
    <r>
      <t>**</t>
    </r>
    <r>
      <rPr>
        <b/>
        <sz val="10"/>
        <rFont val="Arial"/>
        <family val="2"/>
      </rPr>
      <t>SEE "MAX DEPTH GRAPH" WORKSHEET TO CONFIRM</t>
    </r>
  </si>
  <si>
    <r>
      <t>Maximum depth of plants (ft)</t>
    </r>
    <r>
      <rPr>
        <b/>
        <sz val="12"/>
        <rFont val="Arial"/>
        <family val="2"/>
      </rPr>
      <t xml:space="preserve">** </t>
    </r>
  </si>
  <si>
    <t>FQI</t>
  </si>
  <si>
    <t>Northern watermeal</t>
  </si>
  <si>
    <t>Spiny hornwort</t>
  </si>
  <si>
    <t>Northern water-plantain</t>
  </si>
  <si>
    <t>River bulrush</t>
  </si>
  <si>
    <t>Wild calla</t>
  </si>
  <si>
    <t>Greater waterwort</t>
  </si>
  <si>
    <t>Bald spikerush</t>
  </si>
  <si>
    <t>Variable pondweed</t>
  </si>
  <si>
    <t>Small bladderwort</t>
  </si>
  <si>
    <t>Forked duckweed</t>
  </si>
  <si>
    <t>Marsh purslane</t>
  </si>
  <si>
    <t>American lotus</t>
  </si>
  <si>
    <t>Potamogeton bicupulatus</t>
  </si>
  <si>
    <t>Snail-seed pondwwed</t>
  </si>
  <si>
    <t>Water-thread pondweed</t>
  </si>
  <si>
    <t>Floating-leaf pondweed</t>
  </si>
  <si>
    <t>Fine-leaved pondweed</t>
  </si>
  <si>
    <t>Large duckweed</t>
  </si>
  <si>
    <t>Grass-leaved arrowhead</t>
  </si>
  <si>
    <t>Sessile-fruited arrowhead</t>
  </si>
  <si>
    <t>Sweet-flag</t>
  </si>
  <si>
    <t>Acorus americanus</t>
  </si>
  <si>
    <t>Autumnal water-starwort</t>
  </si>
  <si>
    <t>Large water-starwort</t>
  </si>
  <si>
    <t>Common water-starwort</t>
  </si>
  <si>
    <t>Golden hedge-hyssop</t>
  </si>
  <si>
    <t>Lake quillwort</t>
  </si>
  <si>
    <t>Littorella uniflora</t>
  </si>
  <si>
    <t>Southern naiad</t>
  </si>
  <si>
    <t>Northern naiad</t>
  </si>
  <si>
    <t>Slender naiad</t>
  </si>
  <si>
    <t>Fries' pondweed</t>
  </si>
  <si>
    <t>Oakes' pondweed</t>
  </si>
  <si>
    <t>Fern pondweed</t>
  </si>
  <si>
    <t>White water crowfoot</t>
  </si>
  <si>
    <t>Yellow water crowfoot</t>
  </si>
  <si>
    <t>Sagittaria brevirostra</t>
  </si>
  <si>
    <t>Floating-leaf bur-reed</t>
  </si>
  <si>
    <t>Three-square bulrush</t>
  </si>
  <si>
    <t>Wild rice</t>
  </si>
  <si>
    <t>Cattail</t>
  </si>
  <si>
    <t>Quillwort</t>
  </si>
  <si>
    <t>Wolffia borealis</t>
  </si>
  <si>
    <t>Bidens beckii</t>
  </si>
  <si>
    <t>Click on the outermost portion of the graph, and adjust the selection box in Column A.</t>
  </si>
  <si>
    <r>
      <t>Note:</t>
    </r>
    <r>
      <rPr>
        <sz val="11"/>
        <rFont val="Arial"/>
        <family val="2"/>
      </rPr>
      <t xml:space="preserve"> The X-axis (Depth Bin) can be scaled to better fit the plant distribution data.</t>
    </r>
  </si>
  <si>
    <t>Filamentous algae</t>
  </si>
  <si>
    <t>Aquatic moss</t>
  </si>
  <si>
    <t>Freshwater sponge</t>
  </si>
  <si>
    <t>Total number of sites visited</t>
  </si>
  <si>
    <t>Township</t>
  </si>
  <si>
    <t>Range</t>
  </si>
  <si>
    <r>
      <t>Myriophyllum spicatum</t>
    </r>
    <r>
      <rPr>
        <sz val="9"/>
        <rFont val="Arial"/>
        <family val="2"/>
      </rPr>
      <t>,Eurasian water milfoil</t>
    </r>
  </si>
  <si>
    <r>
      <t>Potamogeton crispus</t>
    </r>
    <r>
      <rPr>
        <sz val="9"/>
        <rFont val="Arial"/>
        <family val="2"/>
      </rPr>
      <t xml:space="preserve">,Curly-leaf pondweed </t>
    </r>
  </si>
  <si>
    <t>Matthew S. Berg</t>
  </si>
  <si>
    <t>Alisma triviale,Northern water-plantain</t>
  </si>
  <si>
    <t>Bidens beckii (formerly Megalodonta),Water marigold</t>
  </si>
  <si>
    <t>Bolboschoenus fluviatilis,River bulrush</t>
  </si>
  <si>
    <t>Total Number Species at Site (shallower than max depth) (NO ENTRY!),no exotics</t>
  </si>
  <si>
    <t>Dominant sediment type (M=muck,S=Sand,R=Rock)</t>
  </si>
  <si>
    <t>Myriophyllum spicatum,Eurasian water-milfoil or Hybrid water-milfoil</t>
  </si>
  <si>
    <t>Acorus americanus,Sweet-flag</t>
  </si>
  <si>
    <t>Brasenia schreberi,Watershield</t>
  </si>
  <si>
    <t>Calla palustris,Wild calla</t>
  </si>
  <si>
    <t>Callitriche hermaphroditica,Autumnal water-starwort</t>
  </si>
  <si>
    <t>Callitriche heterophylla,Large water-starwort</t>
  </si>
  <si>
    <t>Callitriche palustris,Common water-starwort</t>
  </si>
  <si>
    <t>Carex comosa,Bottle brush sedge</t>
  </si>
  <si>
    <t>Catabrosa aquatica,Brook grass</t>
  </si>
  <si>
    <t>Ceratophyllum demersum,Coontail</t>
  </si>
  <si>
    <t>Ceratophyllum echinatum,Spiny hornwort</t>
  </si>
  <si>
    <t>Chara sp.,Muskgrasses</t>
  </si>
  <si>
    <t>Comarum palustre,Marsh cinquefoil</t>
  </si>
  <si>
    <t>Decodon verticillatus,Swamp loosestrife</t>
  </si>
  <si>
    <t>Dulichium arundinaceum,Three-way sedge</t>
  </si>
  <si>
    <t>Elatine minima,Waterwort</t>
  </si>
  <si>
    <t>Elatine triandra,Greater waterwort</t>
  </si>
  <si>
    <t>Eleocharis acicularis,Needle spikerush</t>
  </si>
  <si>
    <t>Eleocharis erythropoda,Bald spikerush</t>
  </si>
  <si>
    <t>Eleocharis palustris,Creeping spikerush</t>
  </si>
  <si>
    <t>Eleocharis robbinsii,Robbins' spikerush</t>
  </si>
  <si>
    <t>Elodea canadensis,Common waterweed</t>
  </si>
  <si>
    <t>Elodea nuttallii,Slender waterweed</t>
  </si>
  <si>
    <t>Equisetum fluviatile,Water horsetail</t>
  </si>
  <si>
    <t>Eriocaulon aquaticum,Pipewort</t>
  </si>
  <si>
    <t>Glyceria borealis,Northern manna grass</t>
  </si>
  <si>
    <t>Gratiola aurea,Golden hedge-hyssop</t>
  </si>
  <si>
    <t>Heteranthera dubia,Water star-grass</t>
  </si>
  <si>
    <t>Iris versicolor,Northern blue flag</t>
  </si>
  <si>
    <t>Iris virginica,Southern blue flag</t>
  </si>
  <si>
    <t>Isoetes echinospora,Spiny spored-quillwort</t>
  </si>
  <si>
    <t>Isoetes lacustris,Lake quillwort</t>
  </si>
  <si>
    <t>Isoetes sp.,Quillwort</t>
  </si>
  <si>
    <t>Juncus pelocarpus f. submersus,Brown-fruited rush</t>
  </si>
  <si>
    <t>Juncus torreyi,Torrey's rush</t>
  </si>
  <si>
    <t>Lemna minor,Small duckweed</t>
  </si>
  <si>
    <t>Lemna perpusilla,Least duckweed</t>
  </si>
  <si>
    <t>Lemna trisulca,Forked duckweed</t>
  </si>
  <si>
    <t>Littorella uniflora,Littorella</t>
  </si>
  <si>
    <t>Lobelia dortmanna,Water lobelia</t>
  </si>
  <si>
    <t>Ludwigia palustris,Marsh purslane</t>
  </si>
  <si>
    <t>Lythrum salicaria,Purple loosestrife</t>
  </si>
  <si>
    <t>Myriophyllum alterniflorum,Alternate-flowered water-milfoil</t>
  </si>
  <si>
    <t>Myriophyllum farwellii,Farwell's water-milfoil</t>
  </si>
  <si>
    <t>Myriophyllum heterophyllum,Various-leaved water-milfoil</t>
  </si>
  <si>
    <t>Myriophyllum sibiricum,Northern water-milfoil</t>
  </si>
  <si>
    <t>Myriophyllum tenellum,Dwarf water-milfoil</t>
  </si>
  <si>
    <t>Myriophyllum verticillatum,Whorled water-milfoil</t>
  </si>
  <si>
    <t>Najas flexilis,Slender naiad</t>
  </si>
  <si>
    <t>Najas gracillima,Northern naiad</t>
  </si>
  <si>
    <t>Najas guadalupensis,Southern naiad</t>
  </si>
  <si>
    <t>Najas marina,Spiny naiad</t>
  </si>
  <si>
    <t>Nelumbo lutea,American lotus</t>
  </si>
  <si>
    <t>Nitella sp.,Nitella</t>
  </si>
  <si>
    <t>Nuphar advena,Yellow pond lily</t>
  </si>
  <si>
    <t>Nuphar microphylla,Small pond lily</t>
  </si>
  <si>
    <t>Nuphar X rubrodisca,Intermediate pond lily</t>
  </si>
  <si>
    <t>Nuphar variegata,Spatterdock</t>
  </si>
  <si>
    <t>Nymphaea odorata,White water lily</t>
  </si>
  <si>
    <t>Phalaris arundinacea,Reed canary grass</t>
  </si>
  <si>
    <t>Phragmites australis,Common reed</t>
  </si>
  <si>
    <t>Polygonum amphibium,Water smartweed</t>
  </si>
  <si>
    <t>Polygonum punctatum,Dotted smartweed</t>
  </si>
  <si>
    <t>Pontederia cordata,Pickerelweed</t>
  </si>
  <si>
    <t>Potamogeton alpinus,Alpine pondweed</t>
  </si>
  <si>
    <t>Potamogeton amplifolius,Large-leaf pondweed</t>
  </si>
  <si>
    <t>Potamogeton bicupulatus,Snail-seed pondweed</t>
  </si>
  <si>
    <t>Potamogeton confervoides,Algal-leaved pondweed</t>
  </si>
  <si>
    <t>Potamogeton diversifolius,Water-thread pondweed</t>
  </si>
  <si>
    <t>Potamogeton epihydrus,Ribbon-leaf pondweed</t>
  </si>
  <si>
    <t>Potamogeton foliosus,Leafy pondweed</t>
  </si>
  <si>
    <t>Potamogeton friesii,Fries' pondweed</t>
  </si>
  <si>
    <t>Potamogeton gramineus,Variable pondweed</t>
  </si>
  <si>
    <t>Potamogeton hillii,Hill's pondweed</t>
  </si>
  <si>
    <t>Potamogeton illinoensis,Illinois pondweed</t>
  </si>
  <si>
    <t>Potamogeton natans,Floating-leaf pondweed</t>
  </si>
  <si>
    <t>Potamogeton nodosus,Long-leaf pondweed</t>
  </si>
  <si>
    <t>Potamogeton oakesianus,Oakes' pondweed</t>
  </si>
  <si>
    <t>Potamogeton obtusifolius,Blunt-leaf pondweed</t>
  </si>
  <si>
    <t>Potamogeton praelongus,White-stem pondweed</t>
  </si>
  <si>
    <t>Potamogeton pulcher,Spotted pondweed</t>
  </si>
  <si>
    <t>Potamogeton pusillus,Small pondweed</t>
  </si>
  <si>
    <t>Potamogeton richardsonii,Clasping-leaf pondweed</t>
  </si>
  <si>
    <t>Potamogeton robbinsii,Fern pondweed</t>
  </si>
  <si>
    <t>Potamogeton spirillus,Spiral-fruited pondweed</t>
  </si>
  <si>
    <t>Potamogeton strictifolius,Stiff pondweed</t>
  </si>
  <si>
    <t>Potamogeton vaseyi,Vasey's pondweed</t>
  </si>
  <si>
    <t>Potamogeton zosteriformis,Flat-stem pondweed</t>
  </si>
  <si>
    <t>Ranunculus aquatilis,White water crowfoot</t>
  </si>
  <si>
    <t>Ranunculus flabellaris,Yellow water crowfoot</t>
  </si>
  <si>
    <t>Ranunculus flammula,Creeping spearwort</t>
  </si>
  <si>
    <t>Ruppia cirrhosa,Ditch grass</t>
  </si>
  <si>
    <t>Sagittaria brevirostra,Midwestern arrowhead</t>
  </si>
  <si>
    <t>Sagittaria cristata,Crested arrowhead</t>
  </si>
  <si>
    <t>Sagittaria cuneata,Arum-leaved arrowhead</t>
  </si>
  <si>
    <t>Sagittaria graminea,Grass-leaved arrowhead</t>
  </si>
  <si>
    <t>Sagittaria latifolia,Common arrowhead</t>
  </si>
  <si>
    <t>Sagittaria rigida,Sessile-fruited arrowhead</t>
  </si>
  <si>
    <t>Sagittaria sp.,Arrowhead</t>
  </si>
  <si>
    <t>Schoenoplectus acutus,Hardstem bulrush</t>
  </si>
  <si>
    <t>Schoenoplectus heterochaetus,Slender bulrush</t>
  </si>
  <si>
    <t>Schoenoplectus pungens,Three-square bulrush</t>
  </si>
  <si>
    <t>Schoenoplectus subterminalis,Water bulrush</t>
  </si>
  <si>
    <t>Schoenoplectus tabernaemontani,Softstem bulrush</t>
  </si>
  <si>
    <t>Sparganium americanum,American bur-reed</t>
  </si>
  <si>
    <t>Sparganium androcladum,Branched bur-reed</t>
  </si>
  <si>
    <t>Sparganium angustifolium,Narrow-leaved bur-reed</t>
  </si>
  <si>
    <t>Sparganium emersum,Short-stemmed bur-reed</t>
  </si>
  <si>
    <t>Sparganium eurycarpum,Common bur-reed</t>
  </si>
  <si>
    <t>Sparganium fluctuans,Floating-leaf bur-reed</t>
  </si>
  <si>
    <t>Sparganium natans,Small bur-reed</t>
  </si>
  <si>
    <t>Sparganium sp.,Bur-reed</t>
  </si>
  <si>
    <t>Spirodela polyrhiza,Large duckweed</t>
  </si>
  <si>
    <t>Stuckenia filiformis,Fine-leaved pondweed</t>
  </si>
  <si>
    <t>Stuckenia pectinata,Sago pondweed</t>
  </si>
  <si>
    <t>Stuckenia vaginata,Sheathed pondweed</t>
  </si>
  <si>
    <t>Typha angustifolia,Narrow-leaved cattail</t>
  </si>
  <si>
    <t>Typha latifolia,Broad-leaved cattail</t>
  </si>
  <si>
    <t>Typha sp.,Cattail</t>
  </si>
  <si>
    <t>Utricularia cornuta,Horned pondweed</t>
  </si>
  <si>
    <t>Utricularia geminiscapa,Twin-stemmed bladderwort</t>
  </si>
  <si>
    <t>Utricularia gibba,Creeping bladderwort</t>
  </si>
  <si>
    <t>Utricularia intermedia,Flat-leaf bladderwort</t>
  </si>
  <si>
    <t>Utricularia minor,Small bladderwort</t>
  </si>
  <si>
    <t>Utricularia purpurea,Large purple bladderwort</t>
  </si>
  <si>
    <t>Utricularia resupinata,Small purple bladderwort</t>
  </si>
  <si>
    <t>Utricularia vulgaris,Common bladderwort</t>
  </si>
  <si>
    <t>Vallisneria americana,Wild celery</t>
  </si>
  <si>
    <t>Wolffia borealis,Northern watermeal</t>
  </si>
  <si>
    <t>Wolffia columbiana,Common watermeal</t>
  </si>
  <si>
    <t>Zannichellia palustris,Horned pondweed</t>
  </si>
  <si>
    <t>Zizania aquatica,Southern wild rice</t>
  </si>
  <si>
    <t>Zizania palustris,Northern wild rice</t>
  </si>
  <si>
    <t>Zizania sp.,Wild rice</t>
  </si>
  <si>
    <t>Riccia fluitans,Slender riccia</t>
  </si>
  <si>
    <t xml:space="preserve">Ricciocarpus natans,Purple-fringed riccia </t>
  </si>
  <si>
    <t>Sagittaria cristata</t>
  </si>
  <si>
    <t>Crested arrowhead</t>
  </si>
  <si>
    <t>Mean depth of plants (ft)</t>
  </si>
  <si>
    <t>Median depth of plants (ft)</t>
  </si>
  <si>
    <t>Species Richness (including visuals and boat survey)</t>
  </si>
  <si>
    <t>M</t>
  </si>
  <si>
    <t>S</t>
  </si>
  <si>
    <t>R</t>
  </si>
  <si>
    <t/>
  </si>
  <si>
    <t>Potamogeton crispus</t>
  </si>
  <si>
    <t xml:space="preserve">Curly-leaf pondweed </t>
  </si>
  <si>
    <t>Littoral_Zone</t>
  </si>
  <si>
    <t>Littoral_Zone_with_Plants</t>
  </si>
  <si>
    <t>Depth</t>
  </si>
  <si>
    <t>Total_Rake_Fullness_</t>
  </si>
  <si>
    <t>Native_Species_Richness</t>
  </si>
  <si>
    <t>Upper Turtle Lake</t>
  </si>
  <si>
    <t>Barron Co.</t>
  </si>
  <si>
    <t>present</t>
  </si>
  <si>
    <t>Endangered Resource Services, LLC</t>
  </si>
  <si>
    <t>*</t>
  </si>
  <si>
    <t>* Excluded from relative frequency</t>
  </si>
  <si>
    <t>ID</t>
  </si>
  <si>
    <t>Longitude</t>
  </si>
  <si>
    <t>Substrate</t>
  </si>
  <si>
    <t>Ceratophyllum_demersum_Coontail</t>
  </si>
  <si>
    <t>Nuphar_variegata_Spatterdock</t>
  </si>
  <si>
    <t>Potamogeton_pusillus_Small_pondweed</t>
  </si>
  <si>
    <t>Filamentous_algae</t>
  </si>
  <si>
    <t>Potamogeton_crispus_Curly_leaf_pondweed</t>
  </si>
  <si>
    <t>Potamogeton_praelongus_White_stem_pondweed</t>
  </si>
  <si>
    <t>Potamogeton_zosteriformis_Flat_stem_pondweed</t>
  </si>
  <si>
    <t>Potamogeton_friesii_Fries__pondweed</t>
  </si>
  <si>
    <t>P</t>
  </si>
  <si>
    <r>
      <t xml:space="preserve">Isoetes </t>
    </r>
    <r>
      <rPr>
        <sz val="11"/>
        <color indexed="8"/>
        <rFont val="Times New Roman"/>
        <family val="1"/>
      </rPr>
      <t>sp.</t>
    </r>
  </si>
  <si>
    <r>
      <t xml:space="preserve">Nuphar </t>
    </r>
    <r>
      <rPr>
        <sz val="11"/>
        <color indexed="8"/>
        <rFont val="Times New Roman"/>
        <family val="1"/>
      </rPr>
      <t xml:space="preserve">X </t>
    </r>
    <r>
      <rPr>
        <i/>
        <sz val="11"/>
        <color indexed="8"/>
        <rFont val="Times New Roman"/>
        <family val="1"/>
      </rPr>
      <t>rubrodisca</t>
    </r>
  </si>
  <si>
    <r>
      <t xml:space="preserve">Typha </t>
    </r>
    <r>
      <rPr>
        <sz val="11"/>
        <color indexed="8"/>
        <rFont val="Times New Roman"/>
        <family val="1"/>
      </rPr>
      <t>sp.</t>
    </r>
  </si>
  <si>
    <r>
      <t xml:space="preserve">Zizania </t>
    </r>
    <r>
      <rPr>
        <sz val="11"/>
        <color indexed="8"/>
        <rFont val="Times New Roman"/>
        <family val="1"/>
      </rPr>
      <t>sp.</t>
    </r>
  </si>
  <si>
    <r>
      <t xml:space="preserve">CITATION: </t>
    </r>
    <r>
      <rPr>
        <b/>
        <sz val="12"/>
        <color indexed="8"/>
        <rFont val="Times New Roman"/>
        <family val="1"/>
      </rPr>
      <t xml:space="preserve">Nichols, SA. 1999. Floristic Quality Assessment of Wisconsin Lake Plant Communities with Example Applications. Journal of Lake and Reservoir Management, 15(2):133-141. </t>
    </r>
  </si>
  <si>
    <r>
      <t xml:space="preserve">CITATION: </t>
    </r>
    <r>
      <rPr>
        <b/>
        <sz val="12"/>
        <color indexed="8"/>
        <rFont val="Times New Roman"/>
        <family val="1"/>
      </rPr>
      <t>University of Wisconsin-Madison, 2001. Wisconsin Floristic Quality Assessment (WFQA). Retrived October 27, 2009 from: http://www.botany.wisc.edu/WFQA.asp</t>
    </r>
  </si>
  <si>
    <r>
      <t xml:space="preserve">Nitella </t>
    </r>
    <r>
      <rPr>
        <sz val="11"/>
        <color indexed="8"/>
        <rFont val="Times New Roman"/>
        <family val="1"/>
      </rPr>
      <t>sp.</t>
    </r>
  </si>
  <si>
    <t>Muskgrass</t>
  </si>
  <si>
    <r>
      <t xml:space="preserve">Chara </t>
    </r>
    <r>
      <rPr>
        <sz val="11"/>
        <color indexed="8"/>
        <rFont val="Times New Roman"/>
        <family val="1"/>
      </rPr>
      <t>sp.</t>
    </r>
  </si>
  <si>
    <t>Lattitude</t>
  </si>
  <si>
    <t>Hallie Jensen</t>
  </si>
  <si>
    <t>Latitude</t>
  </si>
  <si>
    <t>Nymphaea_odorata_White_water_lily</t>
  </si>
  <si>
    <t>Stuckenia_pectinata_Sago_pondweed</t>
  </si>
  <si>
    <t>CLP</t>
  </si>
  <si>
    <t>Boat Survey</t>
  </si>
  <si>
    <t xml:space="preserve">WBIC </t>
  </si>
  <si>
    <t>Date of Survey</t>
  </si>
  <si>
    <t>Nearest Point</t>
  </si>
  <si>
    <t>Species seen, habitat information</t>
  </si>
  <si>
    <t>ADDITIONAL COMMENTS</t>
  </si>
  <si>
    <t>Barron</t>
  </si>
  <si>
    <t>Only CLP Found appeared to have sprouted after the treatment as plants were all &lt;1ft tall with most being only a couple of inches.</t>
  </si>
</sst>
</file>

<file path=xl/styles.xml><?xml version="1.0" encoding="utf-8"?>
<styleSheet xmlns="http://schemas.openxmlformats.org/spreadsheetml/2006/main">
  <numFmts count="2">
    <numFmt numFmtId="164" formatCode="0.0"/>
    <numFmt numFmtId="165" formatCode="mm/dd/yy;@"/>
  </numFmts>
  <fonts count="34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20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"/>
      <color indexed="81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i/>
      <sz val="11"/>
      <color indexed="8"/>
      <name val="Times New Roman"/>
      <family val="1"/>
    </font>
    <font>
      <i/>
      <sz val="11"/>
      <name val="Times New Roman"/>
      <family val="1"/>
    </font>
    <font>
      <b/>
      <sz val="10"/>
      <color indexed="10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</fills>
  <borders count="3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1" fillId="0" borderId="0"/>
    <xf numFmtId="0" fontId="11" fillId="0" borderId="0"/>
    <xf numFmtId="0" fontId="1" fillId="0" borderId="0"/>
  </cellStyleXfs>
  <cellXfs count="190">
    <xf numFmtId="0" fontId="0" fillId="0" borderId="0" xfId="0"/>
    <xf numFmtId="0" fontId="2" fillId="0" borderId="0" xfId="0" applyFont="1"/>
    <xf numFmtId="0" fontId="0" fillId="0" borderId="2" xfId="0" applyBorder="1" applyAlignment="1" applyProtection="1">
      <alignment textRotation="45"/>
      <protection locked="0"/>
    </xf>
    <xf numFmtId="0" fontId="0" fillId="0" borderId="0" xfId="0" applyProtection="1">
      <protection locked="0"/>
    </xf>
    <xf numFmtId="0" fontId="0" fillId="0" borderId="3" xfId="0" applyBorder="1" applyAlignment="1" applyProtection="1">
      <alignment textRotation="45"/>
      <protection locked="0"/>
    </xf>
    <xf numFmtId="0" fontId="6" fillId="0" borderId="2" xfId="0" applyFont="1" applyBorder="1" applyAlignment="1" applyProtection="1">
      <alignment textRotation="45"/>
      <protection locked="0"/>
    </xf>
    <xf numFmtId="0" fontId="0" fillId="0" borderId="4" xfId="0" applyBorder="1" applyAlignment="1" applyProtection="1">
      <alignment textRotation="45"/>
      <protection locked="0"/>
    </xf>
    <xf numFmtId="0" fontId="0" fillId="2" borderId="2" xfId="0" applyFill="1" applyBorder="1" applyProtection="1">
      <protection locked="0"/>
    </xf>
    <xf numFmtId="164" fontId="2" fillId="0" borderId="0" xfId="0" applyNumberFormat="1" applyFont="1"/>
    <xf numFmtId="164" fontId="3" fillId="0" borderId="0" xfId="0" applyNumberFormat="1" applyFont="1"/>
    <xf numFmtId="0" fontId="2" fillId="0" borderId="0" xfId="0" applyFont="1" applyBorder="1" applyAlignment="1"/>
    <xf numFmtId="0" fontId="9" fillId="0" borderId="0" xfId="0" applyFont="1" applyBorder="1" applyAlignment="1"/>
    <xf numFmtId="0" fontId="0" fillId="0" borderId="0" xfId="0" applyBorder="1" applyAlignment="1">
      <alignment textRotation="45"/>
    </xf>
    <xf numFmtId="2" fontId="3" fillId="2" borderId="2" xfId="0" applyNumberFormat="1" applyFont="1" applyFill="1" applyBorder="1" applyAlignment="1"/>
    <xf numFmtId="0" fontId="9" fillId="0" borderId="0" xfId="0" applyFont="1"/>
    <xf numFmtId="1" fontId="2" fillId="0" borderId="0" xfId="0" applyNumberFormat="1" applyFont="1"/>
    <xf numFmtId="0" fontId="7" fillId="2" borderId="2" xfId="0" applyFont="1" applyFill="1" applyBorder="1" applyAlignment="1" applyProtection="1">
      <alignment textRotation="45" wrapText="1"/>
      <protection locked="0"/>
    </xf>
    <xf numFmtId="2" fontId="3" fillId="0" borderId="0" xfId="0" applyNumberFormat="1" applyFont="1"/>
    <xf numFmtId="2" fontId="3" fillId="2" borderId="2" xfId="0" applyNumberFormat="1" applyFont="1" applyFill="1" applyBorder="1"/>
    <xf numFmtId="0" fontId="0" fillId="0" borderId="0" xfId="0" applyFill="1" applyProtection="1">
      <protection locked="0"/>
    </xf>
    <xf numFmtId="0" fontId="0" fillId="0" borderId="5" xfId="0" applyBorder="1" applyAlignment="1" applyProtection="1">
      <alignment textRotation="45"/>
      <protection locked="0"/>
    </xf>
    <xf numFmtId="0" fontId="0" fillId="3" borderId="2" xfId="0" applyFill="1" applyBorder="1" applyProtection="1"/>
    <xf numFmtId="0" fontId="8" fillId="0" borderId="2" xfId="0" applyFont="1" applyFill="1" applyBorder="1" applyAlignment="1" applyProtection="1">
      <alignment textRotation="45" wrapText="1"/>
      <protection locked="0"/>
    </xf>
    <xf numFmtId="0" fontId="0" fillId="0" borderId="0" xfId="0" applyFill="1" applyBorder="1" applyProtection="1">
      <protection locked="0"/>
    </xf>
    <xf numFmtId="0" fontId="0" fillId="0" borderId="0" xfId="0" applyBorder="1"/>
    <xf numFmtId="1" fontId="0" fillId="0" borderId="0" xfId="0" applyNumberFormat="1"/>
    <xf numFmtId="0" fontId="6" fillId="0" borderId="2" xfId="0" applyFont="1" applyFill="1" applyBorder="1" applyAlignment="1" applyProtection="1">
      <alignment textRotation="45"/>
      <protection locked="0"/>
    </xf>
    <xf numFmtId="0" fontId="0" fillId="0" borderId="2" xfId="0" applyFill="1" applyBorder="1" applyAlignment="1" applyProtection="1">
      <alignment textRotation="45"/>
      <protection locked="0"/>
    </xf>
    <xf numFmtId="0" fontId="0" fillId="0" borderId="2" xfId="0" applyFill="1" applyBorder="1" applyAlignment="1">
      <alignment textRotation="45"/>
    </xf>
    <xf numFmtId="164" fontId="3" fillId="0" borderId="0" xfId="0" applyNumberFormat="1" applyFont="1" applyFill="1" applyBorder="1"/>
    <xf numFmtId="2" fontId="3" fillId="0" borderId="0" xfId="0" applyNumberFormat="1" applyFont="1" applyFill="1" applyBorder="1"/>
    <xf numFmtId="0" fontId="0" fillId="0" borderId="0" xfId="0" applyFill="1" applyBorder="1"/>
    <xf numFmtId="2" fontId="3" fillId="0" borderId="0" xfId="0" applyNumberFormat="1" applyFont="1" applyFill="1" applyBorder="1" applyAlignment="1"/>
    <xf numFmtId="0" fontId="6" fillId="0" borderId="3" xfId="0" applyFont="1" applyFill="1" applyBorder="1" applyAlignment="1" applyProtection="1">
      <alignment textRotation="45"/>
      <protection locked="0"/>
    </xf>
    <xf numFmtId="0" fontId="0" fillId="2" borderId="3" xfId="0" applyFill="1" applyBorder="1"/>
    <xf numFmtId="164" fontId="3" fillId="2" borderId="3" xfId="0" applyNumberFormat="1" applyFont="1" applyFill="1" applyBorder="1"/>
    <xf numFmtId="1" fontId="3" fillId="2" borderId="2" xfId="0" applyNumberFormat="1" applyFont="1" applyFill="1" applyBorder="1" applyAlignment="1"/>
    <xf numFmtId="2" fontId="0" fillId="0" borderId="2" xfId="0" applyNumberFormat="1" applyBorder="1" applyAlignment="1">
      <alignment textRotation="45"/>
    </xf>
    <xf numFmtId="0" fontId="5" fillId="0" borderId="4" xfId="0" applyFont="1" applyBorder="1" applyAlignment="1"/>
    <xf numFmtId="2" fontId="0" fillId="0" borderId="2" xfId="0" applyNumberFormat="1" applyBorder="1" applyAlignment="1"/>
    <xf numFmtId="1" fontId="2" fillId="2" borderId="2" xfId="0" applyNumberFormat="1" applyFont="1" applyFill="1" applyBorder="1" applyAlignment="1"/>
    <xf numFmtId="2" fontId="2" fillId="2" borderId="2" xfId="0" applyNumberFormat="1" applyFont="1" applyFill="1" applyBorder="1" applyAlignment="1"/>
    <xf numFmtId="1" fontId="2" fillId="2" borderId="2" xfId="0" applyNumberFormat="1" applyFont="1" applyFill="1" applyBorder="1"/>
    <xf numFmtId="2" fontId="2" fillId="2" borderId="2" xfId="0" applyNumberFormat="1" applyFont="1" applyFill="1" applyBorder="1"/>
    <xf numFmtId="2" fontId="2" fillId="0" borderId="0" xfId="0" applyNumberFormat="1" applyFont="1"/>
    <xf numFmtId="2" fontId="0" fillId="2" borderId="3" xfId="0" applyNumberFormat="1" applyFill="1" applyBorder="1"/>
    <xf numFmtId="2" fontId="0" fillId="2" borderId="2" xfId="0" applyNumberFormat="1" applyFill="1" applyBorder="1"/>
    <xf numFmtId="0" fontId="8" fillId="0" borderId="3" xfId="0" applyFont="1" applyFill="1" applyBorder="1" applyAlignment="1" applyProtection="1">
      <alignment textRotation="45" wrapText="1"/>
      <protection locked="0"/>
    </xf>
    <xf numFmtId="0" fontId="3" fillId="0" borderId="0" xfId="0" applyFont="1" applyBorder="1" applyAlignment="1">
      <alignment horizontal="left"/>
    </xf>
    <xf numFmtId="0" fontId="0" fillId="0" borderId="4" xfId="0" applyBorder="1" applyAlignment="1">
      <alignment textRotation="45"/>
    </xf>
    <xf numFmtId="0" fontId="2" fillId="0" borderId="0" xfId="0" applyFont="1" applyProtection="1"/>
    <xf numFmtId="0" fontId="2" fillId="0" borderId="0" xfId="0" applyFont="1" applyFill="1" applyBorder="1" applyProtection="1"/>
    <xf numFmtId="2" fontId="0" fillId="2" borderId="2" xfId="0" applyNumberFormat="1" applyFill="1" applyBorder="1" applyAlignment="1"/>
    <xf numFmtId="1" fontId="0" fillId="2" borderId="2" xfId="0" applyNumberFormat="1" applyFill="1" applyBorder="1" applyAlignment="1"/>
    <xf numFmtId="1" fontId="3" fillId="0" borderId="0" xfId="0" applyNumberFormat="1" applyFont="1" applyFill="1" applyBorder="1" applyAlignment="1"/>
    <xf numFmtId="165" fontId="3" fillId="0" borderId="0" xfId="0" applyNumberFormat="1" applyFont="1" applyBorder="1" applyAlignment="1">
      <alignment horizontal="left"/>
    </xf>
    <xf numFmtId="0" fontId="5" fillId="0" borderId="4" xfId="0" applyFont="1" applyBorder="1" applyAlignment="1" applyProtection="1">
      <protection locked="0"/>
    </xf>
    <xf numFmtId="0" fontId="1" fillId="0" borderId="2" xfId="0" applyFont="1" applyFill="1" applyBorder="1" applyAlignment="1" applyProtection="1">
      <alignment textRotation="45"/>
      <protection locked="0"/>
    </xf>
    <xf numFmtId="0" fontId="2" fillId="0" borderId="0" xfId="0" applyFont="1" applyProtection="1">
      <protection locked="0"/>
    </xf>
    <xf numFmtId="2" fontId="0" fillId="0" borderId="0" xfId="0" applyNumberFormat="1"/>
    <xf numFmtId="1" fontId="0" fillId="0" borderId="0" xfId="0" applyNumberFormat="1" applyFill="1" applyBorder="1"/>
    <xf numFmtId="1" fontId="2" fillId="0" borderId="0" xfId="0" applyNumberFormat="1" applyFont="1" applyFill="1" applyBorder="1"/>
    <xf numFmtId="1" fontId="0" fillId="0" borderId="0" xfId="0" applyNumberFormat="1" applyFill="1" applyBorder="1" applyAlignment="1"/>
    <xf numFmtId="1" fontId="0" fillId="2" borderId="3" xfId="0" applyNumberFormat="1" applyFill="1" applyBorder="1" applyAlignment="1"/>
    <xf numFmtId="1" fontId="0" fillId="0" borderId="0" xfId="0" applyNumberFormat="1" applyBorder="1"/>
    <xf numFmtId="1" fontId="2" fillId="0" borderId="0" xfId="0" applyNumberFormat="1" applyFont="1" applyBorder="1"/>
    <xf numFmtId="2" fontId="0" fillId="0" borderId="0" xfId="0" applyNumberFormat="1" applyBorder="1"/>
    <xf numFmtId="2" fontId="2" fillId="0" borderId="0" xfId="0" applyNumberFormat="1" applyFont="1" applyBorder="1"/>
    <xf numFmtId="164" fontId="3" fillId="0" borderId="0" xfId="0" applyNumberFormat="1" applyFont="1" applyBorder="1"/>
    <xf numFmtId="2" fontId="3" fillId="0" borderId="0" xfId="0" applyNumberFormat="1" applyFont="1" applyBorder="1"/>
    <xf numFmtId="2" fontId="0" fillId="0" borderId="0" xfId="0" applyNumberFormat="1" applyBorder="1" applyAlignment="1"/>
    <xf numFmtId="14" fontId="2" fillId="0" borderId="0" xfId="0" applyNumberFormat="1" applyFont="1" applyFill="1" applyBorder="1" applyAlignment="1" applyProtection="1">
      <alignment horizontal="left"/>
      <protection locked="0"/>
    </xf>
    <xf numFmtId="14" fontId="2" fillId="0" borderId="0" xfId="0" applyNumberFormat="1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4" borderId="2" xfId="0" applyFont="1" applyFill="1" applyBorder="1" applyAlignment="1" applyProtection="1">
      <alignment textRotation="45" wrapText="1"/>
      <protection hidden="1"/>
    </xf>
    <xf numFmtId="0" fontId="4" fillId="4" borderId="2" xfId="0" applyFont="1" applyFill="1" applyBorder="1" applyAlignment="1" applyProtection="1">
      <alignment textRotation="45" wrapText="1"/>
      <protection hidden="1"/>
    </xf>
    <xf numFmtId="0" fontId="0" fillId="4" borderId="2" xfId="0" applyFill="1" applyBorder="1" applyAlignment="1" applyProtection="1">
      <alignment textRotation="45"/>
      <protection hidden="1"/>
    </xf>
    <xf numFmtId="0" fontId="0" fillId="4" borderId="2" xfId="0" applyFill="1" applyBorder="1" applyProtection="1">
      <protection hidden="1"/>
    </xf>
    <xf numFmtId="0" fontId="0" fillId="0" borderId="6" xfId="0" applyBorder="1"/>
    <xf numFmtId="0" fontId="12" fillId="0" borderId="0" xfId="0" applyFont="1" applyFill="1" applyBorder="1"/>
    <xf numFmtId="0" fontId="7" fillId="0" borderId="2" xfId="0" applyFont="1" applyFill="1" applyBorder="1" applyAlignment="1" applyProtection="1">
      <alignment textRotation="45" wrapText="1"/>
      <protection locked="0"/>
    </xf>
    <xf numFmtId="0" fontId="17" fillId="0" borderId="26" xfId="0" applyFont="1" applyBorder="1"/>
    <xf numFmtId="0" fontId="18" fillId="0" borderId="27" xfId="0" applyFont="1" applyBorder="1"/>
    <xf numFmtId="0" fontId="18" fillId="0" borderId="28" xfId="0" applyFont="1" applyBorder="1"/>
    <xf numFmtId="0" fontId="18" fillId="0" borderId="29" xfId="0" applyFont="1" applyBorder="1"/>
    <xf numFmtId="0" fontId="18" fillId="0" borderId="6" xfId="0" applyFont="1" applyBorder="1"/>
    <xf numFmtId="0" fontId="18" fillId="0" borderId="30" xfId="0" applyFont="1" applyBorder="1"/>
    <xf numFmtId="0" fontId="0" fillId="0" borderId="31" xfId="0" applyBorder="1"/>
    <xf numFmtId="0" fontId="0" fillId="0" borderId="32" xfId="0" applyBorder="1"/>
    <xf numFmtId="0" fontId="8" fillId="6" borderId="5" xfId="0" applyFont="1" applyFill="1" applyBorder="1" applyAlignment="1" applyProtection="1">
      <alignment textRotation="45" wrapText="1"/>
      <protection locked="0"/>
    </xf>
    <xf numFmtId="0" fontId="3" fillId="6" borderId="5" xfId="0" applyFont="1" applyFill="1" applyBorder="1" applyAlignment="1" applyProtection="1">
      <alignment textRotation="45"/>
      <protection locked="0"/>
    </xf>
    <xf numFmtId="0" fontId="6" fillId="6" borderId="5" xfId="0" applyFont="1" applyFill="1" applyBorder="1" applyAlignment="1" applyProtection="1">
      <alignment textRotation="45"/>
      <protection locked="0"/>
    </xf>
    <xf numFmtId="0" fontId="0" fillId="6" borderId="1" xfId="0" applyFill="1" applyBorder="1" applyProtection="1">
      <protection locked="0"/>
    </xf>
    <xf numFmtId="0" fontId="0" fillId="0" borderId="0" xfId="0" applyFill="1" applyBorder="1" applyProtection="1">
      <protection hidden="1"/>
    </xf>
    <xf numFmtId="0" fontId="0" fillId="4" borderId="4" xfId="0" applyFill="1" applyBorder="1" applyAlignment="1" applyProtection="1">
      <alignment textRotation="45"/>
      <protection hidden="1"/>
    </xf>
    <xf numFmtId="0" fontId="0" fillId="4" borderId="4" xfId="0" applyFill="1" applyBorder="1" applyProtection="1">
      <protection hidden="1"/>
    </xf>
    <xf numFmtId="0" fontId="0" fillId="3" borderId="3" xfId="0" applyFill="1" applyBorder="1" applyAlignment="1" applyProtection="1">
      <alignment textRotation="45"/>
      <protection locked="0"/>
    </xf>
    <xf numFmtId="0" fontId="1" fillId="0" borderId="0" xfId="0" applyFont="1" applyFill="1" applyBorder="1" applyProtection="1">
      <protection locked="0"/>
    </xf>
    <xf numFmtId="2" fontId="19" fillId="0" borderId="2" xfId="0" applyNumberFormat="1" applyFont="1" applyBorder="1" applyAlignment="1">
      <alignment textRotation="45"/>
    </xf>
    <xf numFmtId="0" fontId="20" fillId="0" borderId="3" xfId="0" applyFont="1" applyFill="1" applyBorder="1" applyAlignment="1" applyProtection="1">
      <alignment textRotation="45"/>
      <protection locked="0"/>
    </xf>
    <xf numFmtId="0" fontId="20" fillId="0" borderId="2" xfId="0" applyFont="1" applyFill="1" applyBorder="1" applyAlignment="1" applyProtection="1">
      <alignment textRotation="45"/>
      <protection locked="0"/>
    </xf>
    <xf numFmtId="0" fontId="19" fillId="0" borderId="2" xfId="0" applyFont="1" applyFill="1" applyBorder="1" applyAlignment="1" applyProtection="1">
      <alignment textRotation="45" wrapText="1"/>
      <protection locked="0"/>
    </xf>
    <xf numFmtId="0" fontId="0" fillId="7" borderId="2" xfId="0" applyFill="1" applyBorder="1" applyProtection="1">
      <protection locked="0"/>
    </xf>
    <xf numFmtId="0" fontId="21" fillId="7" borderId="2" xfId="0" applyFont="1" applyFill="1" applyBorder="1" applyAlignment="1" applyProtection="1">
      <alignment horizontal="left"/>
      <protection locked="0"/>
    </xf>
    <xf numFmtId="0" fontId="1" fillId="7" borderId="2" xfId="0" applyFont="1" applyFill="1" applyBorder="1" applyAlignment="1" applyProtection="1">
      <alignment horizontal="left"/>
      <protection locked="0"/>
    </xf>
    <xf numFmtId="165" fontId="1" fillId="7" borderId="2" xfId="0" applyNumberFormat="1" applyFont="1" applyFill="1" applyBorder="1" applyAlignment="1" applyProtection="1">
      <alignment horizontal="left"/>
      <protection locked="0"/>
    </xf>
    <xf numFmtId="0" fontId="6" fillId="0" borderId="0" xfId="0" applyFont="1" applyBorder="1"/>
    <xf numFmtId="0" fontId="1" fillId="7" borderId="2" xfId="0" applyFont="1" applyFill="1" applyBorder="1" applyProtection="1">
      <protection locked="0"/>
    </xf>
    <xf numFmtId="0" fontId="22" fillId="0" borderId="0" xfId="0" applyFont="1"/>
    <xf numFmtId="0" fontId="23" fillId="0" borderId="0" xfId="3" applyFont="1" applyFill="1" applyBorder="1" applyAlignment="1">
      <alignment horizontal="center"/>
    </xf>
    <xf numFmtId="0" fontId="24" fillId="0" borderId="33" xfId="3" applyFont="1" applyFill="1" applyBorder="1" applyAlignment="1">
      <alignment horizontal="center"/>
    </xf>
    <xf numFmtId="0" fontId="22" fillId="0" borderId="38" xfId="0" applyFont="1" applyBorder="1" applyAlignment="1">
      <alignment horizontal="center"/>
    </xf>
    <xf numFmtId="0" fontId="25" fillId="0" borderId="0" xfId="0" applyFont="1" applyFill="1" applyBorder="1"/>
    <xf numFmtId="0" fontId="26" fillId="0" borderId="0" xfId="0" applyFont="1" applyFill="1" applyBorder="1"/>
    <xf numFmtId="0" fontId="26" fillId="0" borderId="0" xfId="0" applyFont="1"/>
    <xf numFmtId="0" fontId="24" fillId="0" borderId="34" xfId="3" applyFont="1" applyFill="1" applyBorder="1" applyAlignment="1">
      <alignment horizontal="center"/>
    </xf>
    <xf numFmtId="0" fontId="23" fillId="0" borderId="35" xfId="2" applyFont="1" applyFill="1" applyBorder="1" applyAlignment="1">
      <alignment horizontal="center"/>
    </xf>
    <xf numFmtId="165" fontId="23" fillId="0" borderId="35" xfId="2" applyNumberFormat="1" applyFont="1" applyFill="1" applyBorder="1" applyAlignment="1">
      <alignment horizontal="center"/>
    </xf>
    <xf numFmtId="0" fontId="23" fillId="0" borderId="0" xfId="2" applyFont="1" applyFill="1" applyBorder="1" applyAlignment="1">
      <alignment horizontal="center"/>
    </xf>
    <xf numFmtId="0" fontId="27" fillId="0" borderId="0" xfId="0" applyFont="1"/>
    <xf numFmtId="0" fontId="24" fillId="0" borderId="36" xfId="3" applyFont="1" applyFill="1" applyBorder="1" applyAlignment="1">
      <alignment horizontal="center"/>
    </xf>
    <xf numFmtId="0" fontId="23" fillId="0" borderId="37" xfId="2" applyFont="1" applyFill="1" applyBorder="1" applyAlignment="1">
      <alignment horizontal="center"/>
    </xf>
    <xf numFmtId="0" fontId="24" fillId="0" borderId="29" xfId="3" applyFont="1" applyFill="1" applyBorder="1" applyAlignment="1">
      <alignment horizontal="center"/>
    </xf>
    <xf numFmtId="0" fontId="23" fillId="0" borderId="30" xfId="2" applyFont="1" applyFill="1" applyBorder="1" applyAlignment="1">
      <alignment horizontal="center"/>
    </xf>
    <xf numFmtId="0" fontId="24" fillId="0" borderId="15" xfId="3" applyFont="1" applyFill="1" applyBorder="1" applyAlignment="1">
      <alignment horizontal="center"/>
    </xf>
    <xf numFmtId="0" fontId="24" fillId="0" borderId="16" xfId="3" applyFont="1" applyFill="1" applyBorder="1" applyAlignment="1">
      <alignment horizontal="center"/>
    </xf>
    <xf numFmtId="0" fontId="24" fillId="0" borderId="23" xfId="3" applyFont="1" applyFill="1" applyBorder="1" applyAlignment="1">
      <alignment horizontal="center"/>
    </xf>
    <xf numFmtId="0" fontId="24" fillId="0" borderId="17" xfId="2" applyFont="1" applyFill="1" applyBorder="1" applyAlignment="1">
      <alignment horizontal="center"/>
    </xf>
    <xf numFmtId="0" fontId="23" fillId="0" borderId="0" xfId="2" applyFont="1" applyFill="1" applyBorder="1" applyAlignment="1"/>
    <xf numFmtId="0" fontId="28" fillId="0" borderId="12" xfId="2" applyFont="1" applyFill="1" applyBorder="1" applyAlignment="1">
      <alignment horizontal="left" wrapText="1"/>
    </xf>
    <xf numFmtId="0" fontId="23" fillId="0" borderId="13" xfId="2" applyFont="1" applyFill="1" applyBorder="1" applyAlignment="1">
      <alignment horizontal="left" wrapText="1"/>
    </xf>
    <xf numFmtId="1" fontId="23" fillId="0" borderId="14" xfId="2" applyNumberFormat="1" applyFont="1" applyFill="1" applyBorder="1" applyAlignment="1">
      <alignment wrapText="1"/>
    </xf>
    <xf numFmtId="1" fontId="23" fillId="0" borderId="20" xfId="2" applyNumberFormat="1" applyFont="1" applyFill="1" applyBorder="1" applyAlignment="1">
      <alignment wrapText="1"/>
    </xf>
    <xf numFmtId="0" fontId="22" fillId="0" borderId="18" xfId="0" applyFont="1" applyBorder="1" applyAlignment="1"/>
    <xf numFmtId="0" fontId="28" fillId="0" borderId="7" xfId="2" applyFont="1" applyFill="1" applyBorder="1" applyAlignment="1">
      <alignment horizontal="left" wrapText="1"/>
    </xf>
    <xf numFmtId="0" fontId="22" fillId="0" borderId="2" xfId="0" applyFont="1" applyBorder="1"/>
    <xf numFmtId="1" fontId="23" fillId="0" borderId="8" xfId="2" applyNumberFormat="1" applyFont="1" applyFill="1" applyBorder="1" applyAlignment="1">
      <alignment wrapText="1"/>
    </xf>
    <xf numFmtId="0" fontId="28" fillId="0" borderId="7" xfId="3" applyFont="1" applyFill="1" applyBorder="1" applyAlignment="1">
      <alignment horizontal="left" wrapText="1"/>
    </xf>
    <xf numFmtId="1" fontId="23" fillId="0" borderId="21" xfId="2" applyNumberFormat="1" applyFont="1" applyFill="1" applyBorder="1" applyAlignment="1">
      <alignment wrapText="1"/>
    </xf>
    <xf numFmtId="0" fontId="23" fillId="0" borderId="2" xfId="2" applyFont="1" applyFill="1" applyBorder="1" applyAlignment="1">
      <alignment horizontal="left" wrapText="1"/>
    </xf>
    <xf numFmtId="1" fontId="23" fillId="0" borderId="8" xfId="3" applyNumberFormat="1" applyFont="1" applyFill="1" applyBorder="1" applyAlignment="1">
      <alignment wrapText="1"/>
    </xf>
    <xf numFmtId="0" fontId="23" fillId="0" borderId="2" xfId="0" applyFont="1" applyBorder="1" applyAlignment="1">
      <alignment horizontal="left" vertical="top" wrapText="1"/>
    </xf>
    <xf numFmtId="0" fontId="23" fillId="0" borderId="2" xfId="3" applyFont="1" applyFill="1" applyBorder="1" applyAlignment="1">
      <alignment horizontal="left" wrapText="1"/>
    </xf>
    <xf numFmtId="0" fontId="23" fillId="0" borderId="2" xfId="0" applyFont="1" applyBorder="1"/>
    <xf numFmtId="0" fontId="22" fillId="0" borderId="2" xfId="0" applyFont="1" applyBorder="1" applyAlignment="1">
      <alignment horizontal="left" wrapText="1"/>
    </xf>
    <xf numFmtId="0" fontId="29" fillId="0" borderId="7" xfId="3" applyFont="1" applyFill="1" applyBorder="1" applyAlignment="1">
      <alignment horizontal="left" wrapText="1"/>
    </xf>
    <xf numFmtId="0" fontId="22" fillId="0" borderId="2" xfId="3" applyFont="1" applyFill="1" applyBorder="1" applyAlignment="1">
      <alignment horizontal="left" wrapText="1"/>
    </xf>
    <xf numFmtId="1" fontId="22" fillId="0" borderId="8" xfId="3" applyNumberFormat="1" applyFont="1" applyFill="1" applyBorder="1" applyAlignment="1">
      <alignment wrapText="1"/>
    </xf>
    <xf numFmtId="0" fontId="30" fillId="0" borderId="0" xfId="0" applyFont="1"/>
    <xf numFmtId="0" fontId="28" fillId="0" borderId="9" xfId="3" applyFont="1" applyFill="1" applyBorder="1" applyAlignment="1">
      <alignment horizontal="left" wrapText="1"/>
    </xf>
    <xf numFmtId="0" fontId="22" fillId="0" borderId="10" xfId="0" applyFont="1" applyBorder="1"/>
    <xf numFmtId="1" fontId="23" fillId="0" borderId="11" xfId="3" applyNumberFormat="1" applyFont="1" applyFill="1" applyBorder="1" applyAlignment="1">
      <alignment wrapText="1"/>
    </xf>
    <xf numFmtId="1" fontId="23" fillId="0" borderId="22" xfId="2" applyNumberFormat="1" applyFont="1" applyFill="1" applyBorder="1" applyAlignment="1">
      <alignment wrapText="1"/>
    </xf>
    <xf numFmtId="0" fontId="23" fillId="0" borderId="0" xfId="3" applyFont="1" applyFill="1" applyBorder="1" applyAlignment="1">
      <alignment horizontal="left" wrapText="1"/>
    </xf>
    <xf numFmtId="1" fontId="23" fillId="0" borderId="0" xfId="3" applyNumberFormat="1" applyFont="1" applyFill="1" applyBorder="1" applyAlignment="1">
      <alignment wrapText="1"/>
    </xf>
    <xf numFmtId="1" fontId="23" fillId="0" borderId="19" xfId="2" applyNumberFormat="1" applyFont="1" applyFill="1" applyBorder="1" applyAlignment="1">
      <alignment wrapText="1"/>
    </xf>
    <xf numFmtId="0" fontId="22" fillId="0" borderId="0" xfId="0" applyFont="1" applyBorder="1" applyAlignment="1"/>
    <xf numFmtId="0" fontId="24" fillId="0" borderId="0" xfId="3" applyFont="1" applyFill="1" applyBorder="1" applyAlignment="1">
      <alignment horizontal="left" wrapText="1"/>
    </xf>
    <xf numFmtId="1" fontId="22" fillId="0" borderId="0" xfId="0" applyNumberFormat="1" applyFont="1" applyAlignment="1"/>
    <xf numFmtId="0" fontId="22" fillId="0" borderId="0" xfId="0" applyFont="1" applyAlignment="1"/>
    <xf numFmtId="0" fontId="22" fillId="0" borderId="0" xfId="0" applyFont="1" applyAlignment="1">
      <alignment horizontal="right"/>
    </xf>
    <xf numFmtId="164" fontId="22" fillId="0" borderId="0" xfId="0" applyNumberFormat="1" applyFont="1"/>
    <xf numFmtId="0" fontId="24" fillId="5" borderId="25" xfId="3" applyFont="1" applyFill="1" applyBorder="1" applyAlignment="1">
      <alignment horizontal="left" wrapText="1"/>
    </xf>
    <xf numFmtId="0" fontId="23" fillId="5" borderId="24" xfId="3" applyFont="1" applyFill="1" applyBorder="1" applyAlignment="1">
      <alignment horizontal="left" wrapText="1"/>
    </xf>
    <xf numFmtId="0" fontId="22" fillId="6" borderId="24" xfId="0" applyFont="1" applyFill="1" applyBorder="1" applyAlignment="1"/>
    <xf numFmtId="0" fontId="22" fillId="6" borderId="24" xfId="0" applyFont="1" applyFill="1" applyBorder="1"/>
    <xf numFmtId="164" fontId="22" fillId="6" borderId="17" xfId="0" applyNumberFormat="1" applyFont="1" applyFill="1" applyBorder="1" applyAlignment="1"/>
    <xf numFmtId="0" fontId="31" fillId="0" borderId="0" xfId="3" applyFont="1" applyFill="1" applyBorder="1" applyAlignment="1">
      <alignment horizontal="left" wrapText="1"/>
    </xf>
    <xf numFmtId="0" fontId="26" fillId="0" borderId="0" xfId="0" applyFont="1" applyAlignment="1">
      <alignment horizontal="right"/>
    </xf>
    <xf numFmtId="2" fontId="1" fillId="0" borderId="0" xfId="0" applyNumberFormat="1" applyFont="1" applyBorder="1" applyAlignment="1">
      <alignment horizontal="center"/>
    </xf>
    <xf numFmtId="0" fontId="28" fillId="0" borderId="12" xfId="3" applyFont="1" applyFill="1" applyBorder="1" applyAlignment="1">
      <alignment horizontal="left" wrapText="1"/>
    </xf>
    <xf numFmtId="0" fontId="22" fillId="0" borderId="13" xfId="0" applyFont="1" applyBorder="1"/>
    <xf numFmtId="1" fontId="23" fillId="0" borderId="14" xfId="3" applyNumberFormat="1" applyFont="1" applyFill="1" applyBorder="1" applyAlignment="1">
      <alignment wrapText="1"/>
    </xf>
    <xf numFmtId="0" fontId="1" fillId="0" borderId="0" xfId="0" applyFont="1" applyBorder="1" applyAlignment="1">
      <alignment horizontal="center"/>
    </xf>
    <xf numFmtId="0" fontId="1" fillId="4" borderId="4" xfId="0" applyFont="1" applyFill="1" applyBorder="1" applyAlignment="1" applyProtection="1">
      <alignment textRotation="45"/>
      <protection hidden="1"/>
    </xf>
    <xf numFmtId="0" fontId="1" fillId="3" borderId="3" xfId="0" applyFont="1" applyFill="1" applyBorder="1" applyAlignment="1" applyProtection="1">
      <alignment textRotation="45"/>
      <protection locked="0"/>
    </xf>
    <xf numFmtId="0" fontId="1" fillId="0" borderId="3" xfId="0" applyFont="1" applyBorder="1" applyAlignment="1" applyProtection="1">
      <alignment textRotation="45"/>
      <protection locked="0"/>
    </xf>
    <xf numFmtId="0" fontId="1" fillId="0" borderId="2" xfId="0" applyFont="1" applyBorder="1" applyAlignment="1" applyProtection="1">
      <alignment textRotation="45"/>
      <protection locked="0"/>
    </xf>
    <xf numFmtId="0" fontId="1" fillId="0" borderId="5" xfId="0" applyFont="1" applyBorder="1" applyAlignment="1" applyProtection="1">
      <alignment textRotation="45"/>
      <protection locked="0"/>
    </xf>
    <xf numFmtId="0" fontId="5" fillId="0" borderId="0" xfId="4" applyFont="1"/>
    <xf numFmtId="0" fontId="1" fillId="0" borderId="0" xfId="4"/>
    <xf numFmtId="0" fontId="2" fillId="0" borderId="0" xfId="4" applyFont="1" applyProtection="1">
      <protection locked="0"/>
    </xf>
    <xf numFmtId="0" fontId="1" fillId="0" borderId="0" xfId="4" applyAlignment="1">
      <alignment horizontal="left"/>
    </xf>
    <xf numFmtId="0" fontId="2" fillId="0" borderId="0" xfId="4" applyFont="1" applyFill="1" applyBorder="1" applyProtection="1">
      <protection locked="0"/>
    </xf>
    <xf numFmtId="14" fontId="1" fillId="0" borderId="0" xfId="4" applyNumberFormat="1" applyAlignment="1">
      <alignment horizontal="left"/>
    </xf>
    <xf numFmtId="0" fontId="2" fillId="0" borderId="0" xfId="4" applyFont="1" applyAlignment="1">
      <alignment horizontal="center"/>
    </xf>
    <xf numFmtId="0" fontId="1" fillId="0" borderId="0" xfId="4" applyAlignment="1">
      <alignment horizontal="center"/>
    </xf>
    <xf numFmtId="0" fontId="6" fillId="0" borderId="0" xfId="4" applyFont="1" applyAlignment="1">
      <alignment horizontal="center"/>
    </xf>
    <xf numFmtId="0" fontId="1" fillId="0" borderId="0" xfId="0" applyFont="1" applyBorder="1"/>
    <xf numFmtId="0" fontId="32" fillId="0" borderId="0" xfId="3" applyFont="1" applyFill="1" applyBorder="1" applyAlignment="1">
      <alignment horizontal="left" wrapText="1"/>
    </xf>
  </cellXfs>
  <cellStyles count="5">
    <cellStyle name="Normal" xfId="0" builtinId="0"/>
    <cellStyle name="Normal 2" xfId="1"/>
    <cellStyle name="Normal 3" xfId="4"/>
    <cellStyle name="Normal_Sheet1" xfId="2"/>
    <cellStyle name="Normal_Sheet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Maximum Depth of Plant Colonization</a:t>
            </a:r>
          </a:p>
        </c:rich>
      </c:tx>
      <c:layout>
        <c:manualLayout>
          <c:xMode val="edge"/>
          <c:yMode val="edge"/>
          <c:x val="0.26227678571428714"/>
          <c:y val="2.654867256637180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379464285714339"/>
          <c:y val="0.14306805267683717"/>
          <c:w val="0.88058035714285487"/>
          <c:h val="0.72271490527474169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'MAX DEPTH GRAPH'!$A$2:$A$17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</c:numCache>
            </c:numRef>
          </c:cat>
          <c:val>
            <c:numRef>
              <c:f>'MAX DEPTH GRAPH'!$B$2:$B$17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8</c:v>
                </c:pt>
                <c:pt idx="4">
                  <c:v>3</c:v>
                </c:pt>
                <c:pt idx="5">
                  <c:v>3</c:v>
                </c:pt>
                <c:pt idx="6">
                  <c:v>7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BAB-46D3-97BE-9690B1F077FB}"/>
            </c:ext>
          </c:extLst>
        </c:ser>
        <c:axId val="119073024"/>
        <c:axId val="119144832"/>
      </c:barChart>
      <c:catAx>
        <c:axId val="11907302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Depth Bin (feet)</a:t>
                </a:r>
              </a:p>
            </c:rich>
          </c:tx>
          <c:layout>
            <c:manualLayout>
              <c:xMode val="edge"/>
              <c:yMode val="edge"/>
              <c:x val="0.4609375"/>
              <c:y val="0.9306798597078026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9144832"/>
        <c:crosses val="autoZero"/>
        <c:auto val="1"/>
        <c:lblAlgn val="ctr"/>
        <c:lblOffset val="100"/>
        <c:tickLblSkip val="2"/>
        <c:tickMarkSkip val="1"/>
      </c:catAx>
      <c:valAx>
        <c:axId val="11914483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# Sites</a:t>
                </a:r>
              </a:p>
            </c:rich>
          </c:tx>
          <c:layout>
            <c:manualLayout>
              <c:xMode val="edge"/>
              <c:yMode val="edge"/>
              <c:x val="1.7857142857142856E-2"/>
              <c:y val="0.454277905527295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90730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11" r="0.7500000000000021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9525</xdr:rowOff>
    </xdr:from>
    <xdr:to>
      <xdr:col>17</xdr:col>
      <xdr:colOff>0</xdr:colOff>
      <xdr:row>40</xdr:row>
      <xdr:rowOff>152400</xdr:rowOff>
    </xdr:to>
    <xdr:graphicFrame macro="">
      <xdr:nvGraphicFramePr>
        <xdr:cNvPr id="1043" name="Chart 1">
          <a:extLst>
            <a:ext uri="{FF2B5EF4-FFF2-40B4-BE49-F238E27FC236}">
              <a16:creationId xmlns="" xmlns:a16="http://schemas.microsoft.com/office/drawing/2014/main" id="{00000000-0008-0000-0800-00001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67"/>
  <sheetViews>
    <sheetView workbookViewId="0">
      <pane xSplit="1" ySplit="1" topLeftCell="B2" activePane="bottomRight" state="frozen"/>
      <selection pane="topRight" activeCell="K1" sqref="K1"/>
      <selection pane="bottomLeft" activeCell="A2" sqref="A2"/>
      <selection pane="bottomRight" activeCell="J2" sqref="J2"/>
    </sheetView>
  </sheetViews>
  <sheetFormatPr defaultColWidth="5.7109375" defaultRowHeight="12.75"/>
  <cols>
    <col min="1" max="1" width="5" style="23" bestFit="1" customWidth="1"/>
    <col min="2" max="2" width="11" style="3" customWidth="1"/>
    <col min="3" max="3" width="13.28515625" style="3" customWidth="1"/>
    <col min="4" max="5" width="5.7109375" style="3" customWidth="1"/>
    <col min="6" max="6" width="4.42578125" style="93" customWidth="1"/>
    <col min="7" max="7" width="5" style="23" bestFit="1" customWidth="1"/>
    <col min="8" max="8" width="7" style="93" customWidth="1"/>
    <col min="9" max="9" width="5.7109375" style="3" customWidth="1"/>
    <col min="10" max="10" width="6.7109375" style="3" customWidth="1"/>
    <col min="11" max="16" width="5.7109375" style="3" customWidth="1"/>
    <col min="17" max="16384" width="5.7109375" style="3"/>
  </cols>
  <sheetData>
    <row r="1" spans="1:17" s="2" customFormat="1" ht="190.15" customHeight="1">
      <c r="A1" s="175" t="s">
        <v>485</v>
      </c>
      <c r="B1" s="176" t="s">
        <v>508</v>
      </c>
      <c r="C1" s="177" t="s">
        <v>486</v>
      </c>
      <c r="D1" s="178" t="s">
        <v>476</v>
      </c>
      <c r="E1" s="177" t="s">
        <v>487</v>
      </c>
      <c r="F1" s="174" t="s">
        <v>474</v>
      </c>
      <c r="G1" s="175" t="s">
        <v>475</v>
      </c>
      <c r="H1" s="75" t="s">
        <v>478</v>
      </c>
      <c r="I1" s="6" t="s">
        <v>477</v>
      </c>
      <c r="J1" s="16" t="s">
        <v>511</v>
      </c>
      <c r="K1" s="5" t="s">
        <v>488</v>
      </c>
      <c r="L1" s="5" t="s">
        <v>489</v>
      </c>
      <c r="M1" s="5" t="s">
        <v>509</v>
      </c>
      <c r="N1" s="5" t="s">
        <v>495</v>
      </c>
      <c r="O1" s="5" t="s">
        <v>493</v>
      </c>
      <c r="P1" s="5" t="s">
        <v>510</v>
      </c>
      <c r="Q1" s="90" t="s">
        <v>491</v>
      </c>
    </row>
    <row r="2" spans="1:17">
      <c r="A2" s="21">
        <v>1</v>
      </c>
      <c r="B2">
        <v>45.414999999999999</v>
      </c>
      <c r="C2">
        <v>-92.094319999999996</v>
      </c>
      <c r="D2" s="3">
        <v>8</v>
      </c>
      <c r="E2" s="3" t="s">
        <v>468</v>
      </c>
      <c r="F2" s="95">
        <v>1</v>
      </c>
      <c r="G2" s="21">
        <v>1</v>
      </c>
      <c r="H2" s="77">
        <v>1</v>
      </c>
      <c r="I2" s="3">
        <v>1</v>
      </c>
      <c r="J2" s="7">
        <v>0</v>
      </c>
      <c r="K2" s="23">
        <v>0</v>
      </c>
      <c r="L2" s="3">
        <v>0</v>
      </c>
      <c r="M2" s="3">
        <v>0</v>
      </c>
      <c r="N2" s="3">
        <v>0</v>
      </c>
      <c r="O2" s="3">
        <v>1</v>
      </c>
      <c r="P2" s="3">
        <v>0</v>
      </c>
      <c r="Q2" s="92">
        <v>0</v>
      </c>
    </row>
    <row r="3" spans="1:17">
      <c r="A3" s="21">
        <v>2</v>
      </c>
      <c r="B3">
        <v>45.415219999999998</v>
      </c>
      <c r="C3">
        <v>-92.094800000000006</v>
      </c>
      <c r="D3" s="3">
        <v>4</v>
      </c>
      <c r="E3" s="3" t="s">
        <v>468</v>
      </c>
      <c r="F3" s="95">
        <v>1</v>
      </c>
      <c r="G3" s="21">
        <v>1</v>
      </c>
      <c r="H3" s="77">
        <v>1</v>
      </c>
      <c r="I3" s="3">
        <v>1</v>
      </c>
      <c r="J3" s="7">
        <v>0</v>
      </c>
      <c r="K3" s="23">
        <v>1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92">
        <v>2</v>
      </c>
    </row>
    <row r="4" spans="1:17">
      <c r="A4" s="21">
        <v>3</v>
      </c>
      <c r="B4">
        <v>45.415219999999998</v>
      </c>
      <c r="C4">
        <v>-92.094480000000004</v>
      </c>
      <c r="D4" s="3">
        <v>11</v>
      </c>
      <c r="E4" s="3" t="s">
        <v>469</v>
      </c>
      <c r="F4" s="95">
        <v>1</v>
      </c>
      <c r="G4" s="21">
        <v>0</v>
      </c>
      <c r="H4" s="77">
        <v>0</v>
      </c>
      <c r="I4" s="3">
        <v>0</v>
      </c>
      <c r="J4" s="7">
        <v>0</v>
      </c>
      <c r="K4" s="2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92">
        <v>0</v>
      </c>
    </row>
    <row r="5" spans="1:17">
      <c r="A5" s="21">
        <v>4</v>
      </c>
      <c r="B5">
        <v>45.415230000000001</v>
      </c>
      <c r="C5">
        <v>-92.094170000000005</v>
      </c>
      <c r="D5" s="3">
        <v>12.5</v>
      </c>
      <c r="E5" s="3" t="s">
        <v>469</v>
      </c>
      <c r="F5" s="95">
        <v>1</v>
      </c>
      <c r="G5" s="21">
        <v>0</v>
      </c>
      <c r="H5" s="77">
        <v>0</v>
      </c>
      <c r="I5" s="3">
        <v>0</v>
      </c>
      <c r="J5" s="7">
        <v>0</v>
      </c>
      <c r="K5" s="2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92">
        <v>1</v>
      </c>
    </row>
    <row r="6" spans="1:17">
      <c r="A6" s="21">
        <v>5</v>
      </c>
      <c r="B6">
        <v>45.415439999999997</v>
      </c>
      <c r="C6">
        <v>-92.094970000000004</v>
      </c>
      <c r="D6" s="3">
        <v>7</v>
      </c>
      <c r="E6" s="3" t="s">
        <v>468</v>
      </c>
      <c r="F6" s="95">
        <v>1</v>
      </c>
      <c r="G6" s="21">
        <v>0</v>
      </c>
      <c r="H6" s="77">
        <v>0</v>
      </c>
      <c r="I6" s="3">
        <v>0</v>
      </c>
      <c r="J6" s="7">
        <v>0</v>
      </c>
      <c r="K6" s="2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92">
        <v>2</v>
      </c>
    </row>
    <row r="7" spans="1:17">
      <c r="A7" s="21">
        <v>6</v>
      </c>
      <c r="B7">
        <v>45.415439999999997</v>
      </c>
      <c r="C7">
        <v>-92.094650000000001</v>
      </c>
      <c r="D7" s="3">
        <v>12.5</v>
      </c>
      <c r="E7" s="3" t="s">
        <v>468</v>
      </c>
      <c r="F7" s="95">
        <v>1</v>
      </c>
      <c r="G7" s="21">
        <v>0</v>
      </c>
      <c r="H7" s="77">
        <v>0</v>
      </c>
      <c r="I7" s="3">
        <v>0</v>
      </c>
      <c r="J7" s="7">
        <v>0</v>
      </c>
      <c r="K7" s="2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92">
        <v>0</v>
      </c>
    </row>
    <row r="8" spans="1:17">
      <c r="A8" s="21">
        <v>7</v>
      </c>
      <c r="B8">
        <v>45.415660000000003</v>
      </c>
      <c r="C8">
        <v>-92.095140000000001</v>
      </c>
      <c r="D8" s="3">
        <v>6</v>
      </c>
      <c r="E8" s="3" t="s">
        <v>468</v>
      </c>
      <c r="F8" s="95">
        <v>1</v>
      </c>
      <c r="G8" s="21">
        <v>0</v>
      </c>
      <c r="H8" s="77">
        <v>0</v>
      </c>
      <c r="I8" s="3">
        <v>0</v>
      </c>
      <c r="J8" s="7">
        <v>0</v>
      </c>
      <c r="K8" s="2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92">
        <v>2</v>
      </c>
    </row>
    <row r="9" spans="1:17">
      <c r="A9" s="21">
        <v>8</v>
      </c>
      <c r="B9">
        <v>45.415669999999999</v>
      </c>
      <c r="C9">
        <v>-92.094819999999999</v>
      </c>
      <c r="D9" s="3">
        <v>12.5</v>
      </c>
      <c r="E9" s="3" t="s">
        <v>468</v>
      </c>
      <c r="F9" s="95">
        <v>1</v>
      </c>
      <c r="G9" s="21">
        <v>0</v>
      </c>
      <c r="H9" s="77">
        <v>0</v>
      </c>
      <c r="I9" s="3">
        <v>0</v>
      </c>
      <c r="J9" s="7">
        <v>0</v>
      </c>
      <c r="K9" s="2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92">
        <v>1</v>
      </c>
    </row>
    <row r="10" spans="1:17">
      <c r="A10" s="21">
        <v>9</v>
      </c>
      <c r="B10">
        <v>45.415880000000001</v>
      </c>
      <c r="C10">
        <v>-92.095309999999998</v>
      </c>
      <c r="D10" s="3">
        <v>7</v>
      </c>
      <c r="E10" s="3" t="s">
        <v>468</v>
      </c>
      <c r="F10" s="95">
        <v>1</v>
      </c>
      <c r="G10" s="21">
        <v>0</v>
      </c>
      <c r="H10" s="77">
        <v>0</v>
      </c>
      <c r="I10" s="3">
        <v>0</v>
      </c>
      <c r="J10" s="7">
        <v>0</v>
      </c>
      <c r="K10" s="2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92">
        <v>1</v>
      </c>
    </row>
    <row r="11" spans="1:17">
      <c r="A11" s="21">
        <v>10</v>
      </c>
      <c r="B11">
        <v>45.415889999999997</v>
      </c>
      <c r="C11">
        <v>-92.094989999999996</v>
      </c>
      <c r="D11" s="3">
        <v>12</v>
      </c>
      <c r="E11" s="3" t="s">
        <v>468</v>
      </c>
      <c r="F11" s="95">
        <v>1</v>
      </c>
      <c r="G11" s="21">
        <v>0</v>
      </c>
      <c r="H11" s="77">
        <v>0</v>
      </c>
      <c r="I11" s="3">
        <v>0</v>
      </c>
      <c r="J11" s="7">
        <v>0</v>
      </c>
      <c r="K11" s="2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92">
        <v>0</v>
      </c>
    </row>
    <row r="12" spans="1:17">
      <c r="A12" s="21">
        <v>11</v>
      </c>
      <c r="B12">
        <v>45.416089999999997</v>
      </c>
      <c r="C12">
        <v>-92.096109999999996</v>
      </c>
      <c r="D12" s="3">
        <v>2.5</v>
      </c>
      <c r="E12" s="3" t="s">
        <v>468</v>
      </c>
      <c r="F12" s="95">
        <v>1</v>
      </c>
      <c r="G12" s="21">
        <v>1</v>
      </c>
      <c r="H12" s="77">
        <v>1</v>
      </c>
      <c r="I12" s="3">
        <v>2</v>
      </c>
      <c r="J12" s="7">
        <v>0</v>
      </c>
      <c r="K12" s="23">
        <v>0</v>
      </c>
      <c r="L12" s="3">
        <v>0</v>
      </c>
      <c r="M12" s="3">
        <v>2</v>
      </c>
      <c r="N12" s="3">
        <v>0</v>
      </c>
      <c r="O12" s="3">
        <v>0</v>
      </c>
      <c r="P12" s="3">
        <v>0</v>
      </c>
      <c r="Q12" s="92">
        <v>2</v>
      </c>
    </row>
    <row r="13" spans="1:17">
      <c r="A13" s="21">
        <v>12</v>
      </c>
      <c r="B13">
        <v>45.4161</v>
      </c>
      <c r="C13">
        <v>-92.095789999999994</v>
      </c>
      <c r="D13" s="3">
        <v>4</v>
      </c>
      <c r="E13" s="3" t="s">
        <v>468</v>
      </c>
      <c r="F13" s="95">
        <v>1</v>
      </c>
      <c r="G13" s="21">
        <v>1</v>
      </c>
      <c r="H13" s="77">
        <v>2</v>
      </c>
      <c r="I13" s="3">
        <v>1</v>
      </c>
      <c r="J13" s="7">
        <v>0</v>
      </c>
      <c r="K13" s="23">
        <v>0</v>
      </c>
      <c r="L13" s="3">
        <v>0</v>
      </c>
      <c r="M13" s="3">
        <v>0</v>
      </c>
      <c r="N13" s="3">
        <v>1</v>
      </c>
      <c r="O13" s="3">
        <v>0</v>
      </c>
      <c r="P13" s="3">
        <v>1</v>
      </c>
      <c r="Q13" s="92">
        <v>2</v>
      </c>
    </row>
    <row r="14" spans="1:17">
      <c r="A14" s="21">
        <v>13</v>
      </c>
      <c r="B14">
        <v>45.4161</v>
      </c>
      <c r="C14">
        <v>-92.095479999999995</v>
      </c>
      <c r="D14" s="3">
        <v>7</v>
      </c>
      <c r="E14" s="3" t="s">
        <v>468</v>
      </c>
      <c r="F14" s="95">
        <v>1</v>
      </c>
      <c r="G14" s="21">
        <v>1</v>
      </c>
      <c r="H14" s="77">
        <v>0</v>
      </c>
      <c r="I14" s="3">
        <v>1</v>
      </c>
      <c r="J14" s="7">
        <v>1</v>
      </c>
      <c r="K14" s="2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92">
        <v>2</v>
      </c>
    </row>
    <row r="15" spans="1:17">
      <c r="A15" s="21">
        <v>14</v>
      </c>
      <c r="B15">
        <v>45.416110000000003</v>
      </c>
      <c r="C15">
        <v>-92.095160000000007</v>
      </c>
      <c r="D15" s="3">
        <v>12</v>
      </c>
      <c r="E15" s="3" t="s">
        <v>469</v>
      </c>
      <c r="F15" s="95">
        <v>1</v>
      </c>
      <c r="G15" s="21">
        <v>0</v>
      </c>
      <c r="H15" s="77">
        <v>0</v>
      </c>
      <c r="I15" s="3">
        <v>0</v>
      </c>
      <c r="J15" s="7">
        <v>0</v>
      </c>
      <c r="K15" s="2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92">
        <v>1</v>
      </c>
    </row>
    <row r="16" spans="1:17">
      <c r="A16" s="21">
        <v>15</v>
      </c>
      <c r="B16">
        <v>45.416119999999999</v>
      </c>
      <c r="C16">
        <v>-92.094840000000005</v>
      </c>
      <c r="D16" s="3">
        <v>13</v>
      </c>
      <c r="E16" s="3" t="s">
        <v>468</v>
      </c>
      <c r="F16" s="95">
        <v>1</v>
      </c>
      <c r="G16" s="21">
        <v>0</v>
      </c>
      <c r="H16" s="77">
        <v>0</v>
      </c>
      <c r="I16" s="3">
        <v>0</v>
      </c>
      <c r="J16" s="7">
        <v>0</v>
      </c>
      <c r="K16" s="2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92">
        <v>1</v>
      </c>
    </row>
    <row r="17" spans="1:17">
      <c r="A17" s="21">
        <v>16</v>
      </c>
      <c r="B17">
        <v>45.416310000000003</v>
      </c>
      <c r="C17">
        <v>-92.096279999999993</v>
      </c>
      <c r="D17" s="3">
        <v>2.5</v>
      </c>
      <c r="E17" s="3" t="s">
        <v>468</v>
      </c>
      <c r="F17" s="95">
        <v>1</v>
      </c>
      <c r="G17" s="21">
        <v>1</v>
      </c>
      <c r="H17" s="77">
        <v>1</v>
      </c>
      <c r="I17" s="3">
        <v>2</v>
      </c>
      <c r="J17" s="7">
        <v>0</v>
      </c>
      <c r="K17" s="23">
        <v>0</v>
      </c>
      <c r="L17" s="3">
        <v>2</v>
      </c>
      <c r="M17" s="3">
        <v>0</v>
      </c>
      <c r="N17" s="3">
        <v>0</v>
      </c>
      <c r="O17" s="3">
        <v>0</v>
      </c>
      <c r="P17" s="3">
        <v>0</v>
      </c>
      <c r="Q17" s="92">
        <v>2</v>
      </c>
    </row>
    <row r="18" spans="1:17">
      <c r="A18" s="21">
        <v>17</v>
      </c>
      <c r="B18">
        <v>45.416319999999999</v>
      </c>
      <c r="C18">
        <v>-92.095960000000005</v>
      </c>
      <c r="D18" s="3">
        <v>3.5</v>
      </c>
      <c r="E18" s="3" t="s">
        <v>468</v>
      </c>
      <c r="F18" s="95">
        <v>1</v>
      </c>
      <c r="G18" s="21">
        <v>1</v>
      </c>
      <c r="H18" s="77">
        <v>2</v>
      </c>
      <c r="I18" s="3">
        <v>1</v>
      </c>
      <c r="J18" s="7">
        <v>0</v>
      </c>
      <c r="K18" s="23">
        <v>1</v>
      </c>
      <c r="L18" s="3">
        <v>0</v>
      </c>
      <c r="M18" s="3">
        <v>0</v>
      </c>
      <c r="N18" s="3">
        <v>0</v>
      </c>
      <c r="O18" s="3">
        <v>0</v>
      </c>
      <c r="P18" s="3">
        <v>1</v>
      </c>
      <c r="Q18" s="92">
        <v>3</v>
      </c>
    </row>
    <row r="19" spans="1:17">
      <c r="A19" s="21">
        <v>18</v>
      </c>
      <c r="B19">
        <v>45.416330000000002</v>
      </c>
      <c r="C19">
        <v>-92.095640000000003</v>
      </c>
      <c r="D19" s="3">
        <v>5</v>
      </c>
      <c r="E19" s="3" t="s">
        <v>468</v>
      </c>
      <c r="F19" s="95">
        <v>1</v>
      </c>
      <c r="G19" s="21">
        <v>0</v>
      </c>
      <c r="H19" s="77">
        <v>0</v>
      </c>
      <c r="I19" s="3">
        <v>0</v>
      </c>
      <c r="J19" s="7">
        <v>0</v>
      </c>
      <c r="K19" s="2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92">
        <v>2</v>
      </c>
    </row>
    <row r="20" spans="1:17">
      <c r="A20" s="21">
        <v>19</v>
      </c>
      <c r="B20">
        <v>45.416330000000002</v>
      </c>
      <c r="C20">
        <v>-92.095320000000001</v>
      </c>
      <c r="D20" s="3">
        <v>8</v>
      </c>
      <c r="E20" s="3" t="s">
        <v>470</v>
      </c>
      <c r="F20" s="95">
        <v>1</v>
      </c>
      <c r="G20" s="21">
        <v>1</v>
      </c>
      <c r="H20" s="77">
        <v>1</v>
      </c>
      <c r="I20" s="3">
        <v>1</v>
      </c>
      <c r="J20" s="7">
        <v>0</v>
      </c>
      <c r="K20" s="23">
        <v>1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92">
        <v>1</v>
      </c>
    </row>
    <row r="21" spans="1:17">
      <c r="A21" s="21">
        <v>20</v>
      </c>
      <c r="B21">
        <v>45.416339999999998</v>
      </c>
      <c r="C21">
        <v>-92.094999999999999</v>
      </c>
      <c r="D21" s="3">
        <v>13.5</v>
      </c>
      <c r="E21" s="3" t="s">
        <v>468</v>
      </c>
      <c r="F21" s="95">
        <v>1</v>
      </c>
      <c r="G21" s="21">
        <v>1</v>
      </c>
      <c r="H21" s="77">
        <v>0</v>
      </c>
      <c r="I21" s="3">
        <v>1</v>
      </c>
      <c r="J21" s="7">
        <v>1</v>
      </c>
      <c r="K21" s="2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92">
        <v>0</v>
      </c>
    </row>
    <row r="22" spans="1:17">
      <c r="A22" s="21">
        <v>21</v>
      </c>
      <c r="B22">
        <v>45.416530000000002</v>
      </c>
      <c r="C22">
        <v>-92.096770000000006</v>
      </c>
      <c r="D22" s="3">
        <v>2.5</v>
      </c>
      <c r="E22" s="3" t="s">
        <v>468</v>
      </c>
      <c r="F22" s="95">
        <v>1</v>
      </c>
      <c r="G22" s="21">
        <v>1</v>
      </c>
      <c r="H22" s="77">
        <v>1</v>
      </c>
      <c r="I22" s="3">
        <v>2</v>
      </c>
      <c r="J22" s="7">
        <v>0</v>
      </c>
      <c r="K22" s="23">
        <v>0</v>
      </c>
      <c r="L22" s="3">
        <v>2</v>
      </c>
      <c r="M22" s="3">
        <v>0</v>
      </c>
      <c r="N22" s="3">
        <v>0</v>
      </c>
      <c r="O22" s="3">
        <v>0</v>
      </c>
      <c r="P22" s="3">
        <v>0</v>
      </c>
      <c r="Q22" s="92">
        <v>2</v>
      </c>
    </row>
    <row r="23" spans="1:17">
      <c r="A23" s="21">
        <v>22</v>
      </c>
      <c r="B23">
        <v>45.416539999999998</v>
      </c>
      <c r="C23">
        <v>-92.096450000000004</v>
      </c>
      <c r="D23" s="3">
        <v>3</v>
      </c>
      <c r="E23" s="3" t="s">
        <v>468</v>
      </c>
      <c r="F23" s="95">
        <v>1</v>
      </c>
      <c r="G23" s="21">
        <v>1</v>
      </c>
      <c r="H23" s="77">
        <v>1</v>
      </c>
      <c r="I23" s="3">
        <v>3</v>
      </c>
      <c r="J23" s="7">
        <v>0</v>
      </c>
      <c r="K23" s="23">
        <v>0</v>
      </c>
      <c r="L23" s="3">
        <v>3</v>
      </c>
      <c r="M23" s="3">
        <v>0</v>
      </c>
      <c r="N23" s="3">
        <v>0</v>
      </c>
      <c r="O23" s="3">
        <v>0</v>
      </c>
      <c r="P23" s="3">
        <v>0</v>
      </c>
      <c r="Q23" s="92">
        <v>2</v>
      </c>
    </row>
    <row r="24" spans="1:17">
      <c r="A24" s="21">
        <v>23</v>
      </c>
      <c r="B24">
        <v>45.416539999999998</v>
      </c>
      <c r="C24">
        <v>-92.096130000000002</v>
      </c>
      <c r="D24" s="3">
        <v>4.5</v>
      </c>
      <c r="E24" s="3" t="s">
        <v>468</v>
      </c>
      <c r="F24" s="95">
        <v>1</v>
      </c>
      <c r="G24" s="21">
        <v>0</v>
      </c>
      <c r="H24" s="77">
        <v>0</v>
      </c>
      <c r="I24" s="3">
        <v>0</v>
      </c>
      <c r="J24" s="7">
        <v>0</v>
      </c>
      <c r="K24" s="2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92">
        <v>3</v>
      </c>
    </row>
    <row r="25" spans="1:17">
      <c r="A25" s="21">
        <v>24</v>
      </c>
      <c r="B25">
        <v>45.416550000000001</v>
      </c>
      <c r="C25">
        <v>-92.09581</v>
      </c>
      <c r="D25" s="3">
        <v>7</v>
      </c>
      <c r="E25" s="3" t="s">
        <v>468</v>
      </c>
      <c r="F25" s="95">
        <v>1</v>
      </c>
      <c r="G25" s="21">
        <v>0</v>
      </c>
      <c r="H25" s="77">
        <v>0</v>
      </c>
      <c r="I25" s="3">
        <v>0</v>
      </c>
      <c r="J25" s="7">
        <v>0</v>
      </c>
      <c r="K25" s="2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92">
        <v>2</v>
      </c>
    </row>
    <row r="26" spans="1:17">
      <c r="A26" s="21">
        <v>25</v>
      </c>
      <c r="B26">
        <v>45.416550000000001</v>
      </c>
      <c r="C26">
        <v>-92.095489999999998</v>
      </c>
      <c r="D26" s="3">
        <v>11</v>
      </c>
      <c r="E26" s="3" t="s">
        <v>468</v>
      </c>
      <c r="F26" s="95">
        <v>1</v>
      </c>
      <c r="G26" s="21">
        <v>0</v>
      </c>
      <c r="H26" s="77">
        <v>0</v>
      </c>
      <c r="I26" s="3">
        <v>0</v>
      </c>
      <c r="J26" s="7">
        <v>0</v>
      </c>
      <c r="K26" s="2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92">
        <v>1</v>
      </c>
    </row>
    <row r="27" spans="1:17">
      <c r="A27" s="21">
        <v>26</v>
      </c>
      <c r="B27">
        <v>45.416559999999997</v>
      </c>
      <c r="C27">
        <v>-92.095169999999996</v>
      </c>
      <c r="D27" s="3">
        <v>13</v>
      </c>
      <c r="E27" s="3" t="s">
        <v>468</v>
      </c>
      <c r="F27" s="95">
        <v>1</v>
      </c>
      <c r="G27" s="21">
        <v>0</v>
      </c>
      <c r="H27" s="77">
        <v>0</v>
      </c>
      <c r="I27" s="3">
        <v>0</v>
      </c>
      <c r="J27" s="7">
        <v>0</v>
      </c>
      <c r="K27" s="2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92">
        <v>0</v>
      </c>
    </row>
    <row r="28" spans="1:17">
      <c r="A28" s="21">
        <v>27</v>
      </c>
      <c r="B28">
        <v>45.416759999999996</v>
      </c>
      <c r="C28">
        <v>-92.096620000000001</v>
      </c>
      <c r="D28" s="3">
        <v>3</v>
      </c>
      <c r="E28" s="3" t="s">
        <v>468</v>
      </c>
      <c r="F28" s="95">
        <v>1</v>
      </c>
      <c r="G28" s="21">
        <v>1</v>
      </c>
      <c r="H28" s="77">
        <v>3</v>
      </c>
      <c r="I28" s="3">
        <v>2</v>
      </c>
      <c r="J28" s="7">
        <v>0</v>
      </c>
      <c r="K28" s="23">
        <v>1</v>
      </c>
      <c r="L28" s="3">
        <v>0</v>
      </c>
      <c r="M28" s="3">
        <v>1</v>
      </c>
      <c r="N28" s="3">
        <v>1</v>
      </c>
      <c r="O28" s="3">
        <v>0</v>
      </c>
      <c r="P28" s="3">
        <v>0</v>
      </c>
      <c r="Q28" s="92">
        <v>2</v>
      </c>
    </row>
    <row r="29" spans="1:17">
      <c r="A29" s="21">
        <v>28</v>
      </c>
      <c r="B29">
        <v>45.416759999999996</v>
      </c>
      <c r="C29">
        <v>-92.096299999999999</v>
      </c>
      <c r="D29" s="3">
        <v>5</v>
      </c>
      <c r="E29" s="3" t="s">
        <v>468</v>
      </c>
      <c r="F29" s="95">
        <v>1</v>
      </c>
      <c r="G29" s="21">
        <v>0</v>
      </c>
      <c r="H29" s="77">
        <v>0</v>
      </c>
      <c r="I29" s="3">
        <v>0</v>
      </c>
      <c r="J29" s="7">
        <v>0</v>
      </c>
      <c r="K29" s="2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92">
        <v>2</v>
      </c>
    </row>
    <row r="30" spans="1:17">
      <c r="A30" s="21">
        <v>29</v>
      </c>
      <c r="B30">
        <v>45.41677</v>
      </c>
      <c r="C30">
        <v>-92.095979999999997</v>
      </c>
      <c r="D30" s="3">
        <v>8</v>
      </c>
      <c r="E30" s="3" t="s">
        <v>468</v>
      </c>
      <c r="F30" s="95">
        <v>1</v>
      </c>
      <c r="G30" s="21">
        <v>0</v>
      </c>
      <c r="H30" s="77">
        <v>0</v>
      </c>
      <c r="I30" s="3">
        <v>0</v>
      </c>
      <c r="J30" s="7">
        <v>0</v>
      </c>
      <c r="K30" s="2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92">
        <v>1</v>
      </c>
    </row>
    <row r="31" spans="1:17">
      <c r="A31" s="21">
        <v>30</v>
      </c>
      <c r="B31">
        <v>45.416780000000003</v>
      </c>
      <c r="C31">
        <v>-92.095659999999995</v>
      </c>
      <c r="D31" s="3">
        <v>10.5</v>
      </c>
      <c r="E31" s="3" t="s">
        <v>468</v>
      </c>
      <c r="F31" s="95">
        <v>1</v>
      </c>
      <c r="G31" s="21">
        <v>0</v>
      </c>
      <c r="H31" s="77">
        <v>0</v>
      </c>
      <c r="I31" s="3">
        <v>0</v>
      </c>
      <c r="J31" s="7">
        <v>0</v>
      </c>
      <c r="K31" s="2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92">
        <v>1</v>
      </c>
    </row>
    <row r="32" spans="1:17">
      <c r="A32" s="21">
        <v>31</v>
      </c>
      <c r="B32">
        <v>45.416780000000003</v>
      </c>
      <c r="C32">
        <v>-92.095339999999993</v>
      </c>
      <c r="D32" s="3">
        <v>12</v>
      </c>
      <c r="E32" s="3" t="s">
        <v>468</v>
      </c>
      <c r="F32" s="95">
        <v>1</v>
      </c>
      <c r="G32" s="21">
        <v>1</v>
      </c>
      <c r="H32" s="77">
        <v>1</v>
      </c>
      <c r="I32" s="3">
        <v>1</v>
      </c>
      <c r="J32" s="7">
        <v>0</v>
      </c>
      <c r="K32" s="23">
        <v>0</v>
      </c>
      <c r="L32" s="3">
        <v>0</v>
      </c>
      <c r="M32" s="3">
        <v>0</v>
      </c>
      <c r="N32" s="3">
        <v>1</v>
      </c>
      <c r="O32" s="3">
        <v>0</v>
      </c>
      <c r="P32" s="3">
        <v>0</v>
      </c>
      <c r="Q32" s="92">
        <v>0</v>
      </c>
    </row>
    <row r="33" spans="1:17">
      <c r="A33" s="21">
        <v>32</v>
      </c>
      <c r="B33">
        <v>45.416789999999999</v>
      </c>
      <c r="C33">
        <v>-92.095020000000005</v>
      </c>
      <c r="D33" s="3">
        <v>14</v>
      </c>
      <c r="E33" s="3" t="s">
        <v>468</v>
      </c>
      <c r="F33" s="95">
        <v>0</v>
      </c>
      <c r="G33" s="21">
        <v>0</v>
      </c>
      <c r="H33" s="77">
        <v>0</v>
      </c>
      <c r="I33" s="3">
        <v>0</v>
      </c>
      <c r="J33" s="7">
        <v>0</v>
      </c>
      <c r="K33" s="2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92">
        <v>0</v>
      </c>
    </row>
    <row r="34" spans="1:17">
      <c r="A34" s="21">
        <v>33</v>
      </c>
      <c r="B34">
        <v>45.416980000000002</v>
      </c>
      <c r="C34">
        <v>-92.096789999999999</v>
      </c>
      <c r="D34" s="3">
        <v>3.5</v>
      </c>
      <c r="E34" s="3" t="s">
        <v>468</v>
      </c>
      <c r="F34" s="95">
        <v>1</v>
      </c>
      <c r="G34" s="21">
        <v>1</v>
      </c>
      <c r="H34" s="77">
        <v>1</v>
      </c>
      <c r="I34" s="3">
        <v>2</v>
      </c>
      <c r="J34" s="7">
        <v>0</v>
      </c>
      <c r="K34" s="23">
        <v>2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92">
        <v>1</v>
      </c>
    </row>
    <row r="35" spans="1:17">
      <c r="A35" s="21">
        <v>34</v>
      </c>
      <c r="B35">
        <v>45.416989999999998</v>
      </c>
      <c r="C35">
        <v>-92.096469999999997</v>
      </c>
      <c r="D35" s="3">
        <v>6.5</v>
      </c>
      <c r="E35" s="3" t="s">
        <v>468</v>
      </c>
      <c r="F35" s="95">
        <v>1</v>
      </c>
      <c r="G35" s="21">
        <v>1</v>
      </c>
      <c r="H35" s="77">
        <v>2</v>
      </c>
      <c r="I35" s="3">
        <v>1</v>
      </c>
      <c r="J35" s="7">
        <v>0</v>
      </c>
      <c r="K35" s="23">
        <v>1</v>
      </c>
      <c r="L35" s="3">
        <v>0</v>
      </c>
      <c r="M35" s="3">
        <v>0</v>
      </c>
      <c r="N35" s="3">
        <v>0</v>
      </c>
      <c r="O35" s="3">
        <v>1</v>
      </c>
      <c r="P35" s="3">
        <v>0</v>
      </c>
      <c r="Q35" s="92">
        <v>1</v>
      </c>
    </row>
    <row r="36" spans="1:17">
      <c r="A36" s="21">
        <v>35</v>
      </c>
      <c r="B36">
        <v>45.416989999999998</v>
      </c>
      <c r="C36">
        <v>-92.096149999999994</v>
      </c>
      <c r="D36" s="3">
        <v>8</v>
      </c>
      <c r="E36" s="3" t="s">
        <v>468</v>
      </c>
      <c r="F36" s="95">
        <v>1</v>
      </c>
      <c r="G36" s="21">
        <v>1</v>
      </c>
      <c r="H36" s="77">
        <v>0</v>
      </c>
      <c r="I36" s="3">
        <v>1</v>
      </c>
      <c r="J36" s="7">
        <v>1</v>
      </c>
      <c r="K36" s="2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92">
        <v>1</v>
      </c>
    </row>
    <row r="37" spans="1:17">
      <c r="A37" s="21">
        <v>36</v>
      </c>
      <c r="B37">
        <v>45.417000000000002</v>
      </c>
      <c r="C37">
        <v>-92.095830000000007</v>
      </c>
      <c r="D37" s="3">
        <v>10.5</v>
      </c>
      <c r="E37" s="3" t="s">
        <v>468</v>
      </c>
      <c r="F37" s="95">
        <v>1</v>
      </c>
      <c r="G37" s="21">
        <v>0</v>
      </c>
      <c r="H37" s="77">
        <v>0</v>
      </c>
      <c r="I37" s="3">
        <v>0</v>
      </c>
      <c r="J37" s="7">
        <v>0</v>
      </c>
      <c r="K37" s="2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92">
        <v>1</v>
      </c>
    </row>
    <row r="38" spans="1:17">
      <c r="A38" s="21">
        <v>37</v>
      </c>
      <c r="B38">
        <v>45.417000000000002</v>
      </c>
      <c r="C38">
        <v>-92.095510000000004</v>
      </c>
      <c r="D38" s="3">
        <v>11.5</v>
      </c>
      <c r="E38" s="3" t="s">
        <v>468</v>
      </c>
      <c r="F38" s="95">
        <v>1</v>
      </c>
      <c r="G38" s="21">
        <v>0</v>
      </c>
      <c r="H38" s="77">
        <v>0</v>
      </c>
      <c r="I38" s="3">
        <v>0</v>
      </c>
      <c r="J38" s="7">
        <v>0</v>
      </c>
      <c r="K38" s="2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92">
        <v>1</v>
      </c>
    </row>
    <row r="39" spans="1:17">
      <c r="A39" s="21">
        <v>38</v>
      </c>
      <c r="B39">
        <v>45.417009999999998</v>
      </c>
      <c r="C39">
        <v>-92.095190000000002</v>
      </c>
      <c r="D39" s="3">
        <v>13</v>
      </c>
      <c r="E39" s="3" t="s">
        <v>468</v>
      </c>
      <c r="F39" s="95">
        <v>1</v>
      </c>
      <c r="G39" s="21">
        <v>0</v>
      </c>
      <c r="H39" s="77">
        <v>0</v>
      </c>
      <c r="I39" s="3">
        <v>0</v>
      </c>
      <c r="J39" s="7">
        <v>0</v>
      </c>
      <c r="K39" s="2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92">
        <v>1</v>
      </c>
    </row>
    <row r="40" spans="1:17">
      <c r="A40" s="21">
        <v>39</v>
      </c>
      <c r="B40">
        <v>45.417020000000001</v>
      </c>
      <c r="C40">
        <v>-92.09487</v>
      </c>
      <c r="D40" s="3">
        <v>14</v>
      </c>
      <c r="E40" s="3" t="s">
        <v>468</v>
      </c>
      <c r="F40" s="95">
        <v>0</v>
      </c>
      <c r="G40" s="21">
        <v>0</v>
      </c>
      <c r="H40" s="77">
        <v>0</v>
      </c>
      <c r="I40" s="3">
        <v>0</v>
      </c>
      <c r="J40" s="7">
        <v>0</v>
      </c>
      <c r="K40" s="2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92">
        <v>0</v>
      </c>
    </row>
    <row r="41" spans="1:17">
      <c r="A41" s="21">
        <v>40</v>
      </c>
      <c r="B41">
        <v>45.417209999999997</v>
      </c>
      <c r="C41">
        <v>-92.096630000000005</v>
      </c>
      <c r="D41" s="3">
        <v>5.5</v>
      </c>
      <c r="E41" s="3" t="s">
        <v>468</v>
      </c>
      <c r="F41" s="95">
        <v>1</v>
      </c>
      <c r="G41" s="21">
        <v>1</v>
      </c>
      <c r="H41" s="77">
        <v>0</v>
      </c>
      <c r="I41" s="3">
        <v>1</v>
      </c>
      <c r="J41" s="7">
        <v>1</v>
      </c>
      <c r="K41" s="2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92">
        <v>1</v>
      </c>
    </row>
    <row r="42" spans="1:17">
      <c r="A42" s="21">
        <v>41</v>
      </c>
      <c r="B42">
        <v>45.417209999999997</v>
      </c>
      <c r="C42">
        <v>-92.096320000000006</v>
      </c>
      <c r="D42" s="3">
        <v>8</v>
      </c>
      <c r="E42" s="3" t="s">
        <v>468</v>
      </c>
      <c r="F42" s="95">
        <v>1</v>
      </c>
      <c r="G42" s="21">
        <v>0</v>
      </c>
      <c r="H42" s="77">
        <v>0</v>
      </c>
      <c r="I42" s="3">
        <v>0</v>
      </c>
      <c r="J42" s="7">
        <v>0</v>
      </c>
      <c r="K42" s="2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92">
        <v>1</v>
      </c>
    </row>
    <row r="43" spans="1:17">
      <c r="A43" s="21">
        <v>42</v>
      </c>
      <c r="B43">
        <v>45.41722</v>
      </c>
      <c r="C43">
        <v>-92.096000000000004</v>
      </c>
      <c r="D43" s="3">
        <v>10</v>
      </c>
      <c r="E43" s="3" t="s">
        <v>468</v>
      </c>
      <c r="F43" s="95">
        <v>1</v>
      </c>
      <c r="G43" s="21">
        <v>0</v>
      </c>
      <c r="H43" s="77">
        <v>0</v>
      </c>
      <c r="I43" s="3">
        <v>0</v>
      </c>
      <c r="J43" s="7">
        <v>0</v>
      </c>
      <c r="K43" s="2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92">
        <v>1</v>
      </c>
    </row>
    <row r="44" spans="1:17">
      <c r="A44" s="21">
        <v>43</v>
      </c>
      <c r="B44">
        <v>45.417230000000004</v>
      </c>
      <c r="C44">
        <v>-92.095680000000002</v>
      </c>
      <c r="D44" s="3">
        <v>10.5</v>
      </c>
      <c r="E44" s="3" t="s">
        <v>468</v>
      </c>
      <c r="F44" s="95">
        <v>1</v>
      </c>
      <c r="G44" s="21">
        <v>0</v>
      </c>
      <c r="H44" s="77">
        <v>0</v>
      </c>
      <c r="I44" s="3">
        <v>0</v>
      </c>
      <c r="J44" s="7">
        <v>0</v>
      </c>
      <c r="K44" s="2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92">
        <v>1</v>
      </c>
    </row>
    <row r="45" spans="1:17">
      <c r="A45" s="21">
        <v>44</v>
      </c>
      <c r="B45">
        <v>45.417230000000004</v>
      </c>
      <c r="C45">
        <v>-92.095359999999999</v>
      </c>
      <c r="D45" s="3">
        <v>11</v>
      </c>
      <c r="E45" s="3" t="s">
        <v>468</v>
      </c>
      <c r="F45" s="95">
        <v>1</v>
      </c>
      <c r="G45" s="21">
        <v>0</v>
      </c>
      <c r="H45" s="77">
        <v>0</v>
      </c>
      <c r="I45" s="3">
        <v>0</v>
      </c>
      <c r="J45" s="7">
        <v>0</v>
      </c>
      <c r="K45" s="2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92">
        <v>1</v>
      </c>
    </row>
    <row r="46" spans="1:17">
      <c r="A46" s="21">
        <v>45</v>
      </c>
      <c r="B46">
        <v>45.41724</v>
      </c>
      <c r="C46">
        <v>-92.095039999999997</v>
      </c>
      <c r="D46" s="3">
        <v>11</v>
      </c>
      <c r="E46" s="3" t="s">
        <v>468</v>
      </c>
      <c r="F46" s="95">
        <v>1</v>
      </c>
      <c r="G46" s="21">
        <v>0</v>
      </c>
      <c r="H46" s="77">
        <v>0</v>
      </c>
      <c r="I46" s="3">
        <v>0</v>
      </c>
      <c r="J46" s="7">
        <v>0</v>
      </c>
      <c r="K46" s="2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92">
        <v>1</v>
      </c>
    </row>
    <row r="47" spans="1:17">
      <c r="A47" s="21">
        <v>46</v>
      </c>
      <c r="B47">
        <v>45.41742</v>
      </c>
      <c r="C47">
        <v>-92.097120000000004</v>
      </c>
      <c r="D47" s="3">
        <v>3.5</v>
      </c>
      <c r="E47" s="3" t="s">
        <v>468</v>
      </c>
      <c r="F47" s="95">
        <v>1</v>
      </c>
      <c r="G47" s="21">
        <v>1</v>
      </c>
      <c r="H47" s="77">
        <v>2</v>
      </c>
      <c r="I47" s="3">
        <v>1</v>
      </c>
      <c r="J47" s="7">
        <v>0</v>
      </c>
      <c r="K47" s="23">
        <v>1</v>
      </c>
      <c r="L47" s="3">
        <v>0</v>
      </c>
      <c r="M47" s="3">
        <v>0</v>
      </c>
      <c r="N47" s="3">
        <v>0</v>
      </c>
      <c r="O47" s="3">
        <v>0</v>
      </c>
      <c r="P47" s="3">
        <v>1</v>
      </c>
      <c r="Q47" s="92">
        <v>2</v>
      </c>
    </row>
    <row r="48" spans="1:17">
      <c r="A48" s="21">
        <v>47</v>
      </c>
      <c r="B48">
        <v>45.417430000000003</v>
      </c>
      <c r="C48">
        <v>-92.096800000000002</v>
      </c>
      <c r="D48" s="3">
        <v>6.5</v>
      </c>
      <c r="E48" s="3" t="s">
        <v>468</v>
      </c>
      <c r="F48" s="95">
        <v>1</v>
      </c>
      <c r="G48" s="21">
        <v>1</v>
      </c>
      <c r="H48" s="77">
        <v>0</v>
      </c>
      <c r="I48" s="3">
        <v>1</v>
      </c>
      <c r="J48" s="7">
        <v>1</v>
      </c>
      <c r="K48" s="2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92">
        <v>1</v>
      </c>
    </row>
    <row r="49" spans="1:17">
      <c r="A49" s="21">
        <v>48</v>
      </c>
      <c r="B49">
        <v>45.417439999999999</v>
      </c>
      <c r="C49">
        <v>-92.09648</v>
      </c>
      <c r="D49" s="3">
        <v>7</v>
      </c>
      <c r="E49" s="3" t="s">
        <v>468</v>
      </c>
      <c r="F49" s="95">
        <v>1</v>
      </c>
      <c r="G49" s="21">
        <v>1</v>
      </c>
      <c r="H49" s="77">
        <v>0</v>
      </c>
      <c r="I49" s="3">
        <v>1</v>
      </c>
      <c r="J49" s="7">
        <v>1</v>
      </c>
      <c r="K49" s="2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92">
        <v>0</v>
      </c>
    </row>
    <row r="50" spans="1:17">
      <c r="A50" s="21">
        <v>49</v>
      </c>
      <c r="B50">
        <v>45.417439999999999</v>
      </c>
      <c r="C50">
        <v>-92.096159999999998</v>
      </c>
      <c r="D50" s="3">
        <v>7</v>
      </c>
      <c r="E50" s="3" t="s">
        <v>468</v>
      </c>
      <c r="F50" s="95">
        <v>1</v>
      </c>
      <c r="G50" s="21">
        <v>1</v>
      </c>
      <c r="H50" s="77">
        <v>0</v>
      </c>
      <c r="I50" s="3">
        <v>1</v>
      </c>
      <c r="J50" s="7">
        <v>1</v>
      </c>
      <c r="K50" s="2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92">
        <v>0</v>
      </c>
    </row>
    <row r="51" spans="1:17">
      <c r="A51" s="21">
        <v>50</v>
      </c>
      <c r="B51">
        <v>45.417450000000002</v>
      </c>
      <c r="C51">
        <v>-92.095839999999995</v>
      </c>
      <c r="D51" s="3">
        <v>7</v>
      </c>
      <c r="E51" s="3" t="s">
        <v>468</v>
      </c>
      <c r="F51" s="95">
        <v>1</v>
      </c>
      <c r="G51" s="21">
        <v>0</v>
      </c>
      <c r="H51" s="77">
        <v>0</v>
      </c>
      <c r="I51" s="3">
        <v>0</v>
      </c>
      <c r="J51" s="7">
        <v>0</v>
      </c>
      <c r="K51" s="2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92">
        <v>1</v>
      </c>
    </row>
    <row r="52" spans="1:17">
      <c r="A52" s="21">
        <v>51</v>
      </c>
      <c r="B52">
        <v>45.417450000000002</v>
      </c>
      <c r="C52">
        <v>-92.095529999999997</v>
      </c>
      <c r="D52" s="3">
        <v>7</v>
      </c>
      <c r="E52" s="3" t="s">
        <v>468</v>
      </c>
      <c r="F52" s="95">
        <v>1</v>
      </c>
      <c r="G52" s="21">
        <v>0</v>
      </c>
      <c r="H52" s="77">
        <v>0</v>
      </c>
      <c r="I52" s="3">
        <v>0</v>
      </c>
      <c r="J52" s="7">
        <v>0</v>
      </c>
      <c r="K52" s="2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92">
        <v>1</v>
      </c>
    </row>
    <row r="53" spans="1:17">
      <c r="A53" s="21">
        <v>52</v>
      </c>
      <c r="B53">
        <v>45.417650000000002</v>
      </c>
      <c r="C53">
        <v>-92.097290000000001</v>
      </c>
      <c r="D53" s="3">
        <v>3.5</v>
      </c>
      <c r="E53" s="3" t="s">
        <v>468</v>
      </c>
      <c r="F53" s="95">
        <v>1</v>
      </c>
      <c r="G53" s="21">
        <v>0</v>
      </c>
      <c r="H53" s="77">
        <v>0</v>
      </c>
      <c r="I53" s="3">
        <v>0</v>
      </c>
      <c r="J53" s="7">
        <v>0</v>
      </c>
      <c r="K53" s="2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92">
        <v>1</v>
      </c>
    </row>
    <row r="54" spans="1:17">
      <c r="A54" s="21">
        <v>53</v>
      </c>
      <c r="B54">
        <v>45.417650000000002</v>
      </c>
      <c r="C54">
        <v>-92.096969999999999</v>
      </c>
      <c r="D54" s="3">
        <v>4.5</v>
      </c>
      <c r="E54" s="3" t="s">
        <v>468</v>
      </c>
      <c r="F54" s="95">
        <v>1</v>
      </c>
      <c r="G54" s="21">
        <v>0</v>
      </c>
      <c r="H54" s="77">
        <v>0</v>
      </c>
      <c r="I54" s="3">
        <v>0</v>
      </c>
      <c r="J54" s="7">
        <v>0</v>
      </c>
      <c r="K54" s="2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92">
        <v>1</v>
      </c>
    </row>
    <row r="55" spans="1:17">
      <c r="A55" s="21">
        <v>54</v>
      </c>
      <c r="B55">
        <v>45.417659999999998</v>
      </c>
      <c r="C55">
        <v>-92.096649999999997</v>
      </c>
      <c r="D55" s="3">
        <v>7</v>
      </c>
      <c r="E55" s="3" t="s">
        <v>468</v>
      </c>
      <c r="F55" s="95">
        <v>1</v>
      </c>
      <c r="G55" s="21">
        <v>1</v>
      </c>
      <c r="H55" s="77">
        <v>1</v>
      </c>
      <c r="I55" s="3">
        <v>1</v>
      </c>
      <c r="J55" s="7">
        <v>0</v>
      </c>
      <c r="K55" s="23">
        <v>1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92">
        <v>1</v>
      </c>
    </row>
    <row r="56" spans="1:17">
      <c r="A56" s="21">
        <v>55</v>
      </c>
      <c r="B56">
        <v>45.417659999999998</v>
      </c>
      <c r="C56">
        <v>-92.096329999999995</v>
      </c>
      <c r="D56" s="3">
        <v>8</v>
      </c>
      <c r="E56" s="3" t="s">
        <v>468</v>
      </c>
      <c r="F56" s="95">
        <v>1</v>
      </c>
      <c r="G56" s="21">
        <v>0</v>
      </c>
      <c r="H56" s="77">
        <v>0</v>
      </c>
      <c r="I56" s="3">
        <v>0</v>
      </c>
      <c r="J56" s="7">
        <v>0</v>
      </c>
      <c r="K56" s="2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92">
        <v>1</v>
      </c>
    </row>
    <row r="57" spans="1:17">
      <c r="A57" s="21">
        <v>56</v>
      </c>
      <c r="B57">
        <v>45.417670000000001</v>
      </c>
      <c r="C57">
        <v>-92.096010000000007</v>
      </c>
      <c r="D57" s="3">
        <v>7</v>
      </c>
      <c r="E57" s="3" t="s">
        <v>468</v>
      </c>
      <c r="F57" s="95">
        <v>1</v>
      </c>
      <c r="G57" s="21">
        <v>1</v>
      </c>
      <c r="H57" s="77">
        <v>1</v>
      </c>
      <c r="I57" s="3">
        <v>1</v>
      </c>
      <c r="J57" s="7">
        <v>0</v>
      </c>
      <c r="K57" s="23">
        <v>1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92">
        <v>1</v>
      </c>
    </row>
    <row r="58" spans="1:17">
      <c r="A58" s="21">
        <v>57</v>
      </c>
      <c r="B58">
        <v>45.417679999999997</v>
      </c>
      <c r="C58">
        <v>-92.095690000000005</v>
      </c>
      <c r="D58" s="3">
        <v>5.5</v>
      </c>
      <c r="E58" s="3" t="s">
        <v>468</v>
      </c>
      <c r="F58" s="95">
        <v>1</v>
      </c>
      <c r="G58" s="21">
        <v>1</v>
      </c>
      <c r="H58" s="77">
        <v>0</v>
      </c>
      <c r="I58" s="3">
        <v>1</v>
      </c>
      <c r="J58" s="7">
        <v>1</v>
      </c>
      <c r="K58" s="2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92">
        <v>2</v>
      </c>
    </row>
    <row r="59" spans="1:17">
      <c r="A59" s="21">
        <v>58</v>
      </c>
      <c r="B59">
        <v>45.417870000000001</v>
      </c>
      <c r="C59">
        <v>-92.097459999999998</v>
      </c>
      <c r="D59" s="3">
        <v>3.5</v>
      </c>
      <c r="E59" s="3" t="s">
        <v>468</v>
      </c>
      <c r="F59" s="95">
        <v>1</v>
      </c>
      <c r="G59" s="21">
        <v>1</v>
      </c>
      <c r="H59" s="77">
        <v>0</v>
      </c>
      <c r="I59" s="3">
        <v>1</v>
      </c>
      <c r="J59" s="7">
        <v>1</v>
      </c>
      <c r="K59" s="2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92">
        <v>1</v>
      </c>
    </row>
    <row r="60" spans="1:17">
      <c r="A60" s="21">
        <v>59</v>
      </c>
      <c r="B60">
        <v>45.417870000000001</v>
      </c>
      <c r="C60">
        <v>-92.097139999999996</v>
      </c>
      <c r="D60" s="3">
        <v>4.5</v>
      </c>
      <c r="E60" s="3" t="s">
        <v>468</v>
      </c>
      <c r="F60" s="95">
        <v>1</v>
      </c>
      <c r="G60" s="21">
        <v>1</v>
      </c>
      <c r="H60" s="77">
        <v>1</v>
      </c>
      <c r="I60" s="3">
        <v>1</v>
      </c>
      <c r="J60" s="7">
        <v>0</v>
      </c>
      <c r="K60" s="23">
        <v>1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92">
        <v>2</v>
      </c>
    </row>
    <row r="61" spans="1:17">
      <c r="A61" s="21">
        <v>60</v>
      </c>
      <c r="B61">
        <v>45.417879999999997</v>
      </c>
      <c r="C61">
        <v>-92.096819999999994</v>
      </c>
      <c r="D61" s="3">
        <v>5</v>
      </c>
      <c r="E61" s="3" t="s">
        <v>468</v>
      </c>
      <c r="F61" s="95">
        <v>1</v>
      </c>
      <c r="G61" s="21">
        <v>1</v>
      </c>
      <c r="H61" s="77">
        <v>0</v>
      </c>
      <c r="I61" s="3">
        <v>1</v>
      </c>
      <c r="J61" s="7">
        <v>1</v>
      </c>
      <c r="K61" s="2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92">
        <v>1</v>
      </c>
    </row>
    <row r="62" spans="1:17">
      <c r="A62" s="21">
        <v>61</v>
      </c>
      <c r="B62">
        <v>45.41789</v>
      </c>
      <c r="C62">
        <v>-92.096500000000006</v>
      </c>
      <c r="D62" s="3">
        <v>5.5</v>
      </c>
      <c r="E62" s="3" t="s">
        <v>468</v>
      </c>
      <c r="F62" s="95">
        <v>1</v>
      </c>
      <c r="G62" s="21">
        <v>0</v>
      </c>
      <c r="H62" s="77">
        <v>0</v>
      </c>
      <c r="I62" s="3">
        <v>0</v>
      </c>
      <c r="J62" s="7">
        <v>0</v>
      </c>
      <c r="K62" s="2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92">
        <v>1</v>
      </c>
    </row>
    <row r="63" spans="1:17">
      <c r="A63" s="21">
        <v>62</v>
      </c>
      <c r="B63">
        <v>45.41789</v>
      </c>
      <c r="C63">
        <v>-92.096180000000004</v>
      </c>
      <c r="D63" s="3">
        <v>6</v>
      </c>
      <c r="E63" s="3" t="s">
        <v>468</v>
      </c>
      <c r="F63" s="95">
        <v>1</v>
      </c>
      <c r="G63" s="21">
        <v>1</v>
      </c>
      <c r="H63" s="77">
        <v>1</v>
      </c>
      <c r="I63" s="3">
        <v>1</v>
      </c>
      <c r="J63" s="7">
        <v>0</v>
      </c>
      <c r="K63" s="23">
        <v>1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92">
        <v>1</v>
      </c>
    </row>
    <row r="64" spans="1:17">
      <c r="A64" s="21">
        <v>63</v>
      </c>
      <c r="B64">
        <v>45.418100000000003</v>
      </c>
      <c r="C64">
        <v>-92.097309999999993</v>
      </c>
      <c r="D64" s="3">
        <v>3</v>
      </c>
      <c r="E64" s="3" t="s">
        <v>468</v>
      </c>
      <c r="F64" s="95">
        <v>1</v>
      </c>
      <c r="G64" s="21">
        <v>0</v>
      </c>
      <c r="H64" s="77">
        <v>0</v>
      </c>
      <c r="I64" s="3">
        <v>0</v>
      </c>
      <c r="J64" s="7">
        <v>0</v>
      </c>
      <c r="K64" s="2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92">
        <v>2</v>
      </c>
    </row>
    <row r="65" spans="1:17">
      <c r="A65" s="21">
        <v>64</v>
      </c>
      <c r="B65">
        <v>45.418100000000003</v>
      </c>
      <c r="C65">
        <v>-92.096990000000005</v>
      </c>
      <c r="D65" s="3">
        <v>4</v>
      </c>
      <c r="E65" s="3" t="s">
        <v>468</v>
      </c>
      <c r="F65" s="95">
        <v>1</v>
      </c>
      <c r="G65" s="21">
        <v>1</v>
      </c>
      <c r="H65" s="77">
        <v>1</v>
      </c>
      <c r="I65" s="3">
        <v>1</v>
      </c>
      <c r="J65" s="7">
        <v>1</v>
      </c>
      <c r="K65" s="23">
        <v>1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92">
        <v>2</v>
      </c>
    </row>
    <row r="66" spans="1:17">
      <c r="A66" s="21">
        <v>65</v>
      </c>
      <c r="B66">
        <v>45.418109999999999</v>
      </c>
      <c r="C66">
        <v>-92.096670000000003</v>
      </c>
      <c r="D66" s="3">
        <v>4</v>
      </c>
      <c r="E66" s="3" t="s">
        <v>468</v>
      </c>
      <c r="F66" s="95">
        <v>1</v>
      </c>
      <c r="G66" s="21">
        <v>1</v>
      </c>
      <c r="H66" s="77">
        <v>1</v>
      </c>
      <c r="I66" s="3">
        <v>1</v>
      </c>
      <c r="J66" s="7">
        <v>0</v>
      </c>
      <c r="K66" s="23">
        <v>1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92">
        <v>2</v>
      </c>
    </row>
    <row r="67" spans="1:17">
      <c r="A67" s="21">
        <v>66</v>
      </c>
      <c r="B67">
        <v>45.418109999999999</v>
      </c>
      <c r="C67">
        <v>-92.096350000000001</v>
      </c>
      <c r="D67" s="3">
        <v>4.5</v>
      </c>
      <c r="E67" s="3" t="s">
        <v>468</v>
      </c>
      <c r="F67" s="95">
        <v>1</v>
      </c>
      <c r="G67" s="21">
        <v>1</v>
      </c>
      <c r="H67" s="77">
        <v>1</v>
      </c>
      <c r="I67" s="3">
        <v>1</v>
      </c>
      <c r="J67" s="7">
        <v>0</v>
      </c>
      <c r="K67" s="23">
        <v>1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92">
        <v>2</v>
      </c>
    </row>
  </sheetData>
  <sheetProtection formatCells="0" sort="0"/>
  <protectedRanges>
    <protectedRange sqref="I2:I8 E2:E67" name="Range1_3"/>
    <protectedRange sqref="B2:C8" name="Range1_1_1"/>
  </protectedRanges>
  <dataValidations count="6">
    <dataValidation type="decimal" allowBlank="1" showInputMessage="1" showErrorMessage="1" error="Is your depth really more than 99 feet?" sqref="D2:D64394">
      <formula1>0.1</formula1>
      <formula2>99</formula2>
    </dataValidation>
    <dataValidation type="list" allowBlank="1" showInputMessage="1" showErrorMessage="1" error="Please enter M (muck), S (sand), or R (rock).  If sediment type unknown, leave cell blank." sqref="E2:E67">
      <formula1>"M,m,s,S,R,r"</formula1>
    </dataValidation>
    <dataValidation type="list" allowBlank="1" showInputMessage="1" showErrorMessage="1" error="Please enter an overall rake fullness of 1, 2, 3 or leave cell blank if no plants found" sqref="I2:I67">
      <formula1>"1,2,3"</formula1>
    </dataValidation>
    <dataValidation type="whole" allowBlank="1" showInputMessage="1" showErrorMessage="1" errorTitle="Presence/Absence Data" error="Enter 1 if present" sqref="L68:Q64394">
      <formula1>1</formula1>
      <formula2>1</formula2>
    </dataValidation>
    <dataValidation type="list" allowBlank="1" showInputMessage="1" showErrorMessage="1" sqref="I1 K1 I68:K64394">
      <formula1>"V,v,1,2,3"</formula1>
    </dataValidation>
    <dataValidation type="list" allowBlank="1" showInputMessage="1" showErrorMessage="1" error="Please enter a rake fullness rating of 1, 2, 3 or V (visual).  If species not found, leave cell blank." sqref="J2:Q67">
      <formula1>"V,v,1,2,3"</formula1>
    </dataValidation>
  </dataValidations>
  <printOptions headings="1" gridLines="1"/>
  <pageMargins left="0.75" right="0.75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144"/>
  <sheetViews>
    <sheetView zoomScale="85" workbookViewId="0">
      <selection activeCell="A4" sqref="A4"/>
    </sheetView>
  </sheetViews>
  <sheetFormatPr defaultColWidth="23.7109375" defaultRowHeight="12.75"/>
  <cols>
    <col min="1" max="1" width="37.42578125" style="114" bestFit="1" customWidth="1"/>
    <col min="2" max="2" width="29.42578125" style="114" customWidth="1"/>
    <col min="3" max="3" width="14" style="114" bestFit="1" customWidth="1"/>
    <col min="4" max="4" width="20.140625" style="114" bestFit="1" customWidth="1"/>
    <col min="5" max="5" width="12" style="114" customWidth="1"/>
    <col min="6" max="9" width="23.7109375" style="114" customWidth="1"/>
    <col min="10" max="10" width="29.28515625" style="114" customWidth="1"/>
    <col min="11" max="16384" width="23.7109375" style="114"/>
  </cols>
  <sheetData>
    <row r="1" spans="1:11" ht="15">
      <c r="A1" s="108"/>
      <c r="B1" s="109"/>
      <c r="C1" s="110" t="s">
        <v>45</v>
      </c>
      <c r="D1" s="111" t="s">
        <v>479</v>
      </c>
      <c r="E1" s="112"/>
      <c r="F1" s="113"/>
      <c r="G1" s="113"/>
      <c r="H1" s="113"/>
      <c r="I1" s="113"/>
      <c r="J1" s="113"/>
      <c r="K1" s="113"/>
    </row>
    <row r="2" spans="1:11" ht="15">
      <c r="A2" s="108"/>
      <c r="B2" s="109"/>
      <c r="C2" s="115" t="s">
        <v>24</v>
      </c>
      <c r="D2" s="116" t="s">
        <v>480</v>
      </c>
      <c r="E2" s="112"/>
      <c r="F2" s="113"/>
      <c r="G2" s="113"/>
      <c r="H2" s="113"/>
      <c r="I2" s="113"/>
      <c r="J2" s="113"/>
      <c r="K2" s="113"/>
    </row>
    <row r="3" spans="1:11" ht="18.75">
      <c r="A3" s="108"/>
      <c r="B3" s="109"/>
      <c r="C3" s="115" t="s">
        <v>43</v>
      </c>
      <c r="D3" s="117">
        <v>43269</v>
      </c>
      <c r="E3" s="118"/>
      <c r="F3" s="119"/>
    </row>
    <row r="4" spans="1:11" ht="15.75" customHeight="1">
      <c r="A4" s="108"/>
      <c r="B4" s="109"/>
      <c r="C4" s="120" t="s">
        <v>317</v>
      </c>
      <c r="D4" s="121"/>
      <c r="E4" s="118"/>
    </row>
    <row r="5" spans="1:11" ht="15">
      <c r="A5" s="108"/>
      <c r="B5" s="109"/>
      <c r="C5" s="120" t="s">
        <v>318</v>
      </c>
      <c r="D5" s="121"/>
      <c r="E5" s="118"/>
    </row>
    <row r="6" spans="1:11" ht="15.75" thickBot="1">
      <c r="A6" s="108"/>
      <c r="B6" s="109"/>
      <c r="C6" s="122" t="s">
        <v>54</v>
      </c>
      <c r="D6" s="123"/>
      <c r="E6" s="118"/>
    </row>
    <row r="7" spans="1:11" ht="15.75" thickBot="1">
      <c r="A7" s="108"/>
      <c r="B7" s="109"/>
      <c r="C7" s="108"/>
      <c r="D7" s="108"/>
      <c r="E7" s="118"/>
    </row>
    <row r="8" spans="1:11" ht="15.75" thickBot="1">
      <c r="A8" s="124" t="s">
        <v>55</v>
      </c>
      <c r="B8" s="125" t="s">
        <v>56</v>
      </c>
      <c r="C8" s="126" t="s">
        <v>57</v>
      </c>
      <c r="D8" s="127" t="s">
        <v>58</v>
      </c>
      <c r="E8" s="128"/>
    </row>
    <row r="9" spans="1:11" ht="14.25" customHeight="1" thickBot="1">
      <c r="A9" s="170" t="s">
        <v>71</v>
      </c>
      <c r="B9" s="171" t="s">
        <v>72</v>
      </c>
      <c r="C9" s="172">
        <v>3</v>
      </c>
      <c r="D9" s="132">
        <v>1</v>
      </c>
      <c r="E9" s="133">
        <v>3</v>
      </c>
    </row>
    <row r="10" spans="1:11" ht="14.25" customHeight="1">
      <c r="A10" s="137" t="s">
        <v>134</v>
      </c>
      <c r="B10" s="135" t="s">
        <v>135</v>
      </c>
      <c r="C10" s="140">
        <v>6</v>
      </c>
      <c r="D10" s="132">
        <v>1</v>
      </c>
      <c r="E10" s="133">
        <v>6</v>
      </c>
    </row>
    <row r="11" spans="1:11" ht="14.25" customHeight="1">
      <c r="A11" s="137" t="s">
        <v>136</v>
      </c>
      <c r="B11" s="135" t="s">
        <v>137</v>
      </c>
      <c r="C11" s="140">
        <v>6</v>
      </c>
      <c r="D11" s="138">
        <v>1</v>
      </c>
      <c r="E11" s="133">
        <v>6</v>
      </c>
    </row>
    <row r="12" spans="1:11" ht="14.25" customHeight="1">
      <c r="A12" s="134" t="s">
        <v>157</v>
      </c>
      <c r="B12" s="135" t="s">
        <v>298</v>
      </c>
      <c r="C12" s="136">
        <v>8</v>
      </c>
      <c r="D12" s="138">
        <v>1</v>
      </c>
      <c r="E12" s="133">
        <v>8</v>
      </c>
    </row>
    <row r="13" spans="1:11" ht="14.25" customHeight="1">
      <c r="A13" s="137" t="s">
        <v>258</v>
      </c>
      <c r="B13" s="135" t="s">
        <v>169</v>
      </c>
      <c r="C13" s="140">
        <v>8</v>
      </c>
      <c r="D13" s="138">
        <v>1</v>
      </c>
      <c r="E13" s="133">
        <v>8</v>
      </c>
    </row>
    <row r="14" spans="1:11" ht="14.25" customHeight="1">
      <c r="A14" s="137" t="s">
        <v>223</v>
      </c>
      <c r="B14" s="135" t="s">
        <v>257</v>
      </c>
      <c r="C14" s="140">
        <v>3</v>
      </c>
      <c r="D14" s="138">
        <v>1</v>
      </c>
      <c r="E14" s="133">
        <v>3</v>
      </c>
    </row>
    <row r="15" spans="1:11" ht="14.25" customHeight="1">
      <c r="A15" s="153"/>
      <c r="B15" s="153"/>
      <c r="C15" s="154"/>
      <c r="D15" s="155"/>
      <c r="E15" s="156"/>
    </row>
    <row r="16" spans="1:11" ht="14.25" customHeight="1">
      <c r="A16" s="157" t="s">
        <v>253</v>
      </c>
      <c r="B16" s="153"/>
      <c r="C16" s="108"/>
      <c r="D16" s="158">
        <v>6</v>
      </c>
      <c r="E16" s="159"/>
    </row>
    <row r="17" spans="1:5" ht="14.25" customHeight="1" thickBot="1">
      <c r="A17" s="157" t="s">
        <v>254</v>
      </c>
      <c r="B17" s="153"/>
      <c r="C17" s="160"/>
      <c r="D17" s="108"/>
      <c r="E17" s="161">
        <v>5.666666666666667</v>
      </c>
    </row>
    <row r="18" spans="1:5" ht="14.25" customHeight="1" thickBot="1">
      <c r="A18" s="162" t="s">
        <v>266</v>
      </c>
      <c r="B18" s="163"/>
      <c r="C18" s="164"/>
      <c r="D18" s="165"/>
      <c r="E18" s="166">
        <v>13.880441875771343</v>
      </c>
    </row>
    <row r="19" spans="1:5" ht="14.25" customHeight="1"/>
    <row r="20" spans="1:5" ht="14.25" customHeight="1">
      <c r="A20" s="167"/>
      <c r="B20" s="167"/>
      <c r="C20" s="168"/>
    </row>
    <row r="21" spans="1:5" ht="14.25" customHeight="1">
      <c r="A21" s="189" t="s">
        <v>501</v>
      </c>
      <c r="B21" s="189"/>
      <c r="C21" s="189"/>
      <c r="D21" s="189"/>
      <c r="E21" s="189"/>
    </row>
    <row r="22" spans="1:5" ht="14.25" customHeight="1">
      <c r="A22" s="167"/>
      <c r="B22" s="167"/>
      <c r="C22" s="168"/>
    </row>
    <row r="23" spans="1:5" ht="14.25" customHeight="1">
      <c r="A23" s="189" t="s">
        <v>502</v>
      </c>
      <c r="B23" s="189"/>
      <c r="C23" s="189"/>
      <c r="D23" s="189"/>
      <c r="E23" s="189"/>
    </row>
    <row r="24" spans="1:5" ht="14.25" customHeight="1"/>
    <row r="25" spans="1:5" ht="14.25" customHeight="1"/>
    <row r="26" spans="1:5" ht="14.25" customHeight="1"/>
    <row r="27" spans="1:5" ht="14.25" customHeight="1"/>
    <row r="28" spans="1:5" ht="14.25" customHeight="1"/>
    <row r="29" spans="1:5" ht="14.25" customHeight="1"/>
    <row r="30" spans="1:5" ht="14.25" customHeight="1"/>
    <row r="31" spans="1:5" ht="14.25" customHeight="1"/>
    <row r="32" spans="1:5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spans="1:5" s="148" customFormat="1" ht="14.25" customHeight="1">
      <c r="A113" s="114"/>
      <c r="B113" s="114"/>
      <c r="C113" s="114"/>
      <c r="D113" s="114"/>
      <c r="E113" s="114"/>
    </row>
    <row r="114" spans="1:5" ht="14.25" customHeight="1"/>
    <row r="115" spans="1:5" ht="14.25" customHeight="1"/>
    <row r="116" spans="1:5" ht="14.25" customHeight="1"/>
    <row r="117" spans="1:5" ht="14.25" customHeight="1"/>
    <row r="118" spans="1:5" ht="14.25" customHeight="1"/>
    <row r="119" spans="1:5" ht="14.25" customHeight="1"/>
    <row r="120" spans="1:5" ht="14.25" customHeight="1"/>
    <row r="121" spans="1:5" ht="14.25" customHeight="1"/>
    <row r="122" spans="1:5" ht="14.25" customHeight="1"/>
    <row r="123" spans="1:5" ht="14.25" customHeight="1"/>
    <row r="124" spans="1:5" ht="14.25" customHeight="1"/>
    <row r="125" spans="1:5" ht="14.25" customHeight="1"/>
    <row r="126" spans="1:5" ht="14.25" customHeight="1"/>
    <row r="127" spans="1:5" ht="14.25" customHeight="1"/>
    <row r="128" spans="1:5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42" ht="51" customHeight="1"/>
    <row r="144" ht="51" customHeight="1"/>
  </sheetData>
  <protectedRanges>
    <protectedRange sqref="D8:D14" name="number of species"/>
  </protectedRanges>
  <sortState ref="A9:E135">
    <sortCondition descending="1" ref="D9:D135"/>
    <sortCondition ref="A9:A135"/>
  </sortState>
  <mergeCells count="2">
    <mergeCell ref="A21:E21"/>
    <mergeCell ref="A23:E23"/>
  </mergeCells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144"/>
  <sheetViews>
    <sheetView zoomScale="85" workbookViewId="0">
      <selection activeCell="F15" sqref="F15"/>
    </sheetView>
  </sheetViews>
  <sheetFormatPr defaultColWidth="23.7109375" defaultRowHeight="12.75"/>
  <cols>
    <col min="1" max="1" width="37.42578125" style="114" bestFit="1" customWidth="1"/>
    <col min="2" max="2" width="29.42578125" style="114" customWidth="1"/>
    <col min="3" max="3" width="14" style="114" bestFit="1" customWidth="1"/>
    <col min="4" max="4" width="20.140625" style="114" bestFit="1" customWidth="1"/>
    <col min="5" max="5" width="12" style="114" customWidth="1"/>
    <col min="6" max="9" width="23.7109375" style="114" customWidth="1"/>
    <col min="10" max="10" width="29.28515625" style="114" customWidth="1"/>
    <col min="11" max="16384" width="23.7109375" style="114"/>
  </cols>
  <sheetData>
    <row r="1" spans="1:11" ht="15">
      <c r="A1" s="108"/>
      <c r="B1" s="109"/>
      <c r="C1" s="110" t="s">
        <v>45</v>
      </c>
      <c r="D1" s="111" t="s">
        <v>479</v>
      </c>
      <c r="E1" s="112"/>
      <c r="F1" s="113"/>
      <c r="G1" s="113"/>
      <c r="H1" s="113"/>
      <c r="I1" s="113"/>
      <c r="J1" s="113"/>
      <c r="K1" s="113"/>
    </row>
    <row r="2" spans="1:11" ht="15">
      <c r="A2" s="108"/>
      <c r="B2" s="109"/>
      <c r="C2" s="115" t="s">
        <v>24</v>
      </c>
      <c r="D2" s="116" t="s">
        <v>480</v>
      </c>
      <c r="E2" s="112"/>
      <c r="F2" s="113"/>
      <c r="G2" s="113"/>
      <c r="H2" s="113"/>
      <c r="I2" s="113"/>
      <c r="J2" s="113"/>
      <c r="K2" s="113"/>
    </row>
    <row r="3" spans="1:11" ht="18.75">
      <c r="A3" s="108"/>
      <c r="B3" s="109"/>
      <c r="C3" s="115" t="s">
        <v>43</v>
      </c>
      <c r="D3" s="117">
        <v>43232</v>
      </c>
      <c r="E3" s="118"/>
      <c r="F3" s="119"/>
    </row>
    <row r="4" spans="1:11" ht="15.75" customHeight="1">
      <c r="A4" s="108"/>
      <c r="B4" s="109"/>
      <c r="C4" s="120" t="s">
        <v>317</v>
      </c>
      <c r="D4" s="121"/>
      <c r="E4" s="118"/>
    </row>
    <row r="5" spans="1:11" ht="15">
      <c r="A5" s="108"/>
      <c r="B5" s="109"/>
      <c r="C5" s="120" t="s">
        <v>318</v>
      </c>
      <c r="D5" s="121"/>
      <c r="E5" s="118"/>
    </row>
    <row r="6" spans="1:11" ht="15.75" thickBot="1">
      <c r="A6" s="108"/>
      <c r="B6" s="109"/>
      <c r="C6" s="122" t="s">
        <v>54</v>
      </c>
      <c r="D6" s="123"/>
      <c r="E6" s="118"/>
    </row>
    <row r="7" spans="1:11" ht="15.75" thickBot="1">
      <c r="A7" s="108"/>
      <c r="B7" s="109"/>
      <c r="C7" s="108"/>
      <c r="D7" s="108"/>
      <c r="E7" s="118"/>
    </row>
    <row r="8" spans="1:11" ht="15.75" thickBot="1">
      <c r="A8" s="124" t="s">
        <v>55</v>
      </c>
      <c r="B8" s="125" t="s">
        <v>56</v>
      </c>
      <c r="C8" s="126" t="s">
        <v>57</v>
      </c>
      <c r="D8" s="127" t="s">
        <v>58</v>
      </c>
      <c r="E8" s="128"/>
    </row>
    <row r="9" spans="1:11" ht="14.25" customHeight="1" thickBot="1">
      <c r="A9" s="170" t="s">
        <v>71</v>
      </c>
      <c r="B9" s="171" t="s">
        <v>72</v>
      </c>
      <c r="C9" s="172">
        <v>3</v>
      </c>
      <c r="D9" s="132">
        <v>1</v>
      </c>
      <c r="E9" s="133">
        <v>3</v>
      </c>
    </row>
    <row r="10" spans="1:11" ht="14.25" customHeight="1">
      <c r="A10" s="137" t="s">
        <v>134</v>
      </c>
      <c r="B10" s="135" t="s">
        <v>135</v>
      </c>
      <c r="C10" s="140">
        <v>6</v>
      </c>
      <c r="D10" s="132">
        <v>1</v>
      </c>
      <c r="E10" s="133">
        <v>6</v>
      </c>
    </row>
    <row r="11" spans="1:11" ht="14.25" customHeight="1">
      <c r="A11" s="134" t="s">
        <v>157</v>
      </c>
      <c r="B11" s="135" t="s">
        <v>298</v>
      </c>
      <c r="C11" s="136">
        <v>8</v>
      </c>
      <c r="D11" s="138">
        <v>1</v>
      </c>
      <c r="E11" s="133">
        <v>8</v>
      </c>
    </row>
    <row r="12" spans="1:11" ht="14.25" customHeight="1">
      <c r="A12" s="137" t="s">
        <v>258</v>
      </c>
      <c r="B12" s="135" t="s">
        <v>169</v>
      </c>
      <c r="C12" s="140">
        <v>8</v>
      </c>
      <c r="D12" s="138">
        <v>1</v>
      </c>
      <c r="E12" s="133">
        <v>8</v>
      </c>
    </row>
    <row r="13" spans="1:11" ht="14.25" customHeight="1">
      <c r="A13" s="137" t="s">
        <v>172</v>
      </c>
      <c r="B13" s="135" t="s">
        <v>173</v>
      </c>
      <c r="C13" s="140">
        <v>7</v>
      </c>
      <c r="D13" s="138">
        <v>1</v>
      </c>
      <c r="E13" s="133">
        <v>7</v>
      </c>
    </row>
    <row r="14" spans="1:11" ht="14.25" customHeight="1">
      <c r="A14" s="137" t="s">
        <v>183</v>
      </c>
      <c r="B14" s="135" t="s">
        <v>184</v>
      </c>
      <c r="C14" s="140">
        <v>6</v>
      </c>
      <c r="D14" s="138">
        <v>1</v>
      </c>
      <c r="E14" s="133">
        <v>6</v>
      </c>
    </row>
    <row r="15" spans="1:11" ht="14.25" customHeight="1">
      <c r="A15" s="153"/>
      <c r="B15" s="153"/>
      <c r="C15" s="154"/>
      <c r="D15" s="155"/>
      <c r="E15" s="156"/>
    </row>
    <row r="16" spans="1:11" ht="14.25" customHeight="1">
      <c r="A16" s="157" t="s">
        <v>253</v>
      </c>
      <c r="B16" s="153"/>
      <c r="C16" s="108"/>
      <c r="D16" s="158">
        <v>6</v>
      </c>
      <c r="E16" s="159"/>
    </row>
    <row r="17" spans="1:5" ht="14.25" customHeight="1" thickBot="1">
      <c r="A17" s="157" t="s">
        <v>254</v>
      </c>
      <c r="B17" s="153"/>
      <c r="C17" s="160"/>
      <c r="D17" s="108"/>
      <c r="E17" s="161">
        <v>6.333333333333333</v>
      </c>
    </row>
    <row r="18" spans="1:5" ht="14.25" customHeight="1" thickBot="1">
      <c r="A18" s="162" t="s">
        <v>266</v>
      </c>
      <c r="B18" s="163"/>
      <c r="C18" s="164"/>
      <c r="D18" s="165"/>
      <c r="E18" s="166">
        <v>15.513435037626792</v>
      </c>
    </row>
    <row r="19" spans="1:5" ht="14.25" customHeight="1"/>
    <row r="20" spans="1:5" ht="14.25" customHeight="1">
      <c r="A20" s="167"/>
      <c r="B20" s="167"/>
      <c r="C20" s="168"/>
    </row>
    <row r="21" spans="1:5" ht="14.25" customHeight="1">
      <c r="A21" s="189" t="s">
        <v>501</v>
      </c>
      <c r="B21" s="189"/>
      <c r="C21" s="189"/>
      <c r="D21" s="189"/>
      <c r="E21" s="189"/>
    </row>
    <row r="22" spans="1:5" ht="14.25" customHeight="1">
      <c r="A22" s="167"/>
      <c r="B22" s="167"/>
      <c r="C22" s="168"/>
    </row>
    <row r="23" spans="1:5" ht="14.25" customHeight="1">
      <c r="A23" s="189" t="s">
        <v>502</v>
      </c>
      <c r="B23" s="189"/>
      <c r="C23" s="189"/>
      <c r="D23" s="189"/>
      <c r="E23" s="189"/>
    </row>
    <row r="24" spans="1:5" ht="14.25" customHeight="1"/>
    <row r="25" spans="1:5" ht="14.25" customHeight="1"/>
    <row r="26" spans="1:5" ht="14.25" customHeight="1"/>
    <row r="27" spans="1:5" ht="14.25" customHeight="1"/>
    <row r="28" spans="1:5" ht="14.25" customHeight="1"/>
    <row r="29" spans="1:5" ht="14.25" customHeight="1"/>
    <row r="30" spans="1:5" ht="14.25" customHeight="1"/>
    <row r="31" spans="1:5" ht="14.25" customHeight="1"/>
    <row r="32" spans="1:5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spans="1:5" s="148" customFormat="1" ht="14.25" customHeight="1">
      <c r="A113" s="114"/>
      <c r="B113" s="114"/>
      <c r="C113" s="114"/>
      <c r="D113" s="114"/>
      <c r="E113" s="114"/>
    </row>
    <row r="114" spans="1:5" ht="14.25" customHeight="1"/>
    <row r="115" spans="1:5" ht="14.25" customHeight="1"/>
    <row r="116" spans="1:5" ht="14.25" customHeight="1"/>
    <row r="117" spans="1:5" ht="14.25" customHeight="1"/>
    <row r="118" spans="1:5" ht="14.25" customHeight="1"/>
    <row r="119" spans="1:5" ht="14.25" customHeight="1"/>
    <row r="120" spans="1:5" ht="14.25" customHeight="1"/>
    <row r="121" spans="1:5" ht="14.25" customHeight="1"/>
    <row r="122" spans="1:5" ht="14.25" customHeight="1"/>
    <row r="123" spans="1:5" ht="14.25" customHeight="1"/>
    <row r="124" spans="1:5" ht="14.25" customHeight="1"/>
    <row r="125" spans="1:5" ht="14.25" customHeight="1"/>
    <row r="126" spans="1:5" ht="14.25" customHeight="1"/>
    <row r="127" spans="1:5" ht="14.25" customHeight="1"/>
    <row r="128" spans="1:5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42" ht="51" customHeight="1"/>
    <row r="144" ht="51" customHeight="1"/>
  </sheetData>
  <protectedRanges>
    <protectedRange sqref="D8:D14" name="number of species"/>
  </protectedRanges>
  <sortState ref="A9:E135">
    <sortCondition descending="1" ref="D9:D135"/>
    <sortCondition ref="A9:A135"/>
  </sortState>
  <mergeCells count="2">
    <mergeCell ref="A21:E21"/>
    <mergeCell ref="A23:E23"/>
  </mergeCells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Q68"/>
  <sheetViews>
    <sheetView workbookViewId="0">
      <pane xSplit="1" ySplit="1" topLeftCell="B2" activePane="bottomRight" state="frozen"/>
      <selection pane="topRight" activeCell="K1" sqref="K1"/>
      <selection pane="bottomLeft" activeCell="A2" sqref="A2"/>
      <selection pane="bottomRight" activeCell="O67" sqref="O2:O67"/>
    </sheetView>
  </sheetViews>
  <sheetFormatPr defaultColWidth="5.7109375" defaultRowHeight="12.75"/>
  <cols>
    <col min="1" max="1" width="5" style="23" bestFit="1" customWidth="1"/>
    <col min="2" max="2" width="11" style="3" customWidth="1"/>
    <col min="3" max="3" width="13.28515625" style="3" customWidth="1"/>
    <col min="4" max="5" width="5.7109375" style="3" customWidth="1"/>
    <col min="6" max="6" width="4.42578125" style="93" customWidth="1"/>
    <col min="7" max="7" width="5" style="23" bestFit="1" customWidth="1"/>
    <col min="8" max="8" width="7" style="93" customWidth="1"/>
    <col min="9" max="9" width="5.7109375" style="3" customWidth="1"/>
    <col min="10" max="10" width="6.7109375" style="3" customWidth="1"/>
    <col min="11" max="16" width="5.7109375" style="3" customWidth="1"/>
    <col min="17" max="16384" width="5.7109375" style="3"/>
  </cols>
  <sheetData>
    <row r="1" spans="1:17" s="2" customFormat="1" ht="190.15" customHeight="1">
      <c r="A1" s="96" t="s">
        <v>485</v>
      </c>
      <c r="B1" s="4" t="s">
        <v>506</v>
      </c>
      <c r="C1" s="2" t="s">
        <v>486</v>
      </c>
      <c r="D1" s="20" t="s">
        <v>476</v>
      </c>
      <c r="E1" s="2" t="s">
        <v>487</v>
      </c>
      <c r="F1" s="94" t="s">
        <v>474</v>
      </c>
      <c r="G1" s="96" t="s">
        <v>475</v>
      </c>
      <c r="H1" s="75" t="s">
        <v>478</v>
      </c>
      <c r="I1" s="6" t="s">
        <v>477</v>
      </c>
      <c r="J1" s="16" t="s">
        <v>492</v>
      </c>
      <c r="K1" s="5" t="s">
        <v>488</v>
      </c>
      <c r="L1" s="5" t="s">
        <v>489</v>
      </c>
      <c r="M1" s="5" t="s">
        <v>495</v>
      </c>
      <c r="N1" s="5" t="s">
        <v>493</v>
      </c>
      <c r="O1" s="5" t="s">
        <v>490</v>
      </c>
      <c r="P1" s="5" t="s">
        <v>494</v>
      </c>
      <c r="Q1" s="90" t="s">
        <v>491</v>
      </c>
    </row>
    <row r="2" spans="1:17">
      <c r="A2" s="21">
        <v>1</v>
      </c>
      <c r="B2">
        <v>45.414999999999999</v>
      </c>
      <c r="C2">
        <v>-92.094319999999996</v>
      </c>
      <c r="D2" s="3">
        <v>8</v>
      </c>
      <c r="E2" s="3" t="s">
        <v>468</v>
      </c>
      <c r="F2" s="95">
        <v>1</v>
      </c>
      <c r="G2" s="21">
        <v>1</v>
      </c>
      <c r="H2" s="77">
        <v>0</v>
      </c>
      <c r="I2" s="3">
        <v>3</v>
      </c>
      <c r="J2" s="7">
        <v>3</v>
      </c>
      <c r="K2" s="23">
        <v>0</v>
      </c>
      <c r="L2" s="3">
        <v>0</v>
      </c>
      <c r="M2" s="3">
        <v>0</v>
      </c>
      <c r="N2" s="3">
        <v>0</v>
      </c>
      <c r="O2" s="3">
        <v>0</v>
      </c>
      <c r="P2" s="3">
        <v>0</v>
      </c>
      <c r="Q2" s="92">
        <v>0</v>
      </c>
    </row>
    <row r="3" spans="1:17">
      <c r="A3" s="21">
        <v>2</v>
      </c>
      <c r="B3">
        <v>45.415219999999998</v>
      </c>
      <c r="C3">
        <v>-92.094800000000006</v>
      </c>
      <c r="D3" s="3">
        <v>4</v>
      </c>
      <c r="E3" s="3" t="s">
        <v>468</v>
      </c>
      <c r="F3" s="95">
        <v>1</v>
      </c>
      <c r="G3" s="21">
        <v>1</v>
      </c>
      <c r="H3" s="77">
        <v>1</v>
      </c>
      <c r="I3" s="3">
        <v>1</v>
      </c>
      <c r="J3" s="7">
        <v>1</v>
      </c>
      <c r="K3" s="23">
        <v>1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92">
        <v>2</v>
      </c>
    </row>
    <row r="4" spans="1:17">
      <c r="A4" s="21">
        <v>3</v>
      </c>
      <c r="B4">
        <v>45.415219999999998</v>
      </c>
      <c r="C4">
        <v>-92.094480000000004</v>
      </c>
      <c r="D4" s="3">
        <v>12</v>
      </c>
      <c r="E4" s="3" t="s">
        <v>469</v>
      </c>
      <c r="F4" s="95">
        <v>1</v>
      </c>
      <c r="G4" s="21">
        <v>0</v>
      </c>
      <c r="H4" s="77">
        <v>0</v>
      </c>
      <c r="I4" s="3">
        <v>0</v>
      </c>
      <c r="J4" s="7">
        <v>0</v>
      </c>
      <c r="K4" s="2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92">
        <v>0</v>
      </c>
    </row>
    <row r="5" spans="1:17">
      <c r="A5" s="21">
        <v>4</v>
      </c>
      <c r="B5">
        <v>45.415230000000001</v>
      </c>
      <c r="C5">
        <v>-92.094170000000005</v>
      </c>
      <c r="D5" s="3">
        <v>12</v>
      </c>
      <c r="E5" s="3" t="s">
        <v>469</v>
      </c>
      <c r="F5" s="95">
        <v>1</v>
      </c>
      <c r="G5" s="21">
        <v>0</v>
      </c>
      <c r="H5" s="77">
        <v>0</v>
      </c>
      <c r="I5" s="3">
        <v>0</v>
      </c>
      <c r="J5" s="7">
        <v>0</v>
      </c>
      <c r="K5" s="2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92">
        <v>0</v>
      </c>
    </row>
    <row r="6" spans="1:17">
      <c r="A6" s="21">
        <v>5</v>
      </c>
      <c r="B6">
        <v>45.415439999999997</v>
      </c>
      <c r="C6">
        <v>-92.094970000000004</v>
      </c>
      <c r="D6" s="3">
        <v>7</v>
      </c>
      <c r="E6" s="3" t="s">
        <v>468</v>
      </c>
      <c r="F6" s="95">
        <v>1</v>
      </c>
      <c r="G6" s="21">
        <v>1</v>
      </c>
      <c r="H6" s="77">
        <v>1</v>
      </c>
      <c r="I6" s="3">
        <v>2</v>
      </c>
      <c r="J6" s="7">
        <v>1</v>
      </c>
      <c r="K6" s="23">
        <v>2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92">
        <v>1</v>
      </c>
    </row>
    <row r="7" spans="1:17">
      <c r="A7" s="21">
        <v>6</v>
      </c>
      <c r="B7">
        <v>45.415439999999997</v>
      </c>
      <c r="C7">
        <v>-92.094650000000001</v>
      </c>
      <c r="D7" s="3">
        <v>12</v>
      </c>
      <c r="E7" s="3" t="s">
        <v>468</v>
      </c>
      <c r="F7" s="95">
        <v>1</v>
      </c>
      <c r="G7" s="21">
        <v>1</v>
      </c>
      <c r="H7" s="77">
        <v>0</v>
      </c>
      <c r="I7" s="3">
        <v>2</v>
      </c>
      <c r="J7" s="7">
        <v>2</v>
      </c>
      <c r="K7" s="2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92">
        <v>1</v>
      </c>
    </row>
    <row r="8" spans="1:17">
      <c r="A8" s="21">
        <v>7</v>
      </c>
      <c r="B8">
        <v>45.415660000000003</v>
      </c>
      <c r="C8">
        <v>-92.095140000000001</v>
      </c>
      <c r="D8" s="3">
        <v>6</v>
      </c>
      <c r="E8" s="3" t="s">
        <v>468</v>
      </c>
      <c r="F8" s="95">
        <v>1</v>
      </c>
      <c r="G8" s="21">
        <v>1</v>
      </c>
      <c r="H8" s="77">
        <v>0</v>
      </c>
      <c r="I8" s="3">
        <v>1</v>
      </c>
      <c r="J8" s="7">
        <v>1</v>
      </c>
      <c r="K8" s="2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92">
        <v>2</v>
      </c>
    </row>
    <row r="9" spans="1:17">
      <c r="A9" s="21">
        <v>8</v>
      </c>
      <c r="B9">
        <v>45.415669999999999</v>
      </c>
      <c r="C9">
        <v>-92.094819999999999</v>
      </c>
      <c r="D9" s="3">
        <v>12.5</v>
      </c>
      <c r="E9" s="3" t="s">
        <v>468</v>
      </c>
      <c r="F9" s="95">
        <v>1</v>
      </c>
      <c r="G9" s="21">
        <v>1</v>
      </c>
      <c r="H9" s="77">
        <v>0</v>
      </c>
      <c r="I9" s="3">
        <v>2</v>
      </c>
      <c r="J9" s="7">
        <v>2</v>
      </c>
      <c r="K9" s="2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92">
        <v>0</v>
      </c>
    </row>
    <row r="10" spans="1:17">
      <c r="A10" s="21">
        <v>9</v>
      </c>
      <c r="B10">
        <v>45.415880000000001</v>
      </c>
      <c r="C10">
        <v>-92.095309999999998</v>
      </c>
      <c r="D10" s="3">
        <v>7</v>
      </c>
      <c r="E10" s="3" t="s">
        <v>468</v>
      </c>
      <c r="F10" s="95">
        <v>1</v>
      </c>
      <c r="G10" s="21">
        <v>1</v>
      </c>
      <c r="H10" s="77">
        <v>1</v>
      </c>
      <c r="I10" s="3">
        <v>2</v>
      </c>
      <c r="J10" s="7">
        <v>0</v>
      </c>
      <c r="K10" s="23">
        <v>0</v>
      </c>
      <c r="L10" s="3">
        <v>0</v>
      </c>
      <c r="M10" s="3">
        <v>0</v>
      </c>
      <c r="N10" s="3">
        <v>0</v>
      </c>
      <c r="O10" s="3">
        <v>0</v>
      </c>
      <c r="P10" s="3">
        <v>2</v>
      </c>
      <c r="Q10" s="92">
        <v>2</v>
      </c>
    </row>
    <row r="11" spans="1:17">
      <c r="A11" s="21">
        <v>10</v>
      </c>
      <c r="B11">
        <v>45.415889999999997</v>
      </c>
      <c r="C11">
        <v>-92.094989999999996</v>
      </c>
      <c r="D11" s="3">
        <v>12</v>
      </c>
      <c r="E11" s="3" t="s">
        <v>468</v>
      </c>
      <c r="F11" s="95">
        <v>1</v>
      </c>
      <c r="G11" s="21">
        <v>1</v>
      </c>
      <c r="H11" s="77">
        <v>0</v>
      </c>
      <c r="I11" s="3">
        <v>2</v>
      </c>
      <c r="J11" s="7">
        <v>2</v>
      </c>
      <c r="K11" s="2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92">
        <v>0</v>
      </c>
    </row>
    <row r="12" spans="1:17">
      <c r="A12" s="21">
        <v>11</v>
      </c>
      <c r="B12">
        <v>45.416089999999997</v>
      </c>
      <c r="C12">
        <v>-92.096109999999996</v>
      </c>
      <c r="D12" s="3">
        <v>2.5</v>
      </c>
      <c r="E12" s="3" t="s">
        <v>468</v>
      </c>
      <c r="F12" s="95">
        <v>1</v>
      </c>
      <c r="G12" s="21">
        <v>1</v>
      </c>
      <c r="H12" s="77">
        <v>1</v>
      </c>
      <c r="I12" s="3">
        <v>1</v>
      </c>
      <c r="J12" s="7">
        <v>0</v>
      </c>
      <c r="K12" s="23">
        <v>0</v>
      </c>
      <c r="L12" s="3">
        <v>0</v>
      </c>
      <c r="M12" s="3">
        <v>0</v>
      </c>
      <c r="N12" s="3">
        <v>0</v>
      </c>
      <c r="O12" s="3">
        <v>1</v>
      </c>
      <c r="P12" s="3">
        <v>0</v>
      </c>
      <c r="Q12" s="92">
        <v>3</v>
      </c>
    </row>
    <row r="13" spans="1:17">
      <c r="A13" s="21">
        <v>12</v>
      </c>
      <c r="B13">
        <v>45.4161</v>
      </c>
      <c r="C13">
        <v>-92.095789999999994</v>
      </c>
      <c r="D13" s="3">
        <v>4</v>
      </c>
      <c r="E13" s="3" t="s">
        <v>468</v>
      </c>
      <c r="F13" s="95">
        <v>1</v>
      </c>
      <c r="G13" s="21">
        <v>1</v>
      </c>
      <c r="H13" s="77">
        <v>3</v>
      </c>
      <c r="I13" s="3">
        <v>2</v>
      </c>
      <c r="J13" s="7">
        <v>2</v>
      </c>
      <c r="K13" s="23">
        <v>1</v>
      </c>
      <c r="L13" s="3">
        <v>0</v>
      </c>
      <c r="M13" s="3">
        <v>2</v>
      </c>
      <c r="N13" s="3">
        <v>0</v>
      </c>
      <c r="O13" s="3">
        <v>1</v>
      </c>
      <c r="P13" s="3">
        <v>0</v>
      </c>
      <c r="Q13" s="92">
        <v>2</v>
      </c>
    </row>
    <row r="14" spans="1:17">
      <c r="A14" s="21">
        <v>13</v>
      </c>
      <c r="B14">
        <v>45.4161</v>
      </c>
      <c r="C14">
        <v>-92.095479999999995</v>
      </c>
      <c r="D14" s="3">
        <v>7</v>
      </c>
      <c r="E14" s="3" t="s">
        <v>468</v>
      </c>
      <c r="F14" s="95">
        <v>1</v>
      </c>
      <c r="G14" s="21">
        <v>1</v>
      </c>
      <c r="H14" s="77">
        <v>2</v>
      </c>
      <c r="I14" s="3">
        <v>1</v>
      </c>
      <c r="J14" s="7">
        <v>0</v>
      </c>
      <c r="K14" s="23">
        <v>0</v>
      </c>
      <c r="L14" s="3">
        <v>0</v>
      </c>
      <c r="M14" s="3">
        <v>1</v>
      </c>
      <c r="N14" s="3">
        <v>1</v>
      </c>
      <c r="O14" s="3">
        <v>0</v>
      </c>
      <c r="P14" s="3">
        <v>0</v>
      </c>
      <c r="Q14" s="92">
        <v>2</v>
      </c>
    </row>
    <row r="15" spans="1:17">
      <c r="A15" s="21">
        <v>14</v>
      </c>
      <c r="B15">
        <v>45.416110000000003</v>
      </c>
      <c r="C15">
        <v>-92.095160000000007</v>
      </c>
      <c r="D15" s="3">
        <v>12</v>
      </c>
      <c r="E15" s="3" t="s">
        <v>469</v>
      </c>
      <c r="F15" s="95">
        <v>1</v>
      </c>
      <c r="G15" s="21">
        <v>1</v>
      </c>
      <c r="H15" s="77">
        <v>0</v>
      </c>
      <c r="I15" s="3">
        <v>1</v>
      </c>
      <c r="J15" s="7">
        <v>1</v>
      </c>
      <c r="K15" s="2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92">
        <v>0</v>
      </c>
    </row>
    <row r="16" spans="1:17">
      <c r="A16" s="21">
        <v>15</v>
      </c>
      <c r="B16">
        <v>45.416119999999999</v>
      </c>
      <c r="C16">
        <v>-92.094840000000005</v>
      </c>
      <c r="D16" s="3">
        <v>13</v>
      </c>
      <c r="E16" s="3" t="s">
        <v>468</v>
      </c>
      <c r="F16" s="95">
        <v>1</v>
      </c>
      <c r="G16" s="21">
        <v>1</v>
      </c>
      <c r="H16" s="77">
        <v>0</v>
      </c>
      <c r="I16" s="3">
        <v>1</v>
      </c>
      <c r="J16" s="7">
        <v>1</v>
      </c>
      <c r="K16" s="2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92">
        <v>0</v>
      </c>
    </row>
    <row r="17" spans="1:17">
      <c r="A17" s="21">
        <v>16</v>
      </c>
      <c r="B17">
        <v>45.416310000000003</v>
      </c>
      <c r="C17">
        <v>-92.096279999999993</v>
      </c>
      <c r="D17" s="3">
        <v>2.5</v>
      </c>
      <c r="E17" s="3" t="s">
        <v>468</v>
      </c>
      <c r="F17" s="95">
        <v>1</v>
      </c>
      <c r="G17" s="21">
        <v>1</v>
      </c>
      <c r="H17" s="77">
        <v>1</v>
      </c>
      <c r="I17" s="3">
        <v>1</v>
      </c>
      <c r="J17" s="7">
        <v>0</v>
      </c>
      <c r="K17" s="23">
        <v>0</v>
      </c>
      <c r="L17" s="3">
        <v>1</v>
      </c>
      <c r="M17" s="3">
        <v>0</v>
      </c>
      <c r="N17" s="3">
        <v>0</v>
      </c>
      <c r="O17" s="3">
        <v>0</v>
      </c>
      <c r="P17" s="3">
        <v>0</v>
      </c>
      <c r="Q17" s="92">
        <v>2</v>
      </c>
    </row>
    <row r="18" spans="1:17">
      <c r="A18" s="21">
        <v>17</v>
      </c>
      <c r="B18">
        <v>45.416319999999999</v>
      </c>
      <c r="C18">
        <v>-92.095960000000005</v>
      </c>
      <c r="D18" s="3">
        <v>3.5</v>
      </c>
      <c r="E18" s="3" t="s">
        <v>468</v>
      </c>
      <c r="F18" s="95">
        <v>1</v>
      </c>
      <c r="G18" s="21">
        <v>1</v>
      </c>
      <c r="H18" s="77">
        <v>1</v>
      </c>
      <c r="I18" s="3">
        <v>2</v>
      </c>
      <c r="J18" s="7">
        <v>2</v>
      </c>
      <c r="K18" s="23">
        <v>1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92">
        <v>2</v>
      </c>
    </row>
    <row r="19" spans="1:17">
      <c r="A19" s="21">
        <v>18</v>
      </c>
      <c r="B19">
        <v>45.416330000000002</v>
      </c>
      <c r="C19">
        <v>-92.095640000000003</v>
      </c>
      <c r="D19" s="3">
        <v>5</v>
      </c>
      <c r="E19" s="3" t="s">
        <v>468</v>
      </c>
      <c r="F19" s="95">
        <v>1</v>
      </c>
      <c r="G19" s="21">
        <v>1</v>
      </c>
      <c r="H19" s="77">
        <v>0</v>
      </c>
      <c r="I19" s="3">
        <v>2</v>
      </c>
      <c r="J19" s="7">
        <v>2</v>
      </c>
      <c r="K19" s="2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92">
        <v>2</v>
      </c>
    </row>
    <row r="20" spans="1:17">
      <c r="A20" s="21">
        <v>19</v>
      </c>
      <c r="B20">
        <v>45.416330000000002</v>
      </c>
      <c r="C20">
        <v>-92.095320000000001</v>
      </c>
      <c r="D20" s="3">
        <v>8</v>
      </c>
      <c r="E20" s="3" t="s">
        <v>470</v>
      </c>
      <c r="F20" s="95">
        <v>1</v>
      </c>
      <c r="G20" s="21">
        <v>1</v>
      </c>
      <c r="H20" s="77">
        <v>0</v>
      </c>
      <c r="I20" s="3">
        <v>1</v>
      </c>
      <c r="J20" s="7">
        <v>1</v>
      </c>
      <c r="K20" s="2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92">
        <v>1</v>
      </c>
    </row>
    <row r="21" spans="1:17">
      <c r="A21" s="21">
        <v>20</v>
      </c>
      <c r="B21">
        <v>45.416339999999998</v>
      </c>
      <c r="C21">
        <v>-92.094999999999999</v>
      </c>
      <c r="D21" s="3">
        <v>13.5</v>
      </c>
      <c r="E21" s="3" t="s">
        <v>468</v>
      </c>
      <c r="F21" s="95">
        <v>1</v>
      </c>
      <c r="G21" s="21">
        <v>0</v>
      </c>
      <c r="H21" s="77">
        <v>0</v>
      </c>
      <c r="I21" s="3">
        <v>0</v>
      </c>
      <c r="J21" s="7">
        <v>0</v>
      </c>
      <c r="K21" s="2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92">
        <v>1</v>
      </c>
    </row>
    <row r="22" spans="1:17">
      <c r="A22" s="21">
        <v>21</v>
      </c>
      <c r="B22">
        <v>45.416530000000002</v>
      </c>
      <c r="C22">
        <v>-92.096770000000006</v>
      </c>
      <c r="D22" s="3">
        <v>2.5</v>
      </c>
      <c r="E22" s="3" t="s">
        <v>468</v>
      </c>
      <c r="F22" s="95">
        <v>1</v>
      </c>
      <c r="G22" s="21">
        <v>1</v>
      </c>
      <c r="H22" s="77">
        <v>2</v>
      </c>
      <c r="I22" s="3">
        <v>2</v>
      </c>
      <c r="J22" s="7">
        <v>0</v>
      </c>
      <c r="K22" s="23">
        <v>2</v>
      </c>
      <c r="L22" s="3">
        <v>2</v>
      </c>
      <c r="M22" s="3">
        <v>0</v>
      </c>
      <c r="N22" s="3">
        <v>0</v>
      </c>
      <c r="O22" s="3">
        <v>0</v>
      </c>
      <c r="P22" s="3">
        <v>0</v>
      </c>
      <c r="Q22" s="92">
        <v>2</v>
      </c>
    </row>
    <row r="23" spans="1:17">
      <c r="A23" s="21">
        <v>22</v>
      </c>
      <c r="B23">
        <v>45.416539999999998</v>
      </c>
      <c r="C23">
        <v>-92.096450000000004</v>
      </c>
      <c r="D23" s="3">
        <v>3</v>
      </c>
      <c r="E23" s="3" t="s">
        <v>468</v>
      </c>
      <c r="F23" s="95">
        <v>1</v>
      </c>
      <c r="G23" s="21">
        <v>1</v>
      </c>
      <c r="H23" s="77">
        <v>1</v>
      </c>
      <c r="I23" s="3">
        <v>1</v>
      </c>
      <c r="J23" s="7">
        <v>1</v>
      </c>
      <c r="K23" s="23">
        <v>1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92">
        <v>3</v>
      </c>
    </row>
    <row r="24" spans="1:17">
      <c r="A24" s="21">
        <v>23</v>
      </c>
      <c r="B24">
        <v>45.416539999999998</v>
      </c>
      <c r="C24">
        <v>-92.096130000000002</v>
      </c>
      <c r="D24" s="3">
        <v>4.5</v>
      </c>
      <c r="E24" s="3" t="s">
        <v>468</v>
      </c>
      <c r="F24" s="95">
        <v>1</v>
      </c>
      <c r="G24" s="21">
        <v>1</v>
      </c>
      <c r="H24" s="77">
        <v>1</v>
      </c>
      <c r="I24" s="3">
        <v>1</v>
      </c>
      <c r="J24" s="7">
        <v>1</v>
      </c>
      <c r="K24" s="23">
        <v>1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92">
        <v>2</v>
      </c>
    </row>
    <row r="25" spans="1:17">
      <c r="A25" s="21">
        <v>24</v>
      </c>
      <c r="B25">
        <v>45.416550000000001</v>
      </c>
      <c r="C25">
        <v>-92.09581</v>
      </c>
      <c r="D25" s="3">
        <v>7</v>
      </c>
      <c r="E25" s="3" t="s">
        <v>468</v>
      </c>
      <c r="F25" s="95">
        <v>1</v>
      </c>
      <c r="G25" s="21">
        <v>1</v>
      </c>
      <c r="H25" s="77">
        <v>1</v>
      </c>
      <c r="I25" s="3">
        <v>2</v>
      </c>
      <c r="J25" s="7">
        <v>2</v>
      </c>
      <c r="K25" s="23">
        <v>1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92">
        <v>1</v>
      </c>
    </row>
    <row r="26" spans="1:17">
      <c r="A26" s="21">
        <v>25</v>
      </c>
      <c r="B26">
        <v>45.416550000000001</v>
      </c>
      <c r="C26">
        <v>-92.095489999999998</v>
      </c>
      <c r="D26" s="3">
        <v>11</v>
      </c>
      <c r="E26" s="3" t="s">
        <v>468</v>
      </c>
      <c r="F26" s="95">
        <v>1</v>
      </c>
      <c r="G26" s="21">
        <v>1</v>
      </c>
      <c r="H26" s="77">
        <v>0</v>
      </c>
      <c r="I26" s="3">
        <v>2</v>
      </c>
      <c r="J26" s="7">
        <v>2</v>
      </c>
      <c r="K26" s="2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92">
        <v>1</v>
      </c>
    </row>
    <row r="27" spans="1:17">
      <c r="A27" s="21">
        <v>26</v>
      </c>
      <c r="B27">
        <v>45.416559999999997</v>
      </c>
      <c r="C27">
        <v>-92.095169999999996</v>
      </c>
      <c r="D27" s="3">
        <v>13</v>
      </c>
      <c r="E27" s="3" t="s">
        <v>468</v>
      </c>
      <c r="F27" s="95">
        <v>1</v>
      </c>
      <c r="G27" s="21">
        <v>1</v>
      </c>
      <c r="H27" s="77">
        <v>1</v>
      </c>
      <c r="I27" s="3">
        <v>1</v>
      </c>
      <c r="J27" s="7">
        <v>0</v>
      </c>
      <c r="K27" s="23">
        <v>0</v>
      </c>
      <c r="L27" s="3">
        <v>0</v>
      </c>
      <c r="M27" s="3">
        <v>0</v>
      </c>
      <c r="N27" s="3">
        <v>0</v>
      </c>
      <c r="O27" s="3">
        <v>1</v>
      </c>
      <c r="P27" s="3">
        <v>0</v>
      </c>
      <c r="Q27" s="92">
        <v>0</v>
      </c>
    </row>
    <row r="28" spans="1:17">
      <c r="A28" s="21">
        <v>27</v>
      </c>
      <c r="B28">
        <v>45.416759999999996</v>
      </c>
      <c r="C28">
        <v>-92.096620000000001</v>
      </c>
      <c r="D28" s="3">
        <v>3</v>
      </c>
      <c r="E28" s="3" t="s">
        <v>468</v>
      </c>
      <c r="F28" s="95">
        <v>1</v>
      </c>
      <c r="G28" s="21">
        <v>1</v>
      </c>
      <c r="H28" s="77">
        <v>0</v>
      </c>
      <c r="I28" s="3">
        <v>1</v>
      </c>
      <c r="J28" s="7">
        <v>1</v>
      </c>
      <c r="K28" s="2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92">
        <v>3</v>
      </c>
    </row>
    <row r="29" spans="1:17">
      <c r="A29" s="21">
        <v>28</v>
      </c>
      <c r="B29">
        <v>45.416759999999996</v>
      </c>
      <c r="C29">
        <v>-92.096299999999999</v>
      </c>
      <c r="D29" s="3">
        <v>5</v>
      </c>
      <c r="E29" s="3" t="s">
        <v>468</v>
      </c>
      <c r="F29" s="95">
        <v>1</v>
      </c>
      <c r="G29" s="21">
        <v>1</v>
      </c>
      <c r="H29" s="77">
        <v>0</v>
      </c>
      <c r="I29" s="3">
        <v>2</v>
      </c>
      <c r="J29" s="7">
        <v>2</v>
      </c>
      <c r="K29" s="2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92">
        <v>1</v>
      </c>
    </row>
    <row r="30" spans="1:17">
      <c r="A30" s="21">
        <v>29</v>
      </c>
      <c r="B30">
        <v>45.41677</v>
      </c>
      <c r="C30">
        <v>-92.095979999999997</v>
      </c>
      <c r="D30" s="3">
        <v>8</v>
      </c>
      <c r="E30" s="3" t="s">
        <v>468</v>
      </c>
      <c r="F30" s="95">
        <v>1</v>
      </c>
      <c r="G30" s="21">
        <v>1</v>
      </c>
      <c r="H30" s="77">
        <v>1</v>
      </c>
      <c r="I30" s="3">
        <v>1</v>
      </c>
      <c r="J30" s="7">
        <v>1</v>
      </c>
      <c r="K30" s="23">
        <v>1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92">
        <v>1</v>
      </c>
    </row>
    <row r="31" spans="1:17">
      <c r="A31" s="21">
        <v>30</v>
      </c>
      <c r="B31">
        <v>45.416780000000003</v>
      </c>
      <c r="C31">
        <v>-92.095659999999995</v>
      </c>
      <c r="D31" s="3">
        <v>10.5</v>
      </c>
      <c r="E31" s="3" t="s">
        <v>468</v>
      </c>
      <c r="F31" s="95">
        <v>1</v>
      </c>
      <c r="G31" s="21">
        <v>1</v>
      </c>
      <c r="H31" s="77">
        <v>0</v>
      </c>
      <c r="I31" s="3">
        <v>2</v>
      </c>
      <c r="J31" s="7">
        <v>2</v>
      </c>
      <c r="K31" s="2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92">
        <v>1</v>
      </c>
    </row>
    <row r="32" spans="1:17">
      <c r="A32" s="21">
        <v>31</v>
      </c>
      <c r="B32">
        <v>45.416780000000003</v>
      </c>
      <c r="C32">
        <v>-92.095339999999993</v>
      </c>
      <c r="D32" s="3">
        <v>12</v>
      </c>
      <c r="E32" s="3" t="s">
        <v>468</v>
      </c>
      <c r="F32" s="95">
        <v>1</v>
      </c>
      <c r="G32" s="21">
        <v>1</v>
      </c>
      <c r="H32" s="77">
        <v>0</v>
      </c>
      <c r="I32" s="3">
        <v>2</v>
      </c>
      <c r="J32" s="7">
        <v>2</v>
      </c>
      <c r="K32" s="2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92">
        <v>1</v>
      </c>
    </row>
    <row r="33" spans="1:17">
      <c r="A33" s="21">
        <v>32</v>
      </c>
      <c r="B33">
        <v>45.416789999999999</v>
      </c>
      <c r="C33">
        <v>-92.095020000000005</v>
      </c>
      <c r="D33" s="3">
        <v>14</v>
      </c>
      <c r="E33" s="3" t="s">
        <v>468</v>
      </c>
      <c r="F33" s="95">
        <v>1</v>
      </c>
      <c r="G33" s="21">
        <v>1</v>
      </c>
      <c r="H33" s="77">
        <v>0</v>
      </c>
      <c r="I33" s="3">
        <v>1</v>
      </c>
      <c r="J33" s="7">
        <v>1</v>
      </c>
      <c r="K33" s="2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92">
        <v>1</v>
      </c>
    </row>
    <row r="34" spans="1:17">
      <c r="A34" s="21">
        <v>33</v>
      </c>
      <c r="B34">
        <v>45.416980000000002</v>
      </c>
      <c r="C34">
        <v>-92.096789999999999</v>
      </c>
      <c r="D34" s="3">
        <v>3.5</v>
      </c>
      <c r="E34" s="3" t="s">
        <v>468</v>
      </c>
      <c r="F34" s="95">
        <v>1</v>
      </c>
      <c r="G34" s="21">
        <v>1</v>
      </c>
      <c r="H34" s="77">
        <v>1</v>
      </c>
      <c r="I34" s="3">
        <v>2</v>
      </c>
      <c r="J34" s="7">
        <v>1</v>
      </c>
      <c r="K34" s="23">
        <v>2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92">
        <v>2</v>
      </c>
    </row>
    <row r="35" spans="1:17">
      <c r="A35" s="21">
        <v>34</v>
      </c>
      <c r="B35">
        <v>45.416989999999998</v>
      </c>
      <c r="C35">
        <v>-92.096469999999997</v>
      </c>
      <c r="D35" s="3">
        <v>6.5</v>
      </c>
      <c r="E35" s="3" t="s">
        <v>468</v>
      </c>
      <c r="F35" s="95">
        <v>1</v>
      </c>
      <c r="G35" s="21">
        <v>1</v>
      </c>
      <c r="H35" s="77">
        <v>0</v>
      </c>
      <c r="I35" s="3">
        <v>2</v>
      </c>
      <c r="J35" s="7">
        <v>2</v>
      </c>
      <c r="K35" s="2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92">
        <v>1</v>
      </c>
    </row>
    <row r="36" spans="1:17">
      <c r="A36" s="21">
        <v>35</v>
      </c>
      <c r="B36">
        <v>45.416989999999998</v>
      </c>
      <c r="C36">
        <v>-92.096149999999994</v>
      </c>
      <c r="D36" s="3">
        <v>8</v>
      </c>
      <c r="E36" s="3" t="s">
        <v>468</v>
      </c>
      <c r="F36" s="95">
        <v>1</v>
      </c>
      <c r="G36" s="21">
        <v>1</v>
      </c>
      <c r="H36" s="77">
        <v>0</v>
      </c>
      <c r="I36" s="3">
        <v>2</v>
      </c>
      <c r="J36" s="7">
        <v>2</v>
      </c>
      <c r="K36" s="2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92">
        <v>1</v>
      </c>
    </row>
    <row r="37" spans="1:17">
      <c r="A37" s="21">
        <v>36</v>
      </c>
      <c r="B37">
        <v>45.417000000000002</v>
      </c>
      <c r="C37">
        <v>-92.095830000000007</v>
      </c>
      <c r="D37" s="3">
        <v>10.5</v>
      </c>
      <c r="E37" s="3" t="s">
        <v>468</v>
      </c>
      <c r="F37" s="95">
        <v>1</v>
      </c>
      <c r="G37" s="21">
        <v>1</v>
      </c>
      <c r="H37" s="77">
        <v>0</v>
      </c>
      <c r="I37" s="3">
        <v>2</v>
      </c>
      <c r="J37" s="7">
        <v>2</v>
      </c>
      <c r="K37" s="2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92">
        <v>0</v>
      </c>
    </row>
    <row r="38" spans="1:17">
      <c r="A38" s="21">
        <v>37</v>
      </c>
      <c r="B38">
        <v>45.417000000000002</v>
      </c>
      <c r="C38">
        <v>-92.095510000000004</v>
      </c>
      <c r="D38" s="3">
        <v>11.5</v>
      </c>
      <c r="E38" s="3" t="s">
        <v>468</v>
      </c>
      <c r="F38" s="95">
        <v>1</v>
      </c>
      <c r="G38" s="21">
        <v>1</v>
      </c>
      <c r="H38" s="77">
        <v>0</v>
      </c>
      <c r="I38" s="3">
        <v>3</v>
      </c>
      <c r="J38" s="7">
        <v>3</v>
      </c>
      <c r="K38" s="2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92">
        <v>0</v>
      </c>
    </row>
    <row r="39" spans="1:17">
      <c r="A39" s="21">
        <v>38</v>
      </c>
      <c r="B39">
        <v>45.417009999999998</v>
      </c>
      <c r="C39">
        <v>-92.095190000000002</v>
      </c>
      <c r="D39" s="3">
        <v>13</v>
      </c>
      <c r="E39" s="3" t="s">
        <v>468</v>
      </c>
      <c r="F39" s="95">
        <v>1</v>
      </c>
      <c r="G39" s="21">
        <v>1</v>
      </c>
      <c r="H39" s="77">
        <v>0</v>
      </c>
      <c r="I39" s="3">
        <v>1</v>
      </c>
      <c r="J39" s="7">
        <v>1</v>
      </c>
      <c r="K39" s="2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92">
        <v>0</v>
      </c>
    </row>
    <row r="40" spans="1:17">
      <c r="A40" s="21">
        <v>39</v>
      </c>
      <c r="B40">
        <v>45.417020000000001</v>
      </c>
      <c r="C40">
        <v>-92.09487</v>
      </c>
      <c r="D40" s="3">
        <v>14</v>
      </c>
      <c r="E40" s="3" t="s">
        <v>468</v>
      </c>
      <c r="F40" s="95">
        <v>1</v>
      </c>
      <c r="G40" s="21">
        <v>0</v>
      </c>
      <c r="H40" s="77">
        <v>0</v>
      </c>
      <c r="I40" s="3">
        <v>0</v>
      </c>
      <c r="J40" s="7">
        <v>0</v>
      </c>
      <c r="K40" s="2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92">
        <v>1</v>
      </c>
    </row>
    <row r="41" spans="1:17">
      <c r="A41" s="21">
        <v>40</v>
      </c>
      <c r="B41">
        <v>45.417209999999997</v>
      </c>
      <c r="C41">
        <v>-92.096630000000005</v>
      </c>
      <c r="D41" s="3">
        <v>5.5</v>
      </c>
      <c r="E41" s="3" t="s">
        <v>468</v>
      </c>
      <c r="F41" s="95">
        <v>1</v>
      </c>
      <c r="G41" s="21">
        <v>1</v>
      </c>
      <c r="H41" s="77">
        <v>2</v>
      </c>
      <c r="I41" s="3">
        <v>3</v>
      </c>
      <c r="J41" s="7">
        <v>3</v>
      </c>
      <c r="K41" s="23">
        <v>1</v>
      </c>
      <c r="L41" s="3">
        <v>0</v>
      </c>
      <c r="M41" s="3">
        <v>0</v>
      </c>
      <c r="N41" s="3">
        <v>0</v>
      </c>
      <c r="O41" s="3">
        <v>1</v>
      </c>
      <c r="P41" s="3">
        <v>0</v>
      </c>
      <c r="Q41" s="92">
        <v>1</v>
      </c>
    </row>
    <row r="42" spans="1:17">
      <c r="A42" s="21">
        <v>41</v>
      </c>
      <c r="B42">
        <v>45.417209999999997</v>
      </c>
      <c r="C42">
        <v>-92.096320000000006</v>
      </c>
      <c r="D42" s="3">
        <v>8</v>
      </c>
      <c r="E42" s="3" t="s">
        <v>468</v>
      </c>
      <c r="F42" s="95">
        <v>1</v>
      </c>
      <c r="G42" s="21">
        <v>1</v>
      </c>
      <c r="H42" s="77">
        <v>0</v>
      </c>
      <c r="I42" s="3">
        <v>1</v>
      </c>
      <c r="J42" s="7">
        <v>1</v>
      </c>
      <c r="K42" s="2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92">
        <v>0</v>
      </c>
    </row>
    <row r="43" spans="1:17">
      <c r="A43" s="21">
        <v>42</v>
      </c>
      <c r="B43">
        <v>45.41722</v>
      </c>
      <c r="C43">
        <v>-92.096000000000004</v>
      </c>
      <c r="D43" s="3">
        <v>10</v>
      </c>
      <c r="E43" s="3" t="s">
        <v>468</v>
      </c>
      <c r="F43" s="95">
        <v>1</v>
      </c>
      <c r="G43" s="21">
        <v>1</v>
      </c>
      <c r="H43" s="77">
        <v>0</v>
      </c>
      <c r="I43" s="3">
        <v>2</v>
      </c>
      <c r="J43" s="7">
        <v>2</v>
      </c>
      <c r="K43" s="2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92">
        <v>0</v>
      </c>
    </row>
    <row r="44" spans="1:17">
      <c r="A44" s="21">
        <v>43</v>
      </c>
      <c r="B44">
        <v>45.417230000000004</v>
      </c>
      <c r="C44">
        <v>-92.095680000000002</v>
      </c>
      <c r="D44" s="3">
        <v>10.5</v>
      </c>
      <c r="E44" s="3" t="s">
        <v>468</v>
      </c>
      <c r="F44" s="95">
        <v>1</v>
      </c>
      <c r="G44" s="21">
        <v>0</v>
      </c>
      <c r="H44" s="77">
        <v>0</v>
      </c>
      <c r="I44" s="3">
        <v>0</v>
      </c>
      <c r="J44" s="7">
        <v>0</v>
      </c>
      <c r="K44" s="2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92">
        <v>0</v>
      </c>
    </row>
    <row r="45" spans="1:17">
      <c r="A45" s="21">
        <v>44</v>
      </c>
      <c r="B45">
        <v>45.417230000000004</v>
      </c>
      <c r="C45">
        <v>-92.095359999999999</v>
      </c>
      <c r="D45" s="3">
        <v>11</v>
      </c>
      <c r="E45" s="3" t="s">
        <v>468</v>
      </c>
      <c r="F45" s="95">
        <v>1</v>
      </c>
      <c r="G45" s="21">
        <v>1</v>
      </c>
      <c r="H45" s="77">
        <v>0</v>
      </c>
      <c r="I45" s="3">
        <v>3</v>
      </c>
      <c r="J45" s="7">
        <v>3</v>
      </c>
      <c r="K45" s="2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92">
        <v>0</v>
      </c>
    </row>
    <row r="46" spans="1:17">
      <c r="A46" s="21">
        <v>45</v>
      </c>
      <c r="B46">
        <v>45.41724</v>
      </c>
      <c r="C46">
        <v>-92.095039999999997</v>
      </c>
      <c r="D46" s="3">
        <v>11</v>
      </c>
      <c r="E46" s="3" t="s">
        <v>468</v>
      </c>
      <c r="F46" s="95">
        <v>1</v>
      </c>
      <c r="G46" s="21">
        <v>1</v>
      </c>
      <c r="H46" s="77">
        <v>0</v>
      </c>
      <c r="I46" s="3">
        <v>2</v>
      </c>
      <c r="J46" s="7">
        <v>2</v>
      </c>
      <c r="K46" s="2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92">
        <v>1</v>
      </c>
    </row>
    <row r="47" spans="1:17">
      <c r="A47" s="21">
        <v>46</v>
      </c>
      <c r="B47">
        <v>45.41742</v>
      </c>
      <c r="C47">
        <v>-92.097120000000004</v>
      </c>
      <c r="D47" s="3">
        <v>3.5</v>
      </c>
      <c r="E47" s="3" t="s">
        <v>468</v>
      </c>
      <c r="F47" s="95">
        <v>1</v>
      </c>
      <c r="G47" s="21">
        <v>1</v>
      </c>
      <c r="H47" s="77">
        <v>1</v>
      </c>
      <c r="I47" s="3">
        <v>2</v>
      </c>
      <c r="J47" s="7">
        <v>2</v>
      </c>
      <c r="K47" s="23">
        <v>0</v>
      </c>
      <c r="L47" s="3">
        <v>0</v>
      </c>
      <c r="M47" s="3">
        <v>0</v>
      </c>
      <c r="N47" s="3">
        <v>0</v>
      </c>
      <c r="O47" s="3">
        <v>2</v>
      </c>
      <c r="P47" s="3">
        <v>0</v>
      </c>
      <c r="Q47" s="92">
        <v>1</v>
      </c>
    </row>
    <row r="48" spans="1:17">
      <c r="A48" s="21">
        <v>47</v>
      </c>
      <c r="B48">
        <v>45.417430000000003</v>
      </c>
      <c r="C48">
        <v>-92.096800000000002</v>
      </c>
      <c r="D48" s="3">
        <v>6.5</v>
      </c>
      <c r="E48" s="3" t="s">
        <v>468</v>
      </c>
      <c r="F48" s="95">
        <v>1</v>
      </c>
      <c r="G48" s="21">
        <v>1</v>
      </c>
      <c r="H48" s="77">
        <v>1</v>
      </c>
      <c r="I48" s="3">
        <v>3</v>
      </c>
      <c r="J48" s="7">
        <v>3</v>
      </c>
      <c r="K48" s="23">
        <v>1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92">
        <v>0</v>
      </c>
    </row>
    <row r="49" spans="1:17">
      <c r="A49" s="21">
        <v>48</v>
      </c>
      <c r="B49">
        <v>45.417439999999999</v>
      </c>
      <c r="C49">
        <v>-92.09648</v>
      </c>
      <c r="D49" s="3">
        <v>7</v>
      </c>
      <c r="E49" s="3" t="s">
        <v>468</v>
      </c>
      <c r="F49" s="95">
        <v>1</v>
      </c>
      <c r="G49" s="21">
        <v>1</v>
      </c>
      <c r="H49" s="77">
        <v>0</v>
      </c>
      <c r="I49" s="3">
        <v>3</v>
      </c>
      <c r="J49" s="7">
        <v>3</v>
      </c>
      <c r="K49" s="2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92">
        <v>2</v>
      </c>
    </row>
    <row r="50" spans="1:17">
      <c r="A50" s="21">
        <v>49</v>
      </c>
      <c r="B50">
        <v>45.417439999999999</v>
      </c>
      <c r="C50">
        <v>-92.096159999999998</v>
      </c>
      <c r="D50" s="3">
        <v>7</v>
      </c>
      <c r="E50" s="3" t="s">
        <v>468</v>
      </c>
      <c r="F50" s="95">
        <v>1</v>
      </c>
      <c r="G50" s="21">
        <v>1</v>
      </c>
      <c r="H50" s="77">
        <v>1</v>
      </c>
      <c r="I50" s="3">
        <v>1</v>
      </c>
      <c r="J50" s="7">
        <v>1</v>
      </c>
      <c r="K50" s="23">
        <v>1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92">
        <v>0</v>
      </c>
    </row>
    <row r="51" spans="1:17">
      <c r="A51" s="21">
        <v>50</v>
      </c>
      <c r="B51">
        <v>45.417450000000002</v>
      </c>
      <c r="C51">
        <v>-92.095839999999995</v>
      </c>
      <c r="D51" s="3">
        <v>7</v>
      </c>
      <c r="E51" s="3" t="s">
        <v>468</v>
      </c>
      <c r="F51" s="95">
        <v>1</v>
      </c>
      <c r="G51" s="21">
        <v>1</v>
      </c>
      <c r="H51" s="77">
        <v>1</v>
      </c>
      <c r="I51" s="3">
        <v>1</v>
      </c>
      <c r="J51" s="7">
        <v>1</v>
      </c>
      <c r="K51" s="23">
        <v>0</v>
      </c>
      <c r="L51" s="3">
        <v>0</v>
      </c>
      <c r="M51" s="3">
        <v>0</v>
      </c>
      <c r="N51" s="3">
        <v>0</v>
      </c>
      <c r="O51" s="3">
        <v>1</v>
      </c>
      <c r="P51" s="3">
        <v>0</v>
      </c>
      <c r="Q51" s="92">
        <v>1</v>
      </c>
    </row>
    <row r="52" spans="1:17">
      <c r="A52" s="21">
        <v>51</v>
      </c>
      <c r="B52">
        <v>45.417450000000002</v>
      </c>
      <c r="C52">
        <v>-92.095529999999997</v>
      </c>
      <c r="D52" s="3">
        <v>6.5</v>
      </c>
      <c r="E52" s="3" t="s">
        <v>468</v>
      </c>
      <c r="F52" s="95">
        <v>1</v>
      </c>
      <c r="G52" s="21">
        <v>1</v>
      </c>
      <c r="H52" s="77">
        <v>2</v>
      </c>
      <c r="I52" s="3">
        <v>2</v>
      </c>
      <c r="J52" s="7">
        <v>1</v>
      </c>
      <c r="K52" s="23">
        <v>2</v>
      </c>
      <c r="L52" s="3">
        <v>0</v>
      </c>
      <c r="M52" s="3">
        <v>0</v>
      </c>
      <c r="N52" s="3">
        <v>0</v>
      </c>
      <c r="O52" s="3">
        <v>1</v>
      </c>
      <c r="P52" s="3">
        <v>0</v>
      </c>
      <c r="Q52" s="92">
        <v>1</v>
      </c>
    </row>
    <row r="53" spans="1:17">
      <c r="A53" s="21">
        <v>52</v>
      </c>
      <c r="B53">
        <v>45.417650000000002</v>
      </c>
      <c r="C53">
        <v>-92.097290000000001</v>
      </c>
      <c r="D53" s="3">
        <v>3.5</v>
      </c>
      <c r="E53" s="3" t="s">
        <v>468</v>
      </c>
      <c r="F53" s="95">
        <v>1</v>
      </c>
      <c r="G53" s="21">
        <v>1</v>
      </c>
      <c r="H53" s="77">
        <v>3</v>
      </c>
      <c r="I53" s="3">
        <v>2</v>
      </c>
      <c r="J53" s="7">
        <v>2</v>
      </c>
      <c r="K53" s="23">
        <v>1</v>
      </c>
      <c r="L53" s="3">
        <v>0</v>
      </c>
      <c r="M53" s="3">
        <v>1</v>
      </c>
      <c r="N53" s="3">
        <v>0</v>
      </c>
      <c r="O53" s="3">
        <v>1</v>
      </c>
      <c r="P53" s="3">
        <v>0</v>
      </c>
      <c r="Q53" s="92">
        <v>0</v>
      </c>
    </row>
    <row r="54" spans="1:17">
      <c r="A54" s="21">
        <v>53</v>
      </c>
      <c r="B54">
        <v>45.417650000000002</v>
      </c>
      <c r="C54">
        <v>-92.096969999999999</v>
      </c>
      <c r="D54" s="3">
        <v>4.5</v>
      </c>
      <c r="E54" s="3" t="s">
        <v>468</v>
      </c>
      <c r="F54" s="95">
        <v>1</v>
      </c>
      <c r="G54" s="21">
        <v>1</v>
      </c>
      <c r="H54" s="77">
        <v>0</v>
      </c>
      <c r="I54" s="3">
        <v>2</v>
      </c>
      <c r="J54" s="7">
        <v>2</v>
      </c>
      <c r="K54" s="2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92">
        <v>2</v>
      </c>
    </row>
    <row r="55" spans="1:17">
      <c r="A55" s="21">
        <v>54</v>
      </c>
      <c r="B55">
        <v>45.417659999999998</v>
      </c>
      <c r="C55">
        <v>-92.096649999999997</v>
      </c>
      <c r="D55" s="3">
        <v>7</v>
      </c>
      <c r="E55" s="3" t="s">
        <v>468</v>
      </c>
      <c r="F55" s="95">
        <v>1</v>
      </c>
      <c r="G55" s="21">
        <v>1</v>
      </c>
      <c r="H55" s="77">
        <v>1</v>
      </c>
      <c r="I55" s="3">
        <v>2</v>
      </c>
      <c r="J55" s="7">
        <v>2</v>
      </c>
      <c r="K55" s="23">
        <v>1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92">
        <v>1</v>
      </c>
    </row>
    <row r="56" spans="1:17">
      <c r="A56" s="21">
        <v>55</v>
      </c>
      <c r="B56">
        <v>45.417659999999998</v>
      </c>
      <c r="C56">
        <v>-92.096329999999995</v>
      </c>
      <c r="D56" s="3">
        <v>8</v>
      </c>
      <c r="E56" s="3" t="s">
        <v>468</v>
      </c>
      <c r="F56" s="95">
        <v>1</v>
      </c>
      <c r="G56" s="21">
        <v>1</v>
      </c>
      <c r="H56" s="77">
        <v>0</v>
      </c>
      <c r="I56" s="3">
        <v>2</v>
      </c>
      <c r="J56" s="7">
        <v>2</v>
      </c>
      <c r="K56" s="2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92">
        <v>1</v>
      </c>
    </row>
    <row r="57" spans="1:17">
      <c r="A57" s="21">
        <v>56</v>
      </c>
      <c r="B57">
        <v>45.417670000000001</v>
      </c>
      <c r="C57">
        <v>-92.096010000000007</v>
      </c>
      <c r="D57" s="3">
        <v>7</v>
      </c>
      <c r="E57" s="3" t="s">
        <v>468</v>
      </c>
      <c r="F57" s="95">
        <v>1</v>
      </c>
      <c r="G57" s="21">
        <v>1</v>
      </c>
      <c r="H57" s="77">
        <v>0</v>
      </c>
      <c r="I57" s="3">
        <v>3</v>
      </c>
      <c r="J57" s="7">
        <v>3</v>
      </c>
      <c r="K57" s="2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92">
        <v>3</v>
      </c>
    </row>
    <row r="58" spans="1:17">
      <c r="A58" s="21">
        <v>57</v>
      </c>
      <c r="B58">
        <v>45.417679999999997</v>
      </c>
      <c r="C58">
        <v>-92.095690000000005</v>
      </c>
      <c r="D58" s="3">
        <v>5.5</v>
      </c>
      <c r="E58" s="3" t="s">
        <v>468</v>
      </c>
      <c r="F58" s="95">
        <v>1</v>
      </c>
      <c r="G58" s="21">
        <v>1</v>
      </c>
      <c r="H58" s="77">
        <v>1</v>
      </c>
      <c r="I58" s="3">
        <v>1</v>
      </c>
      <c r="J58" s="7">
        <v>1</v>
      </c>
      <c r="K58" s="23">
        <v>1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92">
        <v>1</v>
      </c>
    </row>
    <row r="59" spans="1:17">
      <c r="A59" s="21">
        <v>58</v>
      </c>
      <c r="B59">
        <v>45.417870000000001</v>
      </c>
      <c r="C59">
        <v>-92.097459999999998</v>
      </c>
      <c r="D59" s="3">
        <v>3.5</v>
      </c>
      <c r="E59" s="3" t="s">
        <v>468</v>
      </c>
      <c r="F59" s="95">
        <v>1</v>
      </c>
      <c r="G59" s="21">
        <v>1</v>
      </c>
      <c r="H59" s="77">
        <v>1</v>
      </c>
      <c r="I59" s="3">
        <v>1</v>
      </c>
      <c r="J59" s="7">
        <v>1</v>
      </c>
      <c r="K59" s="23">
        <v>0</v>
      </c>
      <c r="L59" s="3">
        <v>0</v>
      </c>
      <c r="M59" s="3">
        <v>1</v>
      </c>
      <c r="N59" s="3">
        <v>0</v>
      </c>
      <c r="O59" s="3">
        <v>0</v>
      </c>
      <c r="P59" s="3">
        <v>0</v>
      </c>
      <c r="Q59" s="92">
        <v>2</v>
      </c>
    </row>
    <row r="60" spans="1:17">
      <c r="A60" s="21">
        <v>59</v>
      </c>
      <c r="B60">
        <v>45.417870000000001</v>
      </c>
      <c r="C60">
        <v>-92.097139999999996</v>
      </c>
      <c r="D60" s="3">
        <v>4.5</v>
      </c>
      <c r="E60" s="3" t="s">
        <v>468</v>
      </c>
      <c r="F60" s="95">
        <v>1</v>
      </c>
      <c r="G60" s="21">
        <v>1</v>
      </c>
      <c r="H60" s="77">
        <v>1</v>
      </c>
      <c r="I60" s="3">
        <v>2</v>
      </c>
      <c r="J60" s="7">
        <v>2</v>
      </c>
      <c r="K60" s="23">
        <v>0</v>
      </c>
      <c r="L60" s="3">
        <v>0</v>
      </c>
      <c r="M60" s="3">
        <v>1</v>
      </c>
      <c r="N60" s="3">
        <v>0</v>
      </c>
      <c r="O60" s="3">
        <v>0</v>
      </c>
      <c r="P60" s="3">
        <v>0</v>
      </c>
      <c r="Q60" s="92">
        <v>1</v>
      </c>
    </row>
    <row r="61" spans="1:17">
      <c r="A61" s="21">
        <v>60</v>
      </c>
      <c r="B61">
        <v>45.417879999999997</v>
      </c>
      <c r="C61">
        <v>-92.096819999999994</v>
      </c>
      <c r="D61" s="3">
        <v>5</v>
      </c>
      <c r="E61" s="3" t="s">
        <v>468</v>
      </c>
      <c r="F61" s="95">
        <v>1</v>
      </c>
      <c r="G61" s="21">
        <v>1</v>
      </c>
      <c r="H61" s="77">
        <v>0</v>
      </c>
      <c r="I61" s="3">
        <v>2</v>
      </c>
      <c r="J61" s="7">
        <v>2</v>
      </c>
      <c r="K61" s="2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92">
        <v>1</v>
      </c>
    </row>
    <row r="62" spans="1:17">
      <c r="A62" s="21">
        <v>61</v>
      </c>
      <c r="B62">
        <v>45.41789</v>
      </c>
      <c r="C62">
        <v>-92.096500000000006</v>
      </c>
      <c r="D62" s="3">
        <v>5.5</v>
      </c>
      <c r="E62" s="3" t="s">
        <v>468</v>
      </c>
      <c r="F62" s="95">
        <v>1</v>
      </c>
      <c r="G62" s="21">
        <v>1</v>
      </c>
      <c r="H62" s="77">
        <v>1</v>
      </c>
      <c r="I62" s="3">
        <v>2</v>
      </c>
      <c r="J62" s="7">
        <v>2</v>
      </c>
      <c r="K62" s="23">
        <v>1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92">
        <v>1</v>
      </c>
    </row>
    <row r="63" spans="1:17">
      <c r="A63" s="21">
        <v>62</v>
      </c>
      <c r="B63">
        <v>45.41789</v>
      </c>
      <c r="C63">
        <v>-92.096180000000004</v>
      </c>
      <c r="D63" s="3">
        <v>6</v>
      </c>
      <c r="E63" s="3" t="s">
        <v>468</v>
      </c>
      <c r="F63" s="95">
        <v>1</v>
      </c>
      <c r="G63" s="21">
        <v>1</v>
      </c>
      <c r="H63" s="77">
        <v>0</v>
      </c>
      <c r="I63" s="3">
        <v>2</v>
      </c>
      <c r="J63" s="7">
        <v>2</v>
      </c>
      <c r="K63" s="2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92">
        <v>1</v>
      </c>
    </row>
    <row r="64" spans="1:17">
      <c r="A64" s="21">
        <v>63</v>
      </c>
      <c r="B64">
        <v>45.418100000000003</v>
      </c>
      <c r="C64">
        <v>-92.097309999999993</v>
      </c>
      <c r="D64" s="3">
        <v>3</v>
      </c>
      <c r="E64" s="3" t="s">
        <v>468</v>
      </c>
      <c r="F64" s="95">
        <v>1</v>
      </c>
      <c r="G64" s="21">
        <v>1</v>
      </c>
      <c r="H64" s="77">
        <v>1</v>
      </c>
      <c r="I64" s="3">
        <v>2</v>
      </c>
      <c r="J64" s="7">
        <v>2</v>
      </c>
      <c r="K64" s="23">
        <v>1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92">
        <v>2</v>
      </c>
    </row>
    <row r="65" spans="1:17">
      <c r="A65" s="21">
        <v>64</v>
      </c>
      <c r="B65">
        <v>45.418100000000003</v>
      </c>
      <c r="C65">
        <v>-92.096990000000005</v>
      </c>
      <c r="D65" s="3">
        <v>4</v>
      </c>
      <c r="E65" s="3" t="s">
        <v>468</v>
      </c>
      <c r="F65" s="95">
        <v>1</v>
      </c>
      <c r="G65" s="21">
        <v>1</v>
      </c>
      <c r="H65" s="77">
        <v>1</v>
      </c>
      <c r="I65" s="3">
        <v>2</v>
      </c>
      <c r="J65" s="7">
        <v>2</v>
      </c>
      <c r="K65" s="23">
        <v>1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92">
        <v>2</v>
      </c>
    </row>
    <row r="66" spans="1:17">
      <c r="A66" s="21">
        <v>65</v>
      </c>
      <c r="B66">
        <v>45.418109999999999</v>
      </c>
      <c r="C66">
        <v>-92.096670000000003</v>
      </c>
      <c r="D66" s="3">
        <v>4</v>
      </c>
      <c r="E66" s="3" t="s">
        <v>468</v>
      </c>
      <c r="F66" s="95">
        <v>1</v>
      </c>
      <c r="G66" s="21">
        <v>1</v>
      </c>
      <c r="H66" s="77">
        <v>1</v>
      </c>
      <c r="I66" s="3">
        <v>2</v>
      </c>
      <c r="J66" s="7">
        <v>2</v>
      </c>
      <c r="K66" s="23">
        <v>1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92">
        <v>2</v>
      </c>
    </row>
    <row r="67" spans="1:17">
      <c r="A67" s="21">
        <v>66</v>
      </c>
      <c r="B67">
        <v>45.418109999999999</v>
      </c>
      <c r="C67">
        <v>-92.096350000000001</v>
      </c>
      <c r="D67" s="3">
        <v>4.5</v>
      </c>
      <c r="E67" s="3" t="s">
        <v>468</v>
      </c>
      <c r="F67" s="95">
        <v>1</v>
      </c>
      <c r="G67" s="21">
        <v>1</v>
      </c>
      <c r="H67" s="77">
        <v>0</v>
      </c>
      <c r="I67" s="3">
        <v>2</v>
      </c>
      <c r="J67" s="7">
        <v>2</v>
      </c>
      <c r="K67" s="2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92">
        <v>2</v>
      </c>
    </row>
    <row r="68" spans="1:17">
      <c r="B68" s="23"/>
      <c r="C68" s="23"/>
      <c r="D68" s="23"/>
      <c r="E68" s="23"/>
      <c r="I68" s="23"/>
      <c r="J68" s="23"/>
      <c r="K68" s="23"/>
      <c r="L68" s="23"/>
      <c r="M68" s="23"/>
      <c r="N68" s="23"/>
      <c r="O68" s="23"/>
      <c r="P68" s="23"/>
      <c r="Q68" s="23"/>
    </row>
  </sheetData>
  <sheetProtection formatCells="0" sort="0"/>
  <protectedRanges>
    <protectedRange sqref="I2:I8 E2:E67" name="Range1_3"/>
    <protectedRange sqref="B2:C8" name="Range1_1_1"/>
  </protectedRanges>
  <dataValidations count="6">
    <dataValidation type="decimal" allowBlank="1" showInputMessage="1" showErrorMessage="1" error="Is your depth really more than 99 feet?" sqref="D2:D67 D69:D64395">
      <formula1>0.1</formula1>
      <formula2>99</formula2>
    </dataValidation>
    <dataValidation type="list" allowBlank="1" showInputMessage="1" showErrorMessage="1" error="Please enter M (muck), S (sand), or R (rock).  If sediment type unknown, leave cell blank." sqref="E2:E67">
      <formula1>"M,m,s,S,R,r"</formula1>
    </dataValidation>
    <dataValidation type="list" allowBlank="1" showInputMessage="1" showErrorMessage="1" error="Please enter an overall rake fullness of 1, 2, 3 or leave cell blank if no plants found" sqref="I2:I67">
      <formula1>"1,2,3"</formula1>
    </dataValidation>
    <dataValidation type="whole" allowBlank="1" showInputMessage="1" showErrorMessage="1" errorTitle="Presence/Absence Data" error="Enter 1 if present" sqref="L69:Q64395">
      <formula1>1</formula1>
      <formula2>1</formula2>
    </dataValidation>
    <dataValidation type="list" allowBlank="1" showInputMessage="1" showErrorMessage="1" sqref="I1 K1 I69:K64395">
      <formula1>"V,v,1,2,3"</formula1>
    </dataValidation>
    <dataValidation type="list" allowBlank="1" showInputMessage="1" showErrorMessage="1" error="Please enter a rake fullness rating of 1, 2, 3 or V (visual).  If species not found, leave cell blank." sqref="J2:Q67">
      <formula1>"V,v,1,2,3"</formula1>
    </dataValidation>
  </dataValidations>
  <printOptions headings="1" gridLines="1"/>
  <pageMargins left="0.75" right="0.75" top="1" bottom="1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B15"/>
  <sheetViews>
    <sheetView workbookViewId="0">
      <selection activeCell="B26" sqref="B26"/>
    </sheetView>
  </sheetViews>
  <sheetFormatPr defaultColWidth="4.7109375" defaultRowHeight="12.75"/>
  <cols>
    <col min="1" max="1" width="32.85546875" style="180" customWidth="1"/>
    <col min="2" max="2" width="74.28515625" style="180" customWidth="1"/>
    <col min="3" max="3" width="62.140625" style="180" customWidth="1"/>
    <col min="4" max="5" width="4.7109375" style="180"/>
    <col min="6" max="8" width="5.7109375" style="180" customWidth="1"/>
    <col min="9" max="9" width="8" style="180" customWidth="1"/>
    <col min="10" max="12" width="5.7109375" style="180" customWidth="1"/>
    <col min="13" max="16384" width="4.7109375" style="180"/>
  </cols>
  <sheetData>
    <row r="1" spans="1:2" ht="26.25">
      <c r="A1" s="179" t="s">
        <v>512</v>
      </c>
    </row>
    <row r="2" spans="1:2">
      <c r="A2" s="181" t="s">
        <v>45</v>
      </c>
      <c r="B2" s="180" t="s">
        <v>479</v>
      </c>
    </row>
    <row r="3" spans="1:2">
      <c r="A3" s="181" t="s">
        <v>24</v>
      </c>
      <c r="B3" s="180" t="s">
        <v>518</v>
      </c>
    </row>
    <row r="4" spans="1:2">
      <c r="A4" s="181" t="s">
        <v>513</v>
      </c>
      <c r="B4" s="182">
        <v>2079800</v>
      </c>
    </row>
    <row r="5" spans="1:2">
      <c r="A5" s="183" t="s">
        <v>514</v>
      </c>
      <c r="B5" s="184">
        <v>43269</v>
      </c>
    </row>
    <row r="6" spans="1:2">
      <c r="A6" s="183" t="s">
        <v>44</v>
      </c>
      <c r="B6" s="182" t="s">
        <v>321</v>
      </c>
    </row>
    <row r="7" spans="1:2">
      <c r="A7" s="183"/>
      <c r="B7" s="180" t="s">
        <v>507</v>
      </c>
    </row>
    <row r="8" spans="1:2">
      <c r="A8" s="183"/>
      <c r="B8" s="182"/>
    </row>
    <row r="9" spans="1:2">
      <c r="A9" s="183"/>
      <c r="B9" s="182"/>
    </row>
    <row r="10" spans="1:2">
      <c r="A10" s="185" t="s">
        <v>515</v>
      </c>
      <c r="B10" s="185" t="s">
        <v>516</v>
      </c>
    </row>
    <row r="11" spans="1:2">
      <c r="A11" s="186"/>
      <c r="B11" s="187"/>
    </row>
    <row r="13" spans="1:2">
      <c r="B13" s="185" t="s">
        <v>517</v>
      </c>
    </row>
    <row r="15" spans="1:2">
      <c r="B15" s="180" t="s">
        <v>519</v>
      </c>
    </row>
  </sheetData>
  <printOptions headings="1" gridLines="1"/>
  <pageMargins left="0.75" right="0.7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FM67"/>
  <sheetViews>
    <sheetView workbookViewId="0">
      <pane xSplit="10" ySplit="1" topLeftCell="K2" activePane="bottomRight" state="frozen"/>
      <selection pane="topRight" activeCell="K1" sqref="K1"/>
      <selection pane="bottomLeft" activeCell="A2" sqref="A2"/>
      <selection pane="bottomRight" activeCell="I4" sqref="I4:I7"/>
    </sheetView>
  </sheetViews>
  <sheetFormatPr defaultColWidth="5.7109375" defaultRowHeight="12.75"/>
  <cols>
    <col min="1" max="1" width="11.5703125" style="3" bestFit="1" customWidth="1"/>
    <col min="2" max="2" width="4.42578125" style="93" customWidth="1"/>
    <col min="3" max="4" width="7.85546875" style="93" customWidth="1"/>
    <col min="5" max="6" width="7" style="93" customWidth="1"/>
    <col min="7" max="8" width="4.42578125" style="93" customWidth="1"/>
    <col min="9" max="9" width="15.7109375" style="97" customWidth="1"/>
    <col min="10" max="10" width="5" style="23" bestFit="1" customWidth="1"/>
    <col min="11" max="11" width="11" style="3" customWidth="1"/>
    <col min="12" max="12" width="13.28515625" style="3" customWidth="1"/>
    <col min="13" max="15" width="5.7109375" style="3" customWidth="1"/>
    <col min="16" max="16" width="24.85546875" style="3" bestFit="1" customWidth="1"/>
    <col min="17" max="17" width="5.7109375" style="3" customWidth="1"/>
    <col min="18" max="19" width="6.7109375" style="3" customWidth="1"/>
    <col min="20" max="23" width="5.7109375" style="19" customWidth="1"/>
    <col min="24" max="155" width="5.7109375" style="3" customWidth="1"/>
    <col min="156" max="156" width="5.7109375" style="19" customWidth="1"/>
    <col min="157" max="16384" width="5.7109375" style="3"/>
  </cols>
  <sheetData>
    <row r="1" spans="1:169" s="2" customFormat="1" ht="190.15" customHeight="1">
      <c r="A1" s="56" t="s">
        <v>15</v>
      </c>
      <c r="B1" s="74" t="s">
        <v>20</v>
      </c>
      <c r="C1" s="74" t="s">
        <v>29</v>
      </c>
      <c r="D1" s="74" t="s">
        <v>30</v>
      </c>
      <c r="E1" s="75" t="s">
        <v>28</v>
      </c>
      <c r="F1" s="75" t="s">
        <v>325</v>
      </c>
      <c r="G1" s="76" t="s">
        <v>17</v>
      </c>
      <c r="H1" s="94" t="s">
        <v>18</v>
      </c>
      <c r="I1" s="57"/>
      <c r="J1" s="96" t="s">
        <v>0</v>
      </c>
      <c r="K1" s="4" t="s">
        <v>40</v>
      </c>
      <c r="L1" s="2" t="s">
        <v>21</v>
      </c>
      <c r="M1" s="20" t="s">
        <v>39</v>
      </c>
      <c r="N1" s="2" t="s">
        <v>326</v>
      </c>
      <c r="O1" s="2" t="s">
        <v>16</v>
      </c>
      <c r="P1" s="6" t="s">
        <v>4</v>
      </c>
      <c r="Q1" s="6" t="s">
        <v>41</v>
      </c>
      <c r="R1" s="16" t="s">
        <v>327</v>
      </c>
      <c r="S1" s="16" t="s">
        <v>38</v>
      </c>
      <c r="T1" s="80" t="s">
        <v>328</v>
      </c>
      <c r="U1" s="80" t="s">
        <v>322</v>
      </c>
      <c r="V1" s="80" t="s">
        <v>323</v>
      </c>
      <c r="W1" s="80" t="s">
        <v>324</v>
      </c>
      <c r="X1" s="5" t="s">
        <v>329</v>
      </c>
      <c r="Y1" s="5" t="s">
        <v>330</v>
      </c>
      <c r="Z1" s="5" t="s">
        <v>331</v>
      </c>
      <c r="AA1" s="5" t="s">
        <v>332</v>
      </c>
      <c r="AB1" s="5" t="s">
        <v>333</v>
      </c>
      <c r="AC1" s="5" t="s">
        <v>334</v>
      </c>
      <c r="AD1" s="5" t="s">
        <v>335</v>
      </c>
      <c r="AE1" s="5" t="s">
        <v>336</v>
      </c>
      <c r="AF1" s="5" t="s">
        <v>337</v>
      </c>
      <c r="AG1" s="5" t="s">
        <v>338</v>
      </c>
      <c r="AH1" s="5" t="s">
        <v>339</v>
      </c>
      <c r="AI1" s="5" t="s">
        <v>340</v>
      </c>
      <c r="AJ1" s="5" t="s">
        <v>341</v>
      </c>
      <c r="AK1" s="5" t="s">
        <v>342</v>
      </c>
      <c r="AL1" s="5" t="s">
        <v>343</v>
      </c>
      <c r="AM1" s="5" t="s">
        <v>344</v>
      </c>
      <c r="AN1" s="5" t="s">
        <v>345</v>
      </c>
      <c r="AO1" s="5" t="s">
        <v>346</v>
      </c>
      <c r="AP1" s="5" t="s">
        <v>347</v>
      </c>
      <c r="AQ1" s="5" t="s">
        <v>348</v>
      </c>
      <c r="AR1" s="5" t="s">
        <v>349</v>
      </c>
      <c r="AS1" s="5" t="s">
        <v>350</v>
      </c>
      <c r="AT1" s="5" t="s">
        <v>351</v>
      </c>
      <c r="AU1" s="5" t="s">
        <v>352</v>
      </c>
      <c r="AV1" s="5" t="s">
        <v>353</v>
      </c>
      <c r="AW1" s="5" t="s">
        <v>354</v>
      </c>
      <c r="AX1" s="5" t="s">
        <v>355</v>
      </c>
      <c r="AY1" s="5" t="s">
        <v>356</v>
      </c>
      <c r="AZ1" s="5" t="s">
        <v>357</v>
      </c>
      <c r="BA1" s="5" t="s">
        <v>358</v>
      </c>
      <c r="BB1" s="5" t="s">
        <v>359</v>
      </c>
      <c r="BC1" s="5" t="s">
        <v>360</v>
      </c>
      <c r="BD1" s="5" t="s">
        <v>361</v>
      </c>
      <c r="BE1" s="5" t="s">
        <v>362</v>
      </c>
      <c r="BF1" s="5" t="s">
        <v>363</v>
      </c>
      <c r="BG1" s="5" t="s">
        <v>364</v>
      </c>
      <c r="BH1" s="5" t="s">
        <v>365</v>
      </c>
      <c r="BI1" s="5" t="s">
        <v>366</v>
      </c>
      <c r="BJ1" s="5" t="s">
        <v>367</v>
      </c>
      <c r="BK1" s="5" t="s">
        <v>368</v>
      </c>
      <c r="BL1" s="5" t="s">
        <v>369</v>
      </c>
      <c r="BM1" s="5" t="s">
        <v>370</v>
      </c>
      <c r="BN1" s="5" t="s">
        <v>371</v>
      </c>
      <c r="BO1" s="5" t="s">
        <v>372</v>
      </c>
      <c r="BP1" s="5" t="s">
        <v>373</v>
      </c>
      <c r="BQ1" s="5" t="s">
        <v>374</v>
      </c>
      <c r="BR1" s="5" t="s">
        <v>375</v>
      </c>
      <c r="BS1" s="5" t="s">
        <v>376</v>
      </c>
      <c r="BT1" s="5" t="s">
        <v>377</v>
      </c>
      <c r="BU1" s="5" t="s">
        <v>378</v>
      </c>
      <c r="BV1" s="5" t="s">
        <v>379</v>
      </c>
      <c r="BW1" s="5" t="s">
        <v>380</v>
      </c>
      <c r="BX1" s="5" t="s">
        <v>381</v>
      </c>
      <c r="BY1" s="5" t="s">
        <v>382</v>
      </c>
      <c r="BZ1" s="5" t="s">
        <v>383</v>
      </c>
      <c r="CA1" s="5" t="s">
        <v>384</v>
      </c>
      <c r="CB1" s="5" t="s">
        <v>385</v>
      </c>
      <c r="CC1" s="5" t="s">
        <v>386</v>
      </c>
      <c r="CD1" s="5" t="s">
        <v>387</v>
      </c>
      <c r="CE1" s="5" t="s">
        <v>388</v>
      </c>
      <c r="CF1" s="5" t="s">
        <v>389</v>
      </c>
      <c r="CG1" s="5" t="s">
        <v>390</v>
      </c>
      <c r="CH1" s="5" t="s">
        <v>391</v>
      </c>
      <c r="CI1" s="5" t="s">
        <v>392</v>
      </c>
      <c r="CJ1" s="5" t="s">
        <v>393</v>
      </c>
      <c r="CK1" s="5" t="s">
        <v>394</v>
      </c>
      <c r="CL1" s="5" t="s">
        <v>395</v>
      </c>
      <c r="CM1" s="5" t="s">
        <v>396</v>
      </c>
      <c r="CN1" s="5" t="s">
        <v>397</v>
      </c>
      <c r="CO1" s="5" t="s">
        <v>398</v>
      </c>
      <c r="CP1" s="5" t="s">
        <v>399</v>
      </c>
      <c r="CQ1" s="5" t="s">
        <v>400</v>
      </c>
      <c r="CR1" s="5" t="s">
        <v>401</v>
      </c>
      <c r="CS1" s="5" t="s">
        <v>402</v>
      </c>
      <c r="CT1" s="5" t="s">
        <v>403</v>
      </c>
      <c r="CU1" s="5" t="s">
        <v>404</v>
      </c>
      <c r="CV1" s="5" t="s">
        <v>405</v>
      </c>
      <c r="CW1" s="5" t="s">
        <v>406</v>
      </c>
      <c r="CX1" s="5" t="s">
        <v>407</v>
      </c>
      <c r="CY1" s="5" t="s">
        <v>408</v>
      </c>
      <c r="CZ1" s="5" t="s">
        <v>409</v>
      </c>
      <c r="DA1" s="5" t="s">
        <v>410</v>
      </c>
      <c r="DB1" s="5" t="s">
        <v>411</v>
      </c>
      <c r="DC1" s="5" t="s">
        <v>412</v>
      </c>
      <c r="DD1" s="5" t="s">
        <v>413</v>
      </c>
      <c r="DE1" s="5" t="s">
        <v>414</v>
      </c>
      <c r="DF1" s="5" t="s">
        <v>415</v>
      </c>
      <c r="DG1" s="5" t="s">
        <v>416</v>
      </c>
      <c r="DH1" s="5" t="s">
        <v>417</v>
      </c>
      <c r="DI1" s="5" t="s">
        <v>418</v>
      </c>
      <c r="DJ1" s="5" t="s">
        <v>419</v>
      </c>
      <c r="DK1" s="5" t="s">
        <v>420</v>
      </c>
      <c r="DL1" s="5" t="s">
        <v>421</v>
      </c>
      <c r="DM1" s="5" t="s">
        <v>422</v>
      </c>
      <c r="DN1" s="5" t="s">
        <v>423</v>
      </c>
      <c r="DO1" s="5" t="s">
        <v>424</v>
      </c>
      <c r="DP1" s="5" t="s">
        <v>425</v>
      </c>
      <c r="DQ1" s="5" t="s">
        <v>426</v>
      </c>
      <c r="DR1" s="5" t="s">
        <v>427</v>
      </c>
      <c r="DS1" s="5" t="s">
        <v>428</v>
      </c>
      <c r="DT1" s="5" t="s">
        <v>429</v>
      </c>
      <c r="DU1" s="5" t="s">
        <v>430</v>
      </c>
      <c r="DV1" s="5" t="s">
        <v>431</v>
      </c>
      <c r="DW1" s="5" t="s">
        <v>432</v>
      </c>
      <c r="DX1" s="5" t="s">
        <v>433</v>
      </c>
      <c r="DY1" s="5" t="s">
        <v>434</v>
      </c>
      <c r="DZ1" s="5" t="s">
        <v>435</v>
      </c>
      <c r="EA1" s="5" t="s">
        <v>436</v>
      </c>
      <c r="EB1" s="5" t="s">
        <v>437</v>
      </c>
      <c r="EC1" s="5" t="s">
        <v>438</v>
      </c>
      <c r="ED1" s="5" t="s">
        <v>439</v>
      </c>
      <c r="EE1" s="5" t="s">
        <v>440</v>
      </c>
      <c r="EF1" s="5" t="s">
        <v>441</v>
      </c>
      <c r="EG1" s="5" t="s">
        <v>442</v>
      </c>
      <c r="EH1" s="5" t="s">
        <v>443</v>
      </c>
      <c r="EI1" s="5" t="s">
        <v>444</v>
      </c>
      <c r="EJ1" s="5" t="s">
        <v>445</v>
      </c>
      <c r="EK1" s="5" t="s">
        <v>446</v>
      </c>
      <c r="EL1" s="5" t="s">
        <v>447</v>
      </c>
      <c r="EM1" s="5" t="s">
        <v>448</v>
      </c>
      <c r="EN1" s="5" t="s">
        <v>449</v>
      </c>
      <c r="EO1" s="5" t="s">
        <v>450</v>
      </c>
      <c r="EP1" s="5" t="s">
        <v>451</v>
      </c>
      <c r="EQ1" s="5" t="s">
        <v>452</v>
      </c>
      <c r="ER1" s="5" t="s">
        <v>453</v>
      </c>
      <c r="ES1" s="5" t="s">
        <v>454</v>
      </c>
      <c r="ET1" s="5" t="s">
        <v>455</v>
      </c>
      <c r="EU1" s="5" t="s">
        <v>456</v>
      </c>
      <c r="EV1" s="5" t="s">
        <v>457</v>
      </c>
      <c r="EW1" s="5" t="s">
        <v>458</v>
      </c>
      <c r="EX1" s="5" t="s">
        <v>459</v>
      </c>
      <c r="EY1" s="5" t="s">
        <v>460</v>
      </c>
      <c r="EZ1" s="89" t="s">
        <v>314</v>
      </c>
      <c r="FA1" s="90" t="s">
        <v>315</v>
      </c>
      <c r="FB1" s="90" t="s">
        <v>313</v>
      </c>
      <c r="FC1" s="91" t="s">
        <v>461</v>
      </c>
      <c r="FD1" s="91" t="s">
        <v>462</v>
      </c>
      <c r="FE1" s="2" t="s">
        <v>47</v>
      </c>
      <c r="FF1" s="2" t="s">
        <v>46</v>
      </c>
      <c r="FG1" s="2" t="s">
        <v>5</v>
      </c>
      <c r="FH1" s="2" t="s">
        <v>6</v>
      </c>
      <c r="FI1" s="2" t="s">
        <v>7</v>
      </c>
      <c r="FJ1" s="2" t="s">
        <v>8</v>
      </c>
      <c r="FK1" s="2" t="s">
        <v>9</v>
      </c>
      <c r="FL1" s="2" t="s">
        <v>10</v>
      </c>
      <c r="FM1" s="2" t="s">
        <v>11</v>
      </c>
    </row>
    <row r="2" spans="1:169">
      <c r="A2" s="58" t="s">
        <v>42</v>
      </c>
      <c r="B2" s="77">
        <f t="shared" ref="B2:B65" si="0">COUNT(R2:EY2,FE2:FM2)</f>
        <v>1</v>
      </c>
      <c r="C2" s="77">
        <f t="shared" ref="C2:C65" si="1">IF(COUNT(R2:EY2,FE2:FM2)&gt;0,COUNT(R2:EY2,FE2:FM2),"")</f>
        <v>1</v>
      </c>
      <c r="D2" s="77">
        <f t="shared" ref="D2:D65" si="2">IF(COUNT(T2:BJ2,BL2:BT2,BV2:CB2,CD2:EY2,FE2:FM2)&gt;0,COUNT(T2:BJ2,BL2:BT2,BV2:CB2,CD2:EY2,FE2:FM2),"")</f>
        <v>1</v>
      </c>
      <c r="E2" s="77">
        <f t="shared" ref="E2:E65" si="3">IF(H2=1,COUNT(R2:EY2,FE2:FM2),"")</f>
        <v>1</v>
      </c>
      <c r="F2" s="77">
        <f t="shared" ref="F2:F65" si="4">IF(H2=1,COUNT(T2:BJ2,BL2:BT2,BV2:CB2,CD2:EY2,FE2:FM2),"")</f>
        <v>1</v>
      </c>
      <c r="G2" s="77">
        <f t="shared" ref="G2:G65" si="5">IF($B2&gt;=1,$M2,"")</f>
        <v>8</v>
      </c>
      <c r="H2" s="95">
        <f>IF(AND(M2&gt;0,M2&lt;=STATS!$C$22),1,"")</f>
        <v>1</v>
      </c>
      <c r="I2" s="104" t="s">
        <v>479</v>
      </c>
      <c r="J2" s="21">
        <v>1</v>
      </c>
      <c r="K2">
        <v>45.414999999999999</v>
      </c>
      <c r="L2">
        <v>-92.094319999999996</v>
      </c>
      <c r="M2" s="3">
        <v>8</v>
      </c>
      <c r="N2" s="3" t="s">
        <v>468</v>
      </c>
      <c r="O2" s="3" t="s">
        <v>496</v>
      </c>
      <c r="Q2" s="3">
        <v>1</v>
      </c>
      <c r="R2" s="7"/>
      <c r="S2" s="7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CW2" s="3">
        <v>1</v>
      </c>
      <c r="EZ2" s="92"/>
      <c r="FA2" s="92"/>
      <c r="FB2" s="92"/>
      <c r="FC2" s="92"/>
      <c r="FD2" s="92"/>
    </row>
    <row r="3" spans="1:169">
      <c r="A3" s="58" t="s">
        <v>24</v>
      </c>
      <c r="B3" s="77">
        <f t="shared" si="0"/>
        <v>1</v>
      </c>
      <c r="C3" s="77">
        <f t="shared" si="1"/>
        <v>1</v>
      </c>
      <c r="D3" s="77">
        <f t="shared" si="2"/>
        <v>1</v>
      </c>
      <c r="E3" s="77">
        <f t="shared" si="3"/>
        <v>1</v>
      </c>
      <c r="F3" s="77">
        <f t="shared" si="4"/>
        <v>1</v>
      </c>
      <c r="G3" s="77">
        <f t="shared" si="5"/>
        <v>4</v>
      </c>
      <c r="H3" s="95">
        <f>IF(AND(M3&gt;0,M3&lt;=STATS!$C$22),1,"")</f>
        <v>1</v>
      </c>
      <c r="I3" s="104" t="s">
        <v>480</v>
      </c>
      <c r="J3" s="21">
        <v>2</v>
      </c>
      <c r="K3">
        <v>45.415219999999998</v>
      </c>
      <c r="L3">
        <v>-92.094800000000006</v>
      </c>
      <c r="M3" s="3">
        <v>4</v>
      </c>
      <c r="N3" s="3" t="s">
        <v>468</v>
      </c>
      <c r="O3" s="3" t="s">
        <v>496</v>
      </c>
      <c r="Q3" s="3">
        <v>1</v>
      </c>
      <c r="R3" s="7"/>
      <c r="S3" s="7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>
        <v>1</v>
      </c>
      <c r="AF3" s="23"/>
      <c r="AG3" s="23"/>
      <c r="AH3" s="23"/>
      <c r="EZ3" s="92"/>
      <c r="FA3" s="92"/>
      <c r="FB3" s="92">
        <v>2</v>
      </c>
      <c r="FC3" s="92"/>
      <c r="FD3" s="92"/>
    </row>
    <row r="4" spans="1:169">
      <c r="A4" s="58" t="s">
        <v>25</v>
      </c>
      <c r="B4" s="77">
        <f t="shared" si="0"/>
        <v>0</v>
      </c>
      <c r="C4" s="77" t="str">
        <f t="shared" si="1"/>
        <v/>
      </c>
      <c r="D4" s="77" t="str">
        <f t="shared" si="2"/>
        <v/>
      </c>
      <c r="E4" s="77">
        <f t="shared" si="3"/>
        <v>0</v>
      </c>
      <c r="F4" s="77">
        <f t="shared" si="4"/>
        <v>0</v>
      </c>
      <c r="G4" s="77" t="str">
        <f t="shared" si="5"/>
        <v/>
      </c>
      <c r="H4" s="95">
        <f>IF(AND(M4&gt;0,M4&lt;=STATS!$C$22),1,"")</f>
        <v>1</v>
      </c>
      <c r="I4" s="103">
        <v>2079800</v>
      </c>
      <c r="J4" s="21">
        <v>3</v>
      </c>
      <c r="K4">
        <v>45.415219999999998</v>
      </c>
      <c r="L4">
        <v>-92.094480000000004</v>
      </c>
      <c r="M4" s="3">
        <v>11</v>
      </c>
      <c r="N4" s="3" t="s">
        <v>469</v>
      </c>
      <c r="O4" s="3" t="s">
        <v>496</v>
      </c>
      <c r="R4" s="7"/>
      <c r="S4" s="7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EZ4" s="92"/>
      <c r="FA4" s="92"/>
      <c r="FB4" s="92"/>
      <c r="FC4" s="92"/>
      <c r="FD4" s="92"/>
    </row>
    <row r="5" spans="1:169">
      <c r="A5" s="71" t="s">
        <v>43</v>
      </c>
      <c r="B5" s="77">
        <f t="shared" si="0"/>
        <v>0</v>
      </c>
      <c r="C5" s="77" t="str">
        <f t="shared" si="1"/>
        <v/>
      </c>
      <c r="D5" s="77" t="str">
        <f t="shared" si="2"/>
        <v/>
      </c>
      <c r="E5" s="77">
        <f t="shared" si="3"/>
        <v>0</v>
      </c>
      <c r="F5" s="77">
        <f t="shared" si="4"/>
        <v>0</v>
      </c>
      <c r="G5" s="77" t="str">
        <f t="shared" si="5"/>
        <v/>
      </c>
      <c r="H5" s="95">
        <f>IF(AND(M5&gt;0,M5&lt;=STATS!$C$22),1,"")</f>
        <v>1</v>
      </c>
      <c r="I5" s="105">
        <v>43269</v>
      </c>
      <c r="J5" s="21">
        <v>4</v>
      </c>
      <c r="K5">
        <v>45.415230000000001</v>
      </c>
      <c r="L5">
        <v>-92.094170000000005</v>
      </c>
      <c r="M5" s="3">
        <v>12.5</v>
      </c>
      <c r="N5" s="3" t="s">
        <v>469</v>
      </c>
      <c r="O5" s="3" t="s">
        <v>496</v>
      </c>
      <c r="R5" s="7"/>
      <c r="S5" s="7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EZ5" s="92"/>
      <c r="FA5" s="92"/>
      <c r="FB5" s="92">
        <v>1</v>
      </c>
      <c r="FC5" s="92"/>
      <c r="FD5" s="92"/>
    </row>
    <row r="6" spans="1:169">
      <c r="A6" s="58" t="s">
        <v>44</v>
      </c>
      <c r="B6" s="77">
        <f t="shared" si="0"/>
        <v>0</v>
      </c>
      <c r="C6" s="77" t="str">
        <f t="shared" si="1"/>
        <v/>
      </c>
      <c r="D6" s="77" t="str">
        <f t="shared" si="2"/>
        <v/>
      </c>
      <c r="E6" s="77">
        <f t="shared" si="3"/>
        <v>0</v>
      </c>
      <c r="F6" s="77">
        <f t="shared" si="4"/>
        <v>0</v>
      </c>
      <c r="G6" s="77" t="str">
        <f t="shared" si="5"/>
        <v/>
      </c>
      <c r="H6" s="95">
        <f>IF(AND(M6&gt;0,M6&lt;=STATS!$C$22),1,"")</f>
        <v>1</v>
      </c>
      <c r="I6" s="102" t="s">
        <v>321</v>
      </c>
      <c r="J6" s="21">
        <v>5</v>
      </c>
      <c r="K6">
        <v>45.415439999999997</v>
      </c>
      <c r="L6">
        <v>-92.094970000000004</v>
      </c>
      <c r="M6" s="3">
        <v>7</v>
      </c>
      <c r="N6" s="3" t="s">
        <v>468</v>
      </c>
      <c r="O6" s="3" t="s">
        <v>496</v>
      </c>
      <c r="R6" s="7"/>
      <c r="S6" s="7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EZ6" s="92"/>
      <c r="FA6" s="92"/>
      <c r="FB6" s="92">
        <v>2</v>
      </c>
      <c r="FC6" s="92"/>
      <c r="FD6" s="92"/>
    </row>
    <row r="7" spans="1:169">
      <c r="A7" s="58"/>
      <c r="B7" s="77">
        <f t="shared" si="0"/>
        <v>0</v>
      </c>
      <c r="C7" s="77" t="str">
        <f t="shared" si="1"/>
        <v/>
      </c>
      <c r="D7" s="77" t="str">
        <f t="shared" si="2"/>
        <v/>
      </c>
      <c r="E7" s="77">
        <f t="shared" si="3"/>
        <v>0</v>
      </c>
      <c r="F7" s="77">
        <f t="shared" si="4"/>
        <v>0</v>
      </c>
      <c r="G7" s="77" t="str">
        <f t="shared" si="5"/>
        <v/>
      </c>
      <c r="H7" s="95">
        <f>IF(AND(M7&gt;0,M7&lt;=STATS!$C$22),1,"")</f>
        <v>1</v>
      </c>
      <c r="I7" s="107" t="s">
        <v>507</v>
      </c>
      <c r="J7" s="21">
        <v>6</v>
      </c>
      <c r="K7">
        <v>45.415439999999997</v>
      </c>
      <c r="L7">
        <v>-92.094650000000001</v>
      </c>
      <c r="M7" s="3">
        <v>12.5</v>
      </c>
      <c r="N7" s="3" t="s">
        <v>468</v>
      </c>
      <c r="O7" s="3" t="s">
        <v>496</v>
      </c>
      <c r="R7" s="7"/>
      <c r="S7" s="7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EZ7" s="92"/>
      <c r="FA7" s="92"/>
      <c r="FB7" s="92"/>
      <c r="FC7" s="92"/>
      <c r="FD7" s="92"/>
    </row>
    <row r="8" spans="1:169">
      <c r="A8" s="58"/>
      <c r="B8" s="77">
        <f t="shared" si="0"/>
        <v>0</v>
      </c>
      <c r="C8" s="77" t="str">
        <f t="shared" si="1"/>
        <v/>
      </c>
      <c r="D8" s="77" t="str">
        <f t="shared" si="2"/>
        <v/>
      </c>
      <c r="E8" s="77">
        <f t="shared" si="3"/>
        <v>0</v>
      </c>
      <c r="F8" s="77">
        <f t="shared" si="4"/>
        <v>0</v>
      </c>
      <c r="G8" s="77" t="str">
        <f t="shared" si="5"/>
        <v/>
      </c>
      <c r="H8" s="95">
        <f>IF(AND(M8&gt;0,M8&lt;=STATS!$C$22),1,"")</f>
        <v>1</v>
      </c>
      <c r="I8" s="107" t="s">
        <v>482</v>
      </c>
      <c r="J8" s="21">
        <v>7</v>
      </c>
      <c r="K8">
        <v>45.415660000000003</v>
      </c>
      <c r="L8">
        <v>-92.095140000000001</v>
      </c>
      <c r="M8" s="3">
        <v>6</v>
      </c>
      <c r="N8" s="3" t="s">
        <v>468</v>
      </c>
      <c r="O8" s="3" t="s">
        <v>496</v>
      </c>
      <c r="R8" s="7"/>
      <c r="S8" s="7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EZ8" s="92"/>
      <c r="FA8" s="92"/>
      <c r="FB8" s="92">
        <v>2</v>
      </c>
      <c r="FC8" s="92"/>
      <c r="FD8" s="92"/>
    </row>
    <row r="9" spans="1:169">
      <c r="A9" s="72"/>
      <c r="B9" s="77">
        <f t="shared" si="0"/>
        <v>0</v>
      </c>
      <c r="C9" s="77" t="str">
        <f t="shared" si="1"/>
        <v/>
      </c>
      <c r="D9" s="77" t="str">
        <f t="shared" si="2"/>
        <v/>
      </c>
      <c r="E9" s="77">
        <f t="shared" si="3"/>
        <v>0</v>
      </c>
      <c r="F9" s="77">
        <f t="shared" si="4"/>
        <v>0</v>
      </c>
      <c r="G9" s="77" t="str">
        <f t="shared" si="5"/>
        <v/>
      </c>
      <c r="H9" s="95">
        <f>IF(AND(M9&gt;0,M9&lt;=STATS!$C$22),1,"")</f>
        <v>1</v>
      </c>
      <c r="J9" s="21">
        <v>8</v>
      </c>
      <c r="K9">
        <v>45.415669999999999</v>
      </c>
      <c r="L9">
        <v>-92.094819999999999</v>
      </c>
      <c r="M9" s="3">
        <v>12.5</v>
      </c>
      <c r="N9" s="3" t="s">
        <v>468</v>
      </c>
      <c r="O9" s="3" t="s">
        <v>496</v>
      </c>
      <c r="R9" s="7"/>
      <c r="S9" s="7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EZ9" s="92"/>
      <c r="FA9" s="92"/>
      <c r="FB9" s="92">
        <v>1</v>
      </c>
      <c r="FC9" s="92"/>
      <c r="FD9" s="92"/>
    </row>
    <row r="10" spans="1:169">
      <c r="A10" s="58"/>
      <c r="B10" s="77">
        <f t="shared" si="0"/>
        <v>0</v>
      </c>
      <c r="C10" s="77" t="str">
        <f t="shared" si="1"/>
        <v/>
      </c>
      <c r="D10" s="77" t="str">
        <f t="shared" si="2"/>
        <v/>
      </c>
      <c r="E10" s="77">
        <f t="shared" si="3"/>
        <v>0</v>
      </c>
      <c r="F10" s="77">
        <f t="shared" si="4"/>
        <v>0</v>
      </c>
      <c r="G10" s="77" t="str">
        <f t="shared" si="5"/>
        <v/>
      </c>
      <c r="H10" s="95">
        <f>IF(AND(M10&gt;0,M10&lt;=STATS!$C$22),1,"")</f>
        <v>1</v>
      </c>
      <c r="J10" s="21">
        <v>9</v>
      </c>
      <c r="K10">
        <v>45.415880000000001</v>
      </c>
      <c r="L10">
        <v>-92.095309999999998</v>
      </c>
      <c r="M10" s="3">
        <v>7</v>
      </c>
      <c r="N10" s="3" t="s">
        <v>468</v>
      </c>
      <c r="O10" s="3" t="s">
        <v>496</v>
      </c>
      <c r="R10" s="7"/>
      <c r="S10" s="7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EZ10" s="92"/>
      <c r="FA10" s="92"/>
      <c r="FB10" s="92">
        <v>1</v>
      </c>
      <c r="FC10" s="92"/>
      <c r="FD10" s="92"/>
    </row>
    <row r="11" spans="1:169">
      <c r="A11" s="58"/>
      <c r="B11" s="77">
        <f t="shared" si="0"/>
        <v>0</v>
      </c>
      <c r="C11" s="77" t="str">
        <f t="shared" si="1"/>
        <v/>
      </c>
      <c r="D11" s="77" t="str">
        <f t="shared" si="2"/>
        <v/>
      </c>
      <c r="E11" s="77">
        <f t="shared" si="3"/>
        <v>0</v>
      </c>
      <c r="F11" s="77">
        <f t="shared" si="4"/>
        <v>0</v>
      </c>
      <c r="G11" s="77" t="str">
        <f t="shared" si="5"/>
        <v/>
      </c>
      <c r="H11" s="95">
        <f>IF(AND(M11&gt;0,M11&lt;=STATS!$C$22),1,"")</f>
        <v>1</v>
      </c>
      <c r="J11" s="21">
        <v>10</v>
      </c>
      <c r="K11">
        <v>45.415889999999997</v>
      </c>
      <c r="L11">
        <v>-92.094989999999996</v>
      </c>
      <c r="M11" s="3">
        <v>12</v>
      </c>
      <c r="N11" s="3" t="s">
        <v>468</v>
      </c>
      <c r="O11" s="3" t="s">
        <v>496</v>
      </c>
      <c r="R11" s="7"/>
      <c r="S11" s="7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EZ11" s="92"/>
      <c r="FA11" s="92"/>
      <c r="FB11" s="92"/>
      <c r="FC11" s="92"/>
      <c r="FD11" s="92"/>
    </row>
    <row r="12" spans="1:169">
      <c r="A12" s="58"/>
      <c r="B12" s="77">
        <f t="shared" si="0"/>
        <v>1</v>
      </c>
      <c r="C12" s="77">
        <f t="shared" si="1"/>
        <v>1</v>
      </c>
      <c r="D12" s="77">
        <f t="shared" si="2"/>
        <v>1</v>
      </c>
      <c r="E12" s="77">
        <f t="shared" si="3"/>
        <v>1</v>
      </c>
      <c r="F12" s="77">
        <f t="shared" si="4"/>
        <v>1</v>
      </c>
      <c r="G12" s="77">
        <f t="shared" si="5"/>
        <v>2.5</v>
      </c>
      <c r="H12" s="95">
        <f>IF(AND(M12&gt;0,M12&lt;=STATS!$C$22),1,"")</f>
        <v>1</v>
      </c>
      <c r="J12" s="21">
        <v>11</v>
      </c>
      <c r="K12">
        <v>45.416089999999997</v>
      </c>
      <c r="L12">
        <v>-92.096109999999996</v>
      </c>
      <c r="M12" s="3">
        <v>2.5</v>
      </c>
      <c r="N12" s="3" t="s">
        <v>468</v>
      </c>
      <c r="O12" s="3" t="s">
        <v>496</v>
      </c>
      <c r="Q12" s="3">
        <v>2</v>
      </c>
      <c r="R12" s="7"/>
      <c r="S12" s="7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CB12" s="3">
        <v>2</v>
      </c>
      <c r="EZ12" s="92"/>
      <c r="FA12" s="92"/>
      <c r="FB12" s="92">
        <v>2</v>
      </c>
      <c r="FC12" s="92"/>
      <c r="FD12" s="92"/>
    </row>
    <row r="13" spans="1:169">
      <c r="A13" s="72"/>
      <c r="B13" s="77">
        <f t="shared" si="0"/>
        <v>2</v>
      </c>
      <c r="C13" s="77">
        <f t="shared" si="1"/>
        <v>2</v>
      </c>
      <c r="D13" s="77">
        <f t="shared" si="2"/>
        <v>2</v>
      </c>
      <c r="E13" s="77">
        <f t="shared" si="3"/>
        <v>2</v>
      </c>
      <c r="F13" s="77">
        <f t="shared" si="4"/>
        <v>2</v>
      </c>
      <c r="G13" s="77">
        <f t="shared" si="5"/>
        <v>4</v>
      </c>
      <c r="H13" s="95">
        <f>IF(AND(M13&gt;0,M13&lt;=STATS!$C$22),1,"")</f>
        <v>1</v>
      </c>
      <c r="J13" s="21">
        <v>12</v>
      </c>
      <c r="K13">
        <v>45.4161</v>
      </c>
      <c r="L13">
        <v>-92.095789999999994</v>
      </c>
      <c r="M13" s="3">
        <v>4</v>
      </c>
      <c r="N13" s="3" t="s">
        <v>468</v>
      </c>
      <c r="O13" s="3" t="s">
        <v>496</v>
      </c>
      <c r="Q13" s="3">
        <v>1</v>
      </c>
      <c r="R13" s="7"/>
      <c r="S13" s="7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CO13" s="3">
        <v>1</v>
      </c>
      <c r="EF13" s="3">
        <v>1</v>
      </c>
      <c r="EZ13" s="92"/>
      <c r="FA13" s="92"/>
      <c r="FB13" s="92">
        <v>2</v>
      </c>
      <c r="FC13" s="92"/>
      <c r="FD13" s="92"/>
    </row>
    <row r="14" spans="1:169">
      <c r="A14" s="58"/>
      <c r="B14" s="77">
        <f t="shared" si="0"/>
        <v>1</v>
      </c>
      <c r="C14" s="77">
        <f t="shared" si="1"/>
        <v>1</v>
      </c>
      <c r="D14" s="77" t="str">
        <f t="shared" si="2"/>
        <v/>
      </c>
      <c r="E14" s="77">
        <f t="shared" si="3"/>
        <v>1</v>
      </c>
      <c r="F14" s="77">
        <f t="shared" si="4"/>
        <v>0</v>
      </c>
      <c r="G14" s="77">
        <f t="shared" si="5"/>
        <v>7</v>
      </c>
      <c r="H14" s="95">
        <f>IF(AND(M14&gt;0,M14&lt;=STATS!$C$22),1,"")</f>
        <v>1</v>
      </c>
      <c r="J14" s="21">
        <v>13</v>
      </c>
      <c r="K14">
        <v>45.4161</v>
      </c>
      <c r="L14">
        <v>-92.095479999999995</v>
      </c>
      <c r="M14" s="3">
        <v>7</v>
      </c>
      <c r="N14" s="3" t="s">
        <v>468</v>
      </c>
      <c r="O14" s="3" t="s">
        <v>496</v>
      </c>
      <c r="Q14" s="3">
        <v>1</v>
      </c>
      <c r="R14" s="7"/>
      <c r="S14" s="7">
        <v>1</v>
      </c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EZ14" s="92"/>
      <c r="FA14" s="92"/>
      <c r="FB14" s="92">
        <v>2</v>
      </c>
      <c r="FC14" s="92"/>
      <c r="FD14" s="92"/>
    </row>
    <row r="15" spans="1:169">
      <c r="A15" s="58"/>
      <c r="B15" s="77">
        <f t="shared" si="0"/>
        <v>0</v>
      </c>
      <c r="C15" s="77" t="str">
        <f t="shared" si="1"/>
        <v/>
      </c>
      <c r="D15" s="77" t="str">
        <f t="shared" si="2"/>
        <v/>
      </c>
      <c r="E15" s="77">
        <f t="shared" si="3"/>
        <v>0</v>
      </c>
      <c r="F15" s="77">
        <f t="shared" si="4"/>
        <v>0</v>
      </c>
      <c r="G15" s="77" t="str">
        <f t="shared" si="5"/>
        <v/>
      </c>
      <c r="H15" s="95">
        <f>IF(AND(M15&gt;0,M15&lt;=STATS!$C$22),1,"")</f>
        <v>1</v>
      </c>
      <c r="J15" s="21">
        <v>14</v>
      </c>
      <c r="K15">
        <v>45.416110000000003</v>
      </c>
      <c r="L15">
        <v>-92.095160000000007</v>
      </c>
      <c r="M15" s="3">
        <v>12</v>
      </c>
      <c r="N15" s="3" t="s">
        <v>469</v>
      </c>
      <c r="O15" s="3" t="s">
        <v>496</v>
      </c>
      <c r="R15" s="7"/>
      <c r="S15" s="7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EZ15" s="92"/>
      <c r="FA15" s="92"/>
      <c r="FB15" s="92">
        <v>1</v>
      </c>
      <c r="FC15" s="92"/>
      <c r="FD15" s="92"/>
    </row>
    <row r="16" spans="1:169">
      <c r="A16" s="58"/>
      <c r="B16" s="77">
        <f t="shared" si="0"/>
        <v>0</v>
      </c>
      <c r="C16" s="77" t="str">
        <f t="shared" si="1"/>
        <v/>
      </c>
      <c r="D16" s="77" t="str">
        <f t="shared" si="2"/>
        <v/>
      </c>
      <c r="E16" s="77">
        <f t="shared" si="3"/>
        <v>0</v>
      </c>
      <c r="F16" s="77">
        <f t="shared" si="4"/>
        <v>0</v>
      </c>
      <c r="G16" s="77" t="str">
        <f t="shared" si="5"/>
        <v/>
      </c>
      <c r="H16" s="95">
        <f>IF(AND(M16&gt;0,M16&lt;=STATS!$C$22),1,"")</f>
        <v>1</v>
      </c>
      <c r="J16" s="21">
        <v>15</v>
      </c>
      <c r="K16">
        <v>45.416119999999999</v>
      </c>
      <c r="L16">
        <v>-92.094840000000005</v>
      </c>
      <c r="M16" s="3">
        <v>13</v>
      </c>
      <c r="N16" s="3" t="s">
        <v>468</v>
      </c>
      <c r="O16" s="3" t="s">
        <v>496</v>
      </c>
      <c r="R16" s="7"/>
      <c r="S16" s="7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EZ16" s="92"/>
      <c r="FA16" s="92"/>
      <c r="FB16" s="92">
        <v>1</v>
      </c>
      <c r="FC16" s="92"/>
      <c r="FD16" s="92"/>
    </row>
    <row r="17" spans="1:160">
      <c r="A17" s="58"/>
      <c r="B17" s="77">
        <f t="shared" si="0"/>
        <v>1</v>
      </c>
      <c r="C17" s="77">
        <f t="shared" si="1"/>
        <v>1</v>
      </c>
      <c r="D17" s="77">
        <f t="shared" si="2"/>
        <v>1</v>
      </c>
      <c r="E17" s="77">
        <f t="shared" si="3"/>
        <v>1</v>
      </c>
      <c r="F17" s="77">
        <f t="shared" si="4"/>
        <v>1</v>
      </c>
      <c r="G17" s="77">
        <f t="shared" si="5"/>
        <v>2.5</v>
      </c>
      <c r="H17" s="95">
        <f>IF(AND(M17&gt;0,M17&lt;=STATS!$C$22),1,"")</f>
        <v>1</v>
      </c>
      <c r="J17" s="21">
        <v>16</v>
      </c>
      <c r="K17">
        <v>45.416310000000003</v>
      </c>
      <c r="L17">
        <v>-92.096279999999993</v>
      </c>
      <c r="M17" s="3">
        <v>2.5</v>
      </c>
      <c r="N17" s="3" t="s">
        <v>468</v>
      </c>
      <c r="O17" s="3" t="s">
        <v>496</v>
      </c>
      <c r="Q17" s="3">
        <v>2</v>
      </c>
      <c r="R17" s="7"/>
      <c r="S17" s="7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CA17" s="3">
        <v>2</v>
      </c>
      <c r="EZ17" s="92"/>
      <c r="FA17" s="92"/>
      <c r="FB17" s="92">
        <v>2</v>
      </c>
      <c r="FC17" s="92"/>
      <c r="FD17" s="92"/>
    </row>
    <row r="18" spans="1:160">
      <c r="A18" s="72"/>
      <c r="B18" s="77">
        <f t="shared" si="0"/>
        <v>2</v>
      </c>
      <c r="C18" s="77">
        <f t="shared" si="1"/>
        <v>2</v>
      </c>
      <c r="D18" s="77">
        <f t="shared" si="2"/>
        <v>2</v>
      </c>
      <c r="E18" s="77">
        <f t="shared" si="3"/>
        <v>2</v>
      </c>
      <c r="F18" s="77">
        <f t="shared" si="4"/>
        <v>2</v>
      </c>
      <c r="G18" s="77">
        <f t="shared" si="5"/>
        <v>3.5</v>
      </c>
      <c r="H18" s="95">
        <f>IF(AND(M18&gt;0,M18&lt;=STATS!$C$22),1,"")</f>
        <v>1</v>
      </c>
      <c r="J18" s="21">
        <v>17</v>
      </c>
      <c r="K18">
        <v>45.416319999999999</v>
      </c>
      <c r="L18">
        <v>-92.095960000000005</v>
      </c>
      <c r="M18" s="3">
        <v>3.5</v>
      </c>
      <c r="N18" s="3" t="s">
        <v>468</v>
      </c>
      <c r="O18" s="3" t="s">
        <v>496</v>
      </c>
      <c r="Q18" s="3">
        <v>1</v>
      </c>
      <c r="R18" s="7"/>
      <c r="S18" s="7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>
        <v>1</v>
      </c>
      <c r="AF18" s="23"/>
      <c r="AG18" s="23"/>
      <c r="AH18" s="23"/>
      <c r="EF18" s="3">
        <v>1</v>
      </c>
      <c r="EZ18" s="92"/>
      <c r="FA18" s="92"/>
      <c r="FB18" s="92">
        <v>3</v>
      </c>
      <c r="FC18" s="92"/>
      <c r="FD18" s="92"/>
    </row>
    <row r="19" spans="1:160">
      <c r="A19" s="58"/>
      <c r="B19" s="77">
        <f t="shared" si="0"/>
        <v>0</v>
      </c>
      <c r="C19" s="77" t="str">
        <f t="shared" si="1"/>
        <v/>
      </c>
      <c r="D19" s="77" t="str">
        <f t="shared" si="2"/>
        <v/>
      </c>
      <c r="E19" s="77">
        <f t="shared" si="3"/>
        <v>0</v>
      </c>
      <c r="F19" s="77">
        <f t="shared" si="4"/>
        <v>0</v>
      </c>
      <c r="G19" s="77" t="str">
        <f t="shared" si="5"/>
        <v/>
      </c>
      <c r="H19" s="95">
        <f>IF(AND(M19&gt;0,M19&lt;=STATS!$C$22),1,"")</f>
        <v>1</v>
      </c>
      <c r="J19" s="21">
        <v>18</v>
      </c>
      <c r="K19">
        <v>45.416330000000002</v>
      </c>
      <c r="L19">
        <v>-92.095640000000003</v>
      </c>
      <c r="M19" s="3">
        <v>5</v>
      </c>
      <c r="N19" s="3" t="s">
        <v>468</v>
      </c>
      <c r="O19" s="3" t="s">
        <v>496</v>
      </c>
      <c r="R19" s="7"/>
      <c r="S19" s="7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EZ19" s="92"/>
      <c r="FA19" s="92"/>
      <c r="FB19" s="92">
        <v>2</v>
      </c>
      <c r="FC19" s="92"/>
      <c r="FD19" s="92"/>
    </row>
    <row r="20" spans="1:160">
      <c r="A20" s="58"/>
      <c r="B20" s="77">
        <f t="shared" si="0"/>
        <v>1</v>
      </c>
      <c r="C20" s="77">
        <f t="shared" si="1"/>
        <v>1</v>
      </c>
      <c r="D20" s="77">
        <f t="shared" si="2"/>
        <v>1</v>
      </c>
      <c r="E20" s="77">
        <f t="shared" si="3"/>
        <v>1</v>
      </c>
      <c r="F20" s="77">
        <f t="shared" si="4"/>
        <v>1</v>
      </c>
      <c r="G20" s="77">
        <f t="shared" si="5"/>
        <v>8</v>
      </c>
      <c r="H20" s="95">
        <f>IF(AND(M20&gt;0,M20&lt;=STATS!$C$22),1,"")</f>
        <v>1</v>
      </c>
      <c r="J20" s="21">
        <v>19</v>
      </c>
      <c r="K20">
        <v>45.416330000000002</v>
      </c>
      <c r="L20">
        <v>-92.095320000000001</v>
      </c>
      <c r="M20" s="3">
        <v>8</v>
      </c>
      <c r="N20" s="3" t="s">
        <v>470</v>
      </c>
      <c r="O20" s="3" t="s">
        <v>496</v>
      </c>
      <c r="Q20" s="3">
        <v>1</v>
      </c>
      <c r="R20" s="7"/>
      <c r="S20" s="7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>
        <v>1</v>
      </c>
      <c r="AF20" s="23"/>
      <c r="AG20" s="23"/>
      <c r="AH20" s="23"/>
      <c r="EZ20" s="92"/>
      <c r="FA20" s="92"/>
      <c r="FB20" s="92">
        <v>1</v>
      </c>
      <c r="FC20" s="92"/>
      <c r="FD20" s="92"/>
    </row>
    <row r="21" spans="1:160">
      <c r="A21" s="58"/>
      <c r="B21" s="77">
        <f t="shared" si="0"/>
        <v>1</v>
      </c>
      <c r="C21" s="77">
        <f t="shared" si="1"/>
        <v>1</v>
      </c>
      <c r="D21" s="77" t="str">
        <f t="shared" si="2"/>
        <v/>
      </c>
      <c r="E21" s="77">
        <f t="shared" si="3"/>
        <v>1</v>
      </c>
      <c r="F21" s="77">
        <f t="shared" si="4"/>
        <v>0</v>
      </c>
      <c r="G21" s="77">
        <f t="shared" si="5"/>
        <v>13.5</v>
      </c>
      <c r="H21" s="95">
        <f>IF(AND(M21&gt;0,M21&lt;=STATS!$C$22),1,"")</f>
        <v>1</v>
      </c>
      <c r="J21" s="21">
        <v>20</v>
      </c>
      <c r="K21">
        <v>45.416339999999998</v>
      </c>
      <c r="L21">
        <v>-92.094999999999999</v>
      </c>
      <c r="M21" s="3">
        <v>13.5</v>
      </c>
      <c r="N21" s="3" t="s">
        <v>468</v>
      </c>
      <c r="O21" s="3" t="s">
        <v>496</v>
      </c>
      <c r="Q21" s="3">
        <v>1</v>
      </c>
      <c r="R21" s="7"/>
      <c r="S21" s="7">
        <v>1</v>
      </c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EZ21" s="92"/>
      <c r="FA21" s="92"/>
      <c r="FB21" s="92"/>
      <c r="FC21" s="92"/>
      <c r="FD21" s="92"/>
    </row>
    <row r="22" spans="1:160">
      <c r="A22" s="58"/>
      <c r="B22" s="77">
        <f t="shared" si="0"/>
        <v>1</v>
      </c>
      <c r="C22" s="77">
        <f t="shared" si="1"/>
        <v>1</v>
      </c>
      <c r="D22" s="77">
        <f t="shared" si="2"/>
        <v>1</v>
      </c>
      <c r="E22" s="77">
        <f t="shared" si="3"/>
        <v>1</v>
      </c>
      <c r="F22" s="77">
        <f t="shared" si="4"/>
        <v>1</v>
      </c>
      <c r="G22" s="77">
        <f t="shared" si="5"/>
        <v>2.5</v>
      </c>
      <c r="H22" s="95">
        <f>IF(AND(M22&gt;0,M22&lt;=STATS!$C$22),1,"")</f>
        <v>1</v>
      </c>
      <c r="J22" s="21">
        <v>21</v>
      </c>
      <c r="K22">
        <v>45.416530000000002</v>
      </c>
      <c r="L22">
        <v>-92.096770000000006</v>
      </c>
      <c r="M22" s="3">
        <v>2.5</v>
      </c>
      <c r="N22" s="3" t="s">
        <v>468</v>
      </c>
      <c r="O22" s="3" t="s">
        <v>496</v>
      </c>
      <c r="Q22" s="3">
        <v>2</v>
      </c>
      <c r="R22" s="7"/>
      <c r="S22" s="7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CA22" s="3">
        <v>2</v>
      </c>
      <c r="EZ22" s="92"/>
      <c r="FA22" s="92"/>
      <c r="FB22" s="92">
        <v>2</v>
      </c>
      <c r="FC22" s="92"/>
      <c r="FD22" s="92"/>
    </row>
    <row r="23" spans="1:160">
      <c r="A23" s="72"/>
      <c r="B23" s="77">
        <f t="shared" si="0"/>
        <v>1</v>
      </c>
      <c r="C23" s="77">
        <f t="shared" si="1"/>
        <v>1</v>
      </c>
      <c r="D23" s="77">
        <f t="shared" si="2"/>
        <v>1</v>
      </c>
      <c r="E23" s="77">
        <f t="shared" si="3"/>
        <v>1</v>
      </c>
      <c r="F23" s="77">
        <f t="shared" si="4"/>
        <v>1</v>
      </c>
      <c r="G23" s="77">
        <f t="shared" si="5"/>
        <v>3</v>
      </c>
      <c r="H23" s="95">
        <f>IF(AND(M23&gt;0,M23&lt;=STATS!$C$22),1,"")</f>
        <v>1</v>
      </c>
      <c r="J23" s="21">
        <v>22</v>
      </c>
      <c r="K23">
        <v>45.416539999999998</v>
      </c>
      <c r="L23">
        <v>-92.096450000000004</v>
      </c>
      <c r="M23" s="3">
        <v>3</v>
      </c>
      <c r="N23" s="3" t="s">
        <v>468</v>
      </c>
      <c r="O23" s="3" t="s">
        <v>496</v>
      </c>
      <c r="Q23" s="3">
        <v>3</v>
      </c>
      <c r="R23" s="7"/>
      <c r="S23" s="7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CA23" s="3">
        <v>3</v>
      </c>
      <c r="EZ23" s="92"/>
      <c r="FA23" s="92"/>
      <c r="FB23" s="92">
        <v>2</v>
      </c>
      <c r="FC23" s="92"/>
      <c r="FD23" s="92"/>
    </row>
    <row r="24" spans="1:160">
      <c r="A24" s="73"/>
      <c r="B24" s="77">
        <f t="shared" si="0"/>
        <v>0</v>
      </c>
      <c r="C24" s="77" t="str">
        <f t="shared" si="1"/>
        <v/>
      </c>
      <c r="D24" s="77" t="str">
        <f t="shared" si="2"/>
        <v/>
      </c>
      <c r="E24" s="77">
        <f t="shared" si="3"/>
        <v>0</v>
      </c>
      <c r="F24" s="77">
        <f t="shared" si="4"/>
        <v>0</v>
      </c>
      <c r="G24" s="77" t="str">
        <f t="shared" si="5"/>
        <v/>
      </c>
      <c r="H24" s="95">
        <f>IF(AND(M24&gt;0,M24&lt;=STATS!$C$22),1,"")</f>
        <v>1</v>
      </c>
      <c r="J24" s="21">
        <v>23</v>
      </c>
      <c r="K24">
        <v>45.416539999999998</v>
      </c>
      <c r="L24">
        <v>-92.096130000000002</v>
      </c>
      <c r="M24" s="3">
        <v>4.5</v>
      </c>
      <c r="N24" s="3" t="s">
        <v>468</v>
      </c>
      <c r="O24" s="3" t="s">
        <v>496</v>
      </c>
      <c r="R24" s="7"/>
      <c r="S24" s="7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EZ24" s="92"/>
      <c r="FA24" s="92"/>
      <c r="FB24" s="92">
        <v>3</v>
      </c>
      <c r="FC24" s="92"/>
      <c r="FD24" s="92"/>
    </row>
    <row r="25" spans="1:160">
      <c r="A25" s="73"/>
      <c r="B25" s="77">
        <f t="shared" si="0"/>
        <v>0</v>
      </c>
      <c r="C25" s="77" t="str">
        <f t="shared" si="1"/>
        <v/>
      </c>
      <c r="D25" s="77" t="str">
        <f t="shared" si="2"/>
        <v/>
      </c>
      <c r="E25" s="77">
        <f t="shared" si="3"/>
        <v>0</v>
      </c>
      <c r="F25" s="77">
        <f t="shared" si="4"/>
        <v>0</v>
      </c>
      <c r="G25" s="77" t="str">
        <f t="shared" si="5"/>
        <v/>
      </c>
      <c r="H25" s="95">
        <f>IF(AND(M25&gt;0,M25&lt;=STATS!$C$22),1,"")</f>
        <v>1</v>
      </c>
      <c r="J25" s="21">
        <v>24</v>
      </c>
      <c r="K25">
        <v>45.416550000000001</v>
      </c>
      <c r="L25">
        <v>-92.09581</v>
      </c>
      <c r="M25" s="3">
        <v>7</v>
      </c>
      <c r="N25" s="3" t="s">
        <v>468</v>
      </c>
      <c r="O25" s="3" t="s">
        <v>496</v>
      </c>
      <c r="R25" s="7"/>
      <c r="S25" s="7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EZ25" s="92"/>
      <c r="FA25" s="92"/>
      <c r="FB25" s="92">
        <v>2</v>
      </c>
      <c r="FC25" s="92"/>
      <c r="FD25" s="92"/>
    </row>
    <row r="26" spans="1:160">
      <c r="A26" s="73"/>
      <c r="B26" s="77">
        <f t="shared" si="0"/>
        <v>0</v>
      </c>
      <c r="C26" s="77" t="str">
        <f t="shared" si="1"/>
        <v/>
      </c>
      <c r="D26" s="77" t="str">
        <f t="shared" si="2"/>
        <v/>
      </c>
      <c r="E26" s="77">
        <f t="shared" si="3"/>
        <v>0</v>
      </c>
      <c r="F26" s="77">
        <f t="shared" si="4"/>
        <v>0</v>
      </c>
      <c r="G26" s="77" t="str">
        <f t="shared" si="5"/>
        <v/>
      </c>
      <c r="H26" s="95">
        <f>IF(AND(M26&gt;0,M26&lt;=STATS!$C$22),1,"")</f>
        <v>1</v>
      </c>
      <c r="J26" s="21">
        <v>25</v>
      </c>
      <c r="K26">
        <v>45.416550000000001</v>
      </c>
      <c r="L26">
        <v>-92.095489999999998</v>
      </c>
      <c r="M26" s="3">
        <v>11</v>
      </c>
      <c r="N26" s="3" t="s">
        <v>468</v>
      </c>
      <c r="O26" s="3" t="s">
        <v>496</v>
      </c>
      <c r="R26" s="7"/>
      <c r="S26" s="7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EZ26" s="92"/>
      <c r="FA26" s="92"/>
      <c r="FB26" s="92">
        <v>1</v>
      </c>
      <c r="FC26" s="92"/>
      <c r="FD26" s="92"/>
    </row>
    <row r="27" spans="1:160">
      <c r="A27" s="72"/>
      <c r="B27" s="77">
        <f t="shared" si="0"/>
        <v>0</v>
      </c>
      <c r="C27" s="77" t="str">
        <f t="shared" si="1"/>
        <v/>
      </c>
      <c r="D27" s="77" t="str">
        <f t="shared" si="2"/>
        <v/>
      </c>
      <c r="E27" s="77">
        <f t="shared" si="3"/>
        <v>0</v>
      </c>
      <c r="F27" s="77">
        <f t="shared" si="4"/>
        <v>0</v>
      </c>
      <c r="G27" s="77" t="str">
        <f t="shared" si="5"/>
        <v/>
      </c>
      <c r="H27" s="95">
        <f>IF(AND(M27&gt;0,M27&lt;=STATS!$C$22),1,"")</f>
        <v>1</v>
      </c>
      <c r="J27" s="21">
        <v>26</v>
      </c>
      <c r="K27">
        <v>45.416559999999997</v>
      </c>
      <c r="L27">
        <v>-92.095169999999996</v>
      </c>
      <c r="M27" s="3">
        <v>13</v>
      </c>
      <c r="N27" s="3" t="s">
        <v>468</v>
      </c>
      <c r="O27" s="3" t="s">
        <v>496</v>
      </c>
      <c r="R27" s="7"/>
      <c r="S27" s="7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EZ27" s="92"/>
      <c r="FA27" s="92"/>
      <c r="FB27" s="92"/>
      <c r="FC27" s="92"/>
      <c r="FD27" s="92"/>
    </row>
    <row r="28" spans="1:160">
      <c r="A28" s="73"/>
      <c r="B28" s="77">
        <f t="shared" si="0"/>
        <v>3</v>
      </c>
      <c r="C28" s="77">
        <f t="shared" si="1"/>
        <v>3</v>
      </c>
      <c r="D28" s="77">
        <f t="shared" si="2"/>
        <v>3</v>
      </c>
      <c r="E28" s="77">
        <f t="shared" si="3"/>
        <v>3</v>
      </c>
      <c r="F28" s="77">
        <f t="shared" si="4"/>
        <v>3</v>
      </c>
      <c r="G28" s="77">
        <f t="shared" si="5"/>
        <v>3</v>
      </c>
      <c r="H28" s="95">
        <f>IF(AND(M28&gt;0,M28&lt;=STATS!$C$22),1,"")</f>
        <v>1</v>
      </c>
      <c r="J28" s="21">
        <v>27</v>
      </c>
      <c r="K28">
        <v>45.416759999999996</v>
      </c>
      <c r="L28">
        <v>-92.096620000000001</v>
      </c>
      <c r="M28" s="3">
        <v>3</v>
      </c>
      <c r="N28" s="3" t="s">
        <v>468</v>
      </c>
      <c r="O28" s="3" t="s">
        <v>496</v>
      </c>
      <c r="Q28" s="3">
        <v>2</v>
      </c>
      <c r="R28" s="7"/>
      <c r="S28" s="7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>
        <v>1</v>
      </c>
      <c r="AF28" s="23"/>
      <c r="AG28" s="23"/>
      <c r="AH28" s="23"/>
      <c r="CB28" s="3">
        <v>1</v>
      </c>
      <c r="CO28" s="3">
        <v>1</v>
      </c>
      <c r="EZ28" s="92"/>
      <c r="FA28" s="92"/>
      <c r="FB28" s="92">
        <v>2</v>
      </c>
      <c r="FC28" s="92"/>
      <c r="FD28" s="92"/>
    </row>
    <row r="29" spans="1:160">
      <c r="A29" s="73"/>
      <c r="B29" s="77">
        <f t="shared" si="0"/>
        <v>0</v>
      </c>
      <c r="C29" s="77" t="str">
        <f t="shared" si="1"/>
        <v/>
      </c>
      <c r="D29" s="77" t="str">
        <f t="shared" si="2"/>
        <v/>
      </c>
      <c r="E29" s="77">
        <f t="shared" si="3"/>
        <v>0</v>
      </c>
      <c r="F29" s="77">
        <f t="shared" si="4"/>
        <v>0</v>
      </c>
      <c r="G29" s="77" t="str">
        <f t="shared" si="5"/>
        <v/>
      </c>
      <c r="H29" s="95">
        <f>IF(AND(M29&gt;0,M29&lt;=STATS!$C$22),1,"")</f>
        <v>1</v>
      </c>
      <c r="J29" s="21">
        <v>28</v>
      </c>
      <c r="K29">
        <v>45.416759999999996</v>
      </c>
      <c r="L29">
        <v>-92.096299999999999</v>
      </c>
      <c r="M29" s="3">
        <v>5</v>
      </c>
      <c r="N29" s="3" t="s">
        <v>468</v>
      </c>
      <c r="O29" s="3" t="s">
        <v>496</v>
      </c>
      <c r="R29" s="7"/>
      <c r="S29" s="7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EZ29" s="92"/>
      <c r="FA29" s="92"/>
      <c r="FB29" s="92">
        <v>2</v>
      </c>
      <c r="FC29" s="92"/>
      <c r="FD29" s="92"/>
    </row>
    <row r="30" spans="1:160">
      <c r="A30" s="73"/>
      <c r="B30" s="77">
        <f t="shared" si="0"/>
        <v>0</v>
      </c>
      <c r="C30" s="77" t="str">
        <f t="shared" si="1"/>
        <v/>
      </c>
      <c r="D30" s="77" t="str">
        <f t="shared" si="2"/>
        <v/>
      </c>
      <c r="E30" s="77">
        <f t="shared" si="3"/>
        <v>0</v>
      </c>
      <c r="F30" s="77">
        <f t="shared" si="4"/>
        <v>0</v>
      </c>
      <c r="G30" s="77" t="str">
        <f t="shared" si="5"/>
        <v/>
      </c>
      <c r="H30" s="95">
        <f>IF(AND(M30&gt;0,M30&lt;=STATS!$C$22),1,"")</f>
        <v>1</v>
      </c>
      <c r="J30" s="21">
        <v>29</v>
      </c>
      <c r="K30">
        <v>45.41677</v>
      </c>
      <c r="L30">
        <v>-92.095979999999997</v>
      </c>
      <c r="M30" s="3">
        <v>8</v>
      </c>
      <c r="N30" s="3" t="s">
        <v>468</v>
      </c>
      <c r="O30" s="3" t="s">
        <v>496</v>
      </c>
      <c r="R30" s="7"/>
      <c r="S30" s="7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EZ30" s="92"/>
      <c r="FA30" s="92"/>
      <c r="FB30" s="92">
        <v>1</v>
      </c>
      <c r="FC30" s="92"/>
      <c r="FD30" s="92"/>
    </row>
    <row r="31" spans="1:160">
      <c r="A31" s="72"/>
      <c r="B31" s="77">
        <f t="shared" si="0"/>
        <v>0</v>
      </c>
      <c r="C31" s="77" t="str">
        <f t="shared" si="1"/>
        <v/>
      </c>
      <c r="D31" s="77" t="str">
        <f t="shared" si="2"/>
        <v/>
      </c>
      <c r="E31" s="77">
        <f t="shared" si="3"/>
        <v>0</v>
      </c>
      <c r="F31" s="77">
        <f t="shared" si="4"/>
        <v>0</v>
      </c>
      <c r="G31" s="77" t="str">
        <f t="shared" si="5"/>
        <v/>
      </c>
      <c r="H31" s="95">
        <f>IF(AND(M31&gt;0,M31&lt;=STATS!$C$22),1,"")</f>
        <v>1</v>
      </c>
      <c r="J31" s="21">
        <v>30</v>
      </c>
      <c r="K31">
        <v>45.416780000000003</v>
      </c>
      <c r="L31">
        <v>-92.095659999999995</v>
      </c>
      <c r="M31" s="3">
        <v>10.5</v>
      </c>
      <c r="N31" s="3" t="s">
        <v>468</v>
      </c>
      <c r="O31" s="3" t="s">
        <v>496</v>
      </c>
      <c r="R31" s="7"/>
      <c r="S31" s="7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EZ31" s="92"/>
      <c r="FA31" s="92"/>
      <c r="FB31" s="92">
        <v>1</v>
      </c>
      <c r="FC31" s="92"/>
      <c r="FD31" s="92"/>
    </row>
    <row r="32" spans="1:160">
      <c r="A32" s="73"/>
      <c r="B32" s="77">
        <f t="shared" si="0"/>
        <v>1</v>
      </c>
      <c r="C32" s="77">
        <f t="shared" si="1"/>
        <v>1</v>
      </c>
      <c r="D32" s="77">
        <f t="shared" si="2"/>
        <v>1</v>
      </c>
      <c r="E32" s="77">
        <f t="shared" si="3"/>
        <v>1</v>
      </c>
      <c r="F32" s="77">
        <f t="shared" si="4"/>
        <v>1</v>
      </c>
      <c r="G32" s="77">
        <f t="shared" si="5"/>
        <v>12</v>
      </c>
      <c r="H32" s="95">
        <f>IF(AND(M32&gt;0,M32&lt;=STATS!$C$22),1,"")</f>
        <v>1</v>
      </c>
      <c r="J32" s="21">
        <v>31</v>
      </c>
      <c r="K32">
        <v>45.416780000000003</v>
      </c>
      <c r="L32">
        <v>-92.095339999999993</v>
      </c>
      <c r="M32" s="3">
        <v>12</v>
      </c>
      <c r="N32" s="3" t="s">
        <v>468</v>
      </c>
      <c r="O32" s="3" t="s">
        <v>496</v>
      </c>
      <c r="Q32" s="3">
        <v>1</v>
      </c>
      <c r="R32" s="7"/>
      <c r="S32" s="7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CO32" s="3">
        <v>1</v>
      </c>
      <c r="EZ32" s="92"/>
      <c r="FA32" s="92"/>
      <c r="FB32" s="92"/>
      <c r="FC32" s="92"/>
      <c r="FD32" s="92"/>
    </row>
    <row r="33" spans="1:160">
      <c r="A33" s="73"/>
      <c r="B33" s="77">
        <f t="shared" si="0"/>
        <v>0</v>
      </c>
      <c r="C33" s="77" t="str">
        <f t="shared" si="1"/>
        <v/>
      </c>
      <c r="D33" s="77" t="str">
        <f t="shared" si="2"/>
        <v/>
      </c>
      <c r="E33" s="77" t="str">
        <f t="shared" si="3"/>
        <v/>
      </c>
      <c r="F33" s="77" t="str">
        <f t="shared" si="4"/>
        <v/>
      </c>
      <c r="G33" s="77" t="str">
        <f t="shared" si="5"/>
        <v/>
      </c>
      <c r="H33" s="95" t="str">
        <f>IF(AND(M33&gt;0,M33&lt;=STATS!$C$22),1,"")</f>
        <v/>
      </c>
      <c r="J33" s="21">
        <v>32</v>
      </c>
      <c r="K33">
        <v>45.416789999999999</v>
      </c>
      <c r="L33">
        <v>-92.095020000000005</v>
      </c>
      <c r="M33" s="3">
        <v>14</v>
      </c>
      <c r="N33" s="3" t="s">
        <v>468</v>
      </c>
      <c r="O33" s="3" t="s">
        <v>496</v>
      </c>
      <c r="R33" s="7"/>
      <c r="S33" s="7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EZ33" s="92"/>
      <c r="FA33" s="92"/>
      <c r="FB33" s="92"/>
      <c r="FC33" s="92"/>
      <c r="FD33" s="92"/>
    </row>
    <row r="34" spans="1:160">
      <c r="A34" s="73"/>
      <c r="B34" s="77">
        <f t="shared" si="0"/>
        <v>1</v>
      </c>
      <c r="C34" s="77">
        <f t="shared" si="1"/>
        <v>1</v>
      </c>
      <c r="D34" s="77">
        <f t="shared" si="2"/>
        <v>1</v>
      </c>
      <c r="E34" s="77">
        <f t="shared" si="3"/>
        <v>1</v>
      </c>
      <c r="F34" s="77">
        <f t="shared" si="4"/>
        <v>1</v>
      </c>
      <c r="G34" s="77">
        <f t="shared" si="5"/>
        <v>3.5</v>
      </c>
      <c r="H34" s="95">
        <f>IF(AND(M34&gt;0,M34&lt;=STATS!$C$22),1,"")</f>
        <v>1</v>
      </c>
      <c r="J34" s="21">
        <v>33</v>
      </c>
      <c r="K34">
        <v>45.416980000000002</v>
      </c>
      <c r="L34">
        <v>-92.096789999999999</v>
      </c>
      <c r="M34" s="3">
        <v>3.5</v>
      </c>
      <c r="N34" s="3" t="s">
        <v>468</v>
      </c>
      <c r="O34" s="3" t="s">
        <v>496</v>
      </c>
      <c r="Q34" s="3">
        <v>2</v>
      </c>
      <c r="R34" s="7"/>
      <c r="S34" s="7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>
        <v>2</v>
      </c>
      <c r="AF34" s="23"/>
      <c r="AG34" s="23"/>
      <c r="AH34" s="23"/>
      <c r="EZ34" s="92"/>
      <c r="FA34" s="92"/>
      <c r="FB34" s="92">
        <v>1</v>
      </c>
      <c r="FC34" s="92"/>
      <c r="FD34" s="92"/>
    </row>
    <row r="35" spans="1:160">
      <c r="B35" s="77">
        <f t="shared" si="0"/>
        <v>2</v>
      </c>
      <c r="C35" s="77">
        <f t="shared" si="1"/>
        <v>2</v>
      </c>
      <c r="D35" s="77">
        <f t="shared" si="2"/>
        <v>2</v>
      </c>
      <c r="E35" s="77">
        <f t="shared" si="3"/>
        <v>2</v>
      </c>
      <c r="F35" s="77">
        <f t="shared" si="4"/>
        <v>2</v>
      </c>
      <c r="G35" s="77">
        <f t="shared" si="5"/>
        <v>6.5</v>
      </c>
      <c r="H35" s="95">
        <f>IF(AND(M35&gt;0,M35&lt;=STATS!$C$22),1,"")</f>
        <v>1</v>
      </c>
      <c r="J35" s="21">
        <v>34</v>
      </c>
      <c r="K35">
        <v>45.416989999999998</v>
      </c>
      <c r="L35">
        <v>-92.096469999999997</v>
      </c>
      <c r="M35" s="3">
        <v>6.5</v>
      </c>
      <c r="N35" s="3" t="s">
        <v>468</v>
      </c>
      <c r="O35" s="3" t="s">
        <v>496</v>
      </c>
      <c r="Q35" s="3">
        <v>1</v>
      </c>
      <c r="R35" s="7"/>
      <c r="S35" s="7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>
        <v>1</v>
      </c>
      <c r="AF35" s="23"/>
      <c r="AG35" s="23"/>
      <c r="AH35" s="23"/>
      <c r="CW35" s="3">
        <v>1</v>
      </c>
      <c r="EZ35" s="92"/>
      <c r="FA35" s="92"/>
      <c r="FB35" s="92">
        <v>1</v>
      </c>
      <c r="FC35" s="92"/>
      <c r="FD35" s="92"/>
    </row>
    <row r="36" spans="1:160">
      <c r="B36" s="77">
        <f t="shared" si="0"/>
        <v>1</v>
      </c>
      <c r="C36" s="77">
        <f t="shared" si="1"/>
        <v>1</v>
      </c>
      <c r="D36" s="77" t="str">
        <f t="shared" si="2"/>
        <v/>
      </c>
      <c r="E36" s="77">
        <f t="shared" si="3"/>
        <v>1</v>
      </c>
      <c r="F36" s="77">
        <f t="shared" si="4"/>
        <v>0</v>
      </c>
      <c r="G36" s="77">
        <f t="shared" si="5"/>
        <v>8</v>
      </c>
      <c r="H36" s="95">
        <f>IF(AND(M36&gt;0,M36&lt;=STATS!$C$22),1,"")</f>
        <v>1</v>
      </c>
      <c r="J36" s="21">
        <v>35</v>
      </c>
      <c r="K36">
        <v>45.416989999999998</v>
      </c>
      <c r="L36">
        <v>-92.096149999999994</v>
      </c>
      <c r="M36" s="3">
        <v>8</v>
      </c>
      <c r="N36" s="3" t="s">
        <v>468</v>
      </c>
      <c r="O36" s="3" t="s">
        <v>496</v>
      </c>
      <c r="Q36" s="3">
        <v>1</v>
      </c>
      <c r="R36" s="7"/>
      <c r="S36" s="7">
        <v>1</v>
      </c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EZ36" s="92"/>
      <c r="FA36" s="92"/>
      <c r="FB36" s="92">
        <v>1</v>
      </c>
      <c r="FC36" s="92"/>
      <c r="FD36" s="92"/>
    </row>
    <row r="37" spans="1:160">
      <c r="B37" s="77">
        <f t="shared" si="0"/>
        <v>0</v>
      </c>
      <c r="C37" s="77" t="str">
        <f t="shared" si="1"/>
        <v/>
      </c>
      <c r="D37" s="77" t="str">
        <f t="shared" si="2"/>
        <v/>
      </c>
      <c r="E37" s="77">
        <f t="shared" si="3"/>
        <v>0</v>
      </c>
      <c r="F37" s="77">
        <f t="shared" si="4"/>
        <v>0</v>
      </c>
      <c r="G37" s="77" t="str">
        <f t="shared" si="5"/>
        <v/>
      </c>
      <c r="H37" s="95">
        <f>IF(AND(M37&gt;0,M37&lt;=STATS!$C$22),1,"")</f>
        <v>1</v>
      </c>
      <c r="J37" s="21">
        <v>36</v>
      </c>
      <c r="K37">
        <v>45.417000000000002</v>
      </c>
      <c r="L37">
        <v>-92.095830000000007</v>
      </c>
      <c r="M37" s="3">
        <v>10.5</v>
      </c>
      <c r="N37" s="3" t="s">
        <v>468</v>
      </c>
      <c r="O37" s="3" t="s">
        <v>496</v>
      </c>
      <c r="R37" s="7"/>
      <c r="S37" s="7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EZ37" s="92"/>
      <c r="FA37" s="92"/>
      <c r="FB37" s="92">
        <v>1</v>
      </c>
      <c r="FC37" s="92"/>
      <c r="FD37" s="92"/>
    </row>
    <row r="38" spans="1:160">
      <c r="B38" s="77">
        <f t="shared" si="0"/>
        <v>0</v>
      </c>
      <c r="C38" s="77" t="str">
        <f t="shared" si="1"/>
        <v/>
      </c>
      <c r="D38" s="77" t="str">
        <f t="shared" si="2"/>
        <v/>
      </c>
      <c r="E38" s="77">
        <f t="shared" si="3"/>
        <v>0</v>
      </c>
      <c r="F38" s="77">
        <f t="shared" si="4"/>
        <v>0</v>
      </c>
      <c r="G38" s="77" t="str">
        <f t="shared" si="5"/>
        <v/>
      </c>
      <c r="H38" s="95">
        <f>IF(AND(M38&gt;0,M38&lt;=STATS!$C$22),1,"")</f>
        <v>1</v>
      </c>
      <c r="J38" s="21">
        <v>37</v>
      </c>
      <c r="K38">
        <v>45.417000000000002</v>
      </c>
      <c r="L38">
        <v>-92.095510000000004</v>
      </c>
      <c r="M38" s="3">
        <v>11.5</v>
      </c>
      <c r="N38" s="3" t="s">
        <v>468</v>
      </c>
      <c r="O38" s="3" t="s">
        <v>496</v>
      </c>
      <c r="R38" s="7"/>
      <c r="S38" s="7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EZ38" s="92"/>
      <c r="FA38" s="92"/>
      <c r="FB38" s="92">
        <v>1</v>
      </c>
      <c r="FC38" s="92"/>
      <c r="FD38" s="92"/>
    </row>
    <row r="39" spans="1:160">
      <c r="B39" s="77">
        <f t="shared" si="0"/>
        <v>0</v>
      </c>
      <c r="C39" s="77" t="str">
        <f t="shared" si="1"/>
        <v/>
      </c>
      <c r="D39" s="77" t="str">
        <f t="shared" si="2"/>
        <v/>
      </c>
      <c r="E39" s="77">
        <f t="shared" si="3"/>
        <v>0</v>
      </c>
      <c r="F39" s="77">
        <f t="shared" si="4"/>
        <v>0</v>
      </c>
      <c r="G39" s="77" t="str">
        <f t="shared" si="5"/>
        <v/>
      </c>
      <c r="H39" s="95">
        <f>IF(AND(M39&gt;0,M39&lt;=STATS!$C$22),1,"")</f>
        <v>1</v>
      </c>
      <c r="J39" s="21">
        <v>38</v>
      </c>
      <c r="K39">
        <v>45.417009999999998</v>
      </c>
      <c r="L39">
        <v>-92.095190000000002</v>
      </c>
      <c r="M39" s="3">
        <v>13</v>
      </c>
      <c r="N39" s="3" t="s">
        <v>468</v>
      </c>
      <c r="O39" s="3" t="s">
        <v>496</v>
      </c>
      <c r="R39" s="7"/>
      <c r="S39" s="7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EZ39" s="92"/>
      <c r="FA39" s="92"/>
      <c r="FB39" s="92">
        <v>1</v>
      </c>
      <c r="FC39" s="92"/>
      <c r="FD39" s="92"/>
    </row>
    <row r="40" spans="1:160">
      <c r="B40" s="77">
        <f t="shared" si="0"/>
        <v>0</v>
      </c>
      <c r="C40" s="77" t="str">
        <f t="shared" si="1"/>
        <v/>
      </c>
      <c r="D40" s="77" t="str">
        <f t="shared" si="2"/>
        <v/>
      </c>
      <c r="E40" s="77" t="str">
        <f t="shared" si="3"/>
        <v/>
      </c>
      <c r="F40" s="77" t="str">
        <f t="shared" si="4"/>
        <v/>
      </c>
      <c r="G40" s="77" t="str">
        <f t="shared" si="5"/>
        <v/>
      </c>
      <c r="H40" s="95" t="str">
        <f>IF(AND(M40&gt;0,M40&lt;=STATS!$C$22),1,"")</f>
        <v/>
      </c>
      <c r="J40" s="21">
        <v>39</v>
      </c>
      <c r="K40">
        <v>45.417020000000001</v>
      </c>
      <c r="L40">
        <v>-92.09487</v>
      </c>
      <c r="M40" s="3">
        <v>14</v>
      </c>
      <c r="N40" s="3" t="s">
        <v>468</v>
      </c>
      <c r="O40" s="3" t="s">
        <v>496</v>
      </c>
      <c r="R40" s="7"/>
      <c r="S40" s="7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EZ40" s="92"/>
      <c r="FA40" s="92"/>
      <c r="FB40" s="92"/>
      <c r="FC40" s="92"/>
      <c r="FD40" s="92"/>
    </row>
    <row r="41" spans="1:160">
      <c r="B41" s="77">
        <f t="shared" si="0"/>
        <v>1</v>
      </c>
      <c r="C41" s="77">
        <f t="shared" si="1"/>
        <v>1</v>
      </c>
      <c r="D41" s="77" t="str">
        <f t="shared" si="2"/>
        <v/>
      </c>
      <c r="E41" s="77">
        <f t="shared" si="3"/>
        <v>1</v>
      </c>
      <c r="F41" s="77">
        <f t="shared" si="4"/>
        <v>0</v>
      </c>
      <c r="G41" s="77">
        <f t="shared" si="5"/>
        <v>5.5</v>
      </c>
      <c r="H41" s="95">
        <f>IF(AND(M41&gt;0,M41&lt;=STATS!$C$22),1,"")</f>
        <v>1</v>
      </c>
      <c r="J41" s="21">
        <v>40</v>
      </c>
      <c r="K41">
        <v>45.417209999999997</v>
      </c>
      <c r="L41">
        <v>-92.096630000000005</v>
      </c>
      <c r="M41" s="3">
        <v>5.5</v>
      </c>
      <c r="N41" s="3" t="s">
        <v>468</v>
      </c>
      <c r="O41" s="3" t="s">
        <v>496</v>
      </c>
      <c r="Q41" s="3">
        <v>1</v>
      </c>
      <c r="R41" s="7"/>
      <c r="S41" s="7">
        <v>1</v>
      </c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EZ41" s="92"/>
      <c r="FA41" s="92"/>
      <c r="FB41" s="92">
        <v>1</v>
      </c>
      <c r="FC41" s="92"/>
      <c r="FD41" s="92"/>
    </row>
    <row r="42" spans="1:160">
      <c r="B42" s="77">
        <f t="shared" si="0"/>
        <v>0</v>
      </c>
      <c r="C42" s="77" t="str">
        <f t="shared" si="1"/>
        <v/>
      </c>
      <c r="D42" s="77" t="str">
        <f t="shared" si="2"/>
        <v/>
      </c>
      <c r="E42" s="77">
        <f t="shared" si="3"/>
        <v>0</v>
      </c>
      <c r="F42" s="77">
        <f t="shared" si="4"/>
        <v>0</v>
      </c>
      <c r="G42" s="77" t="str">
        <f t="shared" si="5"/>
        <v/>
      </c>
      <c r="H42" s="95">
        <f>IF(AND(M42&gt;0,M42&lt;=STATS!$C$22),1,"")</f>
        <v>1</v>
      </c>
      <c r="J42" s="21">
        <v>41</v>
      </c>
      <c r="K42">
        <v>45.417209999999997</v>
      </c>
      <c r="L42">
        <v>-92.096320000000006</v>
      </c>
      <c r="M42" s="3">
        <v>8</v>
      </c>
      <c r="N42" s="3" t="s">
        <v>468</v>
      </c>
      <c r="O42" s="3" t="s">
        <v>496</v>
      </c>
      <c r="R42" s="7"/>
      <c r="S42" s="7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EZ42" s="92"/>
      <c r="FA42" s="92"/>
      <c r="FB42" s="92">
        <v>1</v>
      </c>
      <c r="FC42" s="92"/>
      <c r="FD42" s="92"/>
    </row>
    <row r="43" spans="1:160">
      <c r="B43" s="77">
        <f t="shared" si="0"/>
        <v>0</v>
      </c>
      <c r="C43" s="77" t="str">
        <f t="shared" si="1"/>
        <v/>
      </c>
      <c r="D43" s="77" t="str">
        <f t="shared" si="2"/>
        <v/>
      </c>
      <c r="E43" s="77">
        <f t="shared" si="3"/>
        <v>0</v>
      </c>
      <c r="F43" s="77">
        <f t="shared" si="4"/>
        <v>0</v>
      </c>
      <c r="G43" s="77" t="str">
        <f t="shared" si="5"/>
        <v/>
      </c>
      <c r="H43" s="95">
        <f>IF(AND(M43&gt;0,M43&lt;=STATS!$C$22),1,"")</f>
        <v>1</v>
      </c>
      <c r="J43" s="21">
        <v>42</v>
      </c>
      <c r="K43">
        <v>45.41722</v>
      </c>
      <c r="L43">
        <v>-92.096000000000004</v>
      </c>
      <c r="M43" s="3">
        <v>10</v>
      </c>
      <c r="N43" s="3" t="s">
        <v>468</v>
      </c>
      <c r="O43" s="3" t="s">
        <v>496</v>
      </c>
      <c r="R43" s="7"/>
      <c r="S43" s="7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EZ43" s="92"/>
      <c r="FA43" s="92"/>
      <c r="FB43" s="92">
        <v>1</v>
      </c>
      <c r="FC43" s="92"/>
      <c r="FD43" s="92"/>
    </row>
    <row r="44" spans="1:160">
      <c r="B44" s="77">
        <f t="shared" si="0"/>
        <v>0</v>
      </c>
      <c r="C44" s="77" t="str">
        <f t="shared" si="1"/>
        <v/>
      </c>
      <c r="D44" s="77" t="str">
        <f t="shared" si="2"/>
        <v/>
      </c>
      <c r="E44" s="77">
        <f t="shared" si="3"/>
        <v>0</v>
      </c>
      <c r="F44" s="77">
        <f t="shared" si="4"/>
        <v>0</v>
      </c>
      <c r="G44" s="77" t="str">
        <f t="shared" si="5"/>
        <v/>
      </c>
      <c r="H44" s="95">
        <f>IF(AND(M44&gt;0,M44&lt;=STATS!$C$22),1,"")</f>
        <v>1</v>
      </c>
      <c r="J44" s="21">
        <v>43</v>
      </c>
      <c r="K44">
        <v>45.417230000000004</v>
      </c>
      <c r="L44">
        <v>-92.095680000000002</v>
      </c>
      <c r="M44" s="3">
        <v>10.5</v>
      </c>
      <c r="N44" s="3" t="s">
        <v>468</v>
      </c>
      <c r="O44" s="3" t="s">
        <v>496</v>
      </c>
      <c r="R44" s="7"/>
      <c r="S44" s="7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EZ44" s="92"/>
      <c r="FA44" s="92"/>
      <c r="FB44" s="92">
        <v>1</v>
      </c>
      <c r="FC44" s="92"/>
      <c r="FD44" s="92"/>
    </row>
    <row r="45" spans="1:160">
      <c r="B45" s="77">
        <f t="shared" si="0"/>
        <v>0</v>
      </c>
      <c r="C45" s="77" t="str">
        <f t="shared" si="1"/>
        <v/>
      </c>
      <c r="D45" s="77" t="str">
        <f t="shared" si="2"/>
        <v/>
      </c>
      <c r="E45" s="77">
        <f t="shared" si="3"/>
        <v>0</v>
      </c>
      <c r="F45" s="77">
        <f t="shared" si="4"/>
        <v>0</v>
      </c>
      <c r="G45" s="77" t="str">
        <f t="shared" si="5"/>
        <v/>
      </c>
      <c r="H45" s="95">
        <f>IF(AND(M45&gt;0,M45&lt;=STATS!$C$22),1,"")</f>
        <v>1</v>
      </c>
      <c r="J45" s="21">
        <v>44</v>
      </c>
      <c r="K45">
        <v>45.417230000000004</v>
      </c>
      <c r="L45">
        <v>-92.095359999999999</v>
      </c>
      <c r="M45" s="3">
        <v>11</v>
      </c>
      <c r="N45" s="3" t="s">
        <v>468</v>
      </c>
      <c r="O45" s="3" t="s">
        <v>496</v>
      </c>
      <c r="R45" s="7"/>
      <c r="S45" s="7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EZ45" s="92"/>
      <c r="FA45" s="92"/>
      <c r="FB45" s="92">
        <v>1</v>
      </c>
      <c r="FC45" s="92"/>
      <c r="FD45" s="92"/>
    </row>
    <row r="46" spans="1:160">
      <c r="B46" s="77">
        <f t="shared" si="0"/>
        <v>0</v>
      </c>
      <c r="C46" s="77" t="str">
        <f t="shared" si="1"/>
        <v/>
      </c>
      <c r="D46" s="77" t="str">
        <f t="shared" si="2"/>
        <v/>
      </c>
      <c r="E46" s="77">
        <f t="shared" si="3"/>
        <v>0</v>
      </c>
      <c r="F46" s="77">
        <f t="shared" si="4"/>
        <v>0</v>
      </c>
      <c r="G46" s="77" t="str">
        <f t="shared" si="5"/>
        <v/>
      </c>
      <c r="H46" s="95">
        <f>IF(AND(M46&gt;0,M46&lt;=STATS!$C$22),1,"")</f>
        <v>1</v>
      </c>
      <c r="J46" s="21">
        <v>45</v>
      </c>
      <c r="K46">
        <v>45.41724</v>
      </c>
      <c r="L46">
        <v>-92.095039999999997</v>
      </c>
      <c r="M46" s="3">
        <v>11</v>
      </c>
      <c r="N46" s="3" t="s">
        <v>468</v>
      </c>
      <c r="O46" s="3" t="s">
        <v>496</v>
      </c>
      <c r="R46" s="7"/>
      <c r="S46" s="7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EZ46" s="92"/>
      <c r="FA46" s="92"/>
      <c r="FB46" s="92">
        <v>1</v>
      </c>
      <c r="FC46" s="92"/>
      <c r="FD46" s="92"/>
    </row>
    <row r="47" spans="1:160">
      <c r="B47" s="77">
        <f t="shared" si="0"/>
        <v>2</v>
      </c>
      <c r="C47" s="77">
        <f t="shared" si="1"/>
        <v>2</v>
      </c>
      <c r="D47" s="77">
        <f t="shared" si="2"/>
        <v>2</v>
      </c>
      <c r="E47" s="77">
        <f t="shared" si="3"/>
        <v>2</v>
      </c>
      <c r="F47" s="77">
        <f t="shared" si="4"/>
        <v>2</v>
      </c>
      <c r="G47" s="77">
        <f t="shared" si="5"/>
        <v>3.5</v>
      </c>
      <c r="H47" s="95">
        <f>IF(AND(M47&gt;0,M47&lt;=STATS!$C$22),1,"")</f>
        <v>1</v>
      </c>
      <c r="J47" s="21">
        <v>46</v>
      </c>
      <c r="K47">
        <v>45.41742</v>
      </c>
      <c r="L47">
        <v>-92.097120000000004</v>
      </c>
      <c r="M47" s="3">
        <v>3.5</v>
      </c>
      <c r="N47" s="3" t="s">
        <v>468</v>
      </c>
      <c r="O47" s="3" t="s">
        <v>496</v>
      </c>
      <c r="Q47" s="3">
        <v>1</v>
      </c>
      <c r="R47" s="7"/>
      <c r="S47" s="7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>
        <v>1</v>
      </c>
      <c r="AF47" s="23"/>
      <c r="AG47" s="23"/>
      <c r="AH47" s="23"/>
      <c r="EF47" s="3">
        <v>1</v>
      </c>
      <c r="EZ47" s="92"/>
      <c r="FA47" s="92"/>
      <c r="FB47" s="92">
        <v>2</v>
      </c>
      <c r="FC47" s="92"/>
      <c r="FD47" s="92"/>
    </row>
    <row r="48" spans="1:160">
      <c r="B48" s="77">
        <f t="shared" si="0"/>
        <v>1</v>
      </c>
      <c r="C48" s="77">
        <f t="shared" si="1"/>
        <v>1</v>
      </c>
      <c r="D48" s="77" t="str">
        <f t="shared" si="2"/>
        <v/>
      </c>
      <c r="E48" s="77">
        <f t="shared" si="3"/>
        <v>1</v>
      </c>
      <c r="F48" s="77">
        <f t="shared" si="4"/>
        <v>0</v>
      </c>
      <c r="G48" s="77">
        <f t="shared" si="5"/>
        <v>6.5</v>
      </c>
      <c r="H48" s="95">
        <f>IF(AND(M48&gt;0,M48&lt;=STATS!$C$22),1,"")</f>
        <v>1</v>
      </c>
      <c r="J48" s="21">
        <v>47</v>
      </c>
      <c r="K48">
        <v>45.417430000000003</v>
      </c>
      <c r="L48">
        <v>-92.096800000000002</v>
      </c>
      <c r="M48" s="3">
        <v>6.5</v>
      </c>
      <c r="N48" s="3" t="s">
        <v>468</v>
      </c>
      <c r="O48" s="3" t="s">
        <v>496</v>
      </c>
      <c r="Q48" s="3">
        <v>1</v>
      </c>
      <c r="R48" s="7"/>
      <c r="S48" s="7">
        <v>1</v>
      </c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EZ48" s="92"/>
      <c r="FA48" s="92"/>
      <c r="FB48" s="92">
        <v>1</v>
      </c>
      <c r="FC48" s="92"/>
      <c r="FD48" s="92"/>
    </row>
    <row r="49" spans="2:160">
      <c r="B49" s="77">
        <f t="shared" si="0"/>
        <v>1</v>
      </c>
      <c r="C49" s="77">
        <f t="shared" si="1"/>
        <v>1</v>
      </c>
      <c r="D49" s="77" t="str">
        <f t="shared" si="2"/>
        <v/>
      </c>
      <c r="E49" s="77">
        <f t="shared" si="3"/>
        <v>1</v>
      </c>
      <c r="F49" s="77">
        <f t="shared" si="4"/>
        <v>0</v>
      </c>
      <c r="G49" s="77">
        <f t="shared" si="5"/>
        <v>7</v>
      </c>
      <c r="H49" s="95">
        <f>IF(AND(M49&gt;0,M49&lt;=STATS!$C$22),1,"")</f>
        <v>1</v>
      </c>
      <c r="J49" s="21">
        <v>48</v>
      </c>
      <c r="K49">
        <v>45.417439999999999</v>
      </c>
      <c r="L49">
        <v>-92.09648</v>
      </c>
      <c r="M49" s="3">
        <v>7</v>
      </c>
      <c r="N49" s="3" t="s">
        <v>468</v>
      </c>
      <c r="O49" s="3" t="s">
        <v>496</v>
      </c>
      <c r="Q49" s="3">
        <v>1</v>
      </c>
      <c r="R49" s="7"/>
      <c r="S49" s="7">
        <v>1</v>
      </c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EZ49" s="92"/>
      <c r="FA49" s="92"/>
      <c r="FB49" s="92"/>
      <c r="FC49" s="92"/>
      <c r="FD49" s="92"/>
    </row>
    <row r="50" spans="2:160">
      <c r="B50" s="77">
        <f t="shared" si="0"/>
        <v>1</v>
      </c>
      <c r="C50" s="77">
        <f t="shared" si="1"/>
        <v>1</v>
      </c>
      <c r="D50" s="77" t="str">
        <f t="shared" si="2"/>
        <v/>
      </c>
      <c r="E50" s="77">
        <f t="shared" si="3"/>
        <v>1</v>
      </c>
      <c r="F50" s="77">
        <f t="shared" si="4"/>
        <v>0</v>
      </c>
      <c r="G50" s="77">
        <f t="shared" si="5"/>
        <v>7</v>
      </c>
      <c r="H50" s="95">
        <f>IF(AND(M50&gt;0,M50&lt;=STATS!$C$22),1,"")</f>
        <v>1</v>
      </c>
      <c r="J50" s="21">
        <v>49</v>
      </c>
      <c r="K50">
        <v>45.417439999999999</v>
      </c>
      <c r="L50">
        <v>-92.096159999999998</v>
      </c>
      <c r="M50" s="3">
        <v>7</v>
      </c>
      <c r="N50" s="3" t="s">
        <v>468</v>
      </c>
      <c r="O50" s="3" t="s">
        <v>496</v>
      </c>
      <c r="Q50" s="3">
        <v>1</v>
      </c>
      <c r="R50" s="7"/>
      <c r="S50" s="7">
        <v>1</v>
      </c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EZ50" s="92"/>
      <c r="FA50" s="92"/>
      <c r="FB50" s="92"/>
      <c r="FC50" s="92"/>
      <c r="FD50" s="92"/>
    </row>
    <row r="51" spans="2:160">
      <c r="B51" s="77">
        <f t="shared" si="0"/>
        <v>0</v>
      </c>
      <c r="C51" s="77" t="str">
        <f t="shared" si="1"/>
        <v/>
      </c>
      <c r="D51" s="77" t="str">
        <f t="shared" si="2"/>
        <v/>
      </c>
      <c r="E51" s="77">
        <f t="shared" si="3"/>
        <v>0</v>
      </c>
      <c r="F51" s="77">
        <f t="shared" si="4"/>
        <v>0</v>
      </c>
      <c r="G51" s="77" t="str">
        <f t="shared" si="5"/>
        <v/>
      </c>
      <c r="H51" s="95">
        <f>IF(AND(M51&gt;0,M51&lt;=STATS!$C$22),1,"")</f>
        <v>1</v>
      </c>
      <c r="J51" s="21">
        <v>50</v>
      </c>
      <c r="K51">
        <v>45.417450000000002</v>
      </c>
      <c r="L51">
        <v>-92.095839999999995</v>
      </c>
      <c r="M51" s="3">
        <v>7</v>
      </c>
      <c r="N51" s="3" t="s">
        <v>468</v>
      </c>
      <c r="O51" s="3" t="s">
        <v>496</v>
      </c>
      <c r="R51" s="7"/>
      <c r="S51" s="7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EZ51" s="92"/>
      <c r="FA51" s="92"/>
      <c r="FB51" s="92">
        <v>1</v>
      </c>
      <c r="FC51" s="92"/>
      <c r="FD51" s="92"/>
    </row>
    <row r="52" spans="2:160">
      <c r="B52" s="77">
        <f t="shared" si="0"/>
        <v>0</v>
      </c>
      <c r="C52" s="77" t="str">
        <f t="shared" si="1"/>
        <v/>
      </c>
      <c r="D52" s="77" t="str">
        <f t="shared" si="2"/>
        <v/>
      </c>
      <c r="E52" s="77">
        <f t="shared" si="3"/>
        <v>0</v>
      </c>
      <c r="F52" s="77">
        <f t="shared" si="4"/>
        <v>0</v>
      </c>
      <c r="G52" s="77" t="str">
        <f t="shared" si="5"/>
        <v/>
      </c>
      <c r="H52" s="95">
        <f>IF(AND(M52&gt;0,M52&lt;=STATS!$C$22),1,"")</f>
        <v>1</v>
      </c>
      <c r="J52" s="21">
        <v>51</v>
      </c>
      <c r="K52">
        <v>45.417450000000002</v>
      </c>
      <c r="L52">
        <v>-92.095529999999997</v>
      </c>
      <c r="M52" s="3">
        <v>7</v>
      </c>
      <c r="N52" s="3" t="s">
        <v>468</v>
      </c>
      <c r="O52" s="3" t="s">
        <v>496</v>
      </c>
      <c r="R52" s="7"/>
      <c r="S52" s="7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EZ52" s="92"/>
      <c r="FA52" s="92"/>
      <c r="FB52" s="92">
        <v>1</v>
      </c>
      <c r="FC52" s="92"/>
      <c r="FD52" s="92"/>
    </row>
    <row r="53" spans="2:160">
      <c r="B53" s="77">
        <f t="shared" si="0"/>
        <v>0</v>
      </c>
      <c r="C53" s="77" t="str">
        <f t="shared" si="1"/>
        <v/>
      </c>
      <c r="D53" s="77" t="str">
        <f t="shared" si="2"/>
        <v/>
      </c>
      <c r="E53" s="77">
        <f t="shared" si="3"/>
        <v>0</v>
      </c>
      <c r="F53" s="77">
        <f t="shared" si="4"/>
        <v>0</v>
      </c>
      <c r="G53" s="77" t="str">
        <f t="shared" si="5"/>
        <v/>
      </c>
      <c r="H53" s="95">
        <f>IF(AND(M53&gt;0,M53&lt;=STATS!$C$22),1,"")</f>
        <v>1</v>
      </c>
      <c r="J53" s="21">
        <v>52</v>
      </c>
      <c r="K53">
        <v>45.417650000000002</v>
      </c>
      <c r="L53">
        <v>-92.097290000000001</v>
      </c>
      <c r="M53" s="3">
        <v>3.5</v>
      </c>
      <c r="N53" s="3" t="s">
        <v>468</v>
      </c>
      <c r="O53" s="3" t="s">
        <v>496</v>
      </c>
      <c r="R53" s="7"/>
      <c r="S53" s="7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EZ53" s="92"/>
      <c r="FA53" s="92"/>
      <c r="FB53" s="92">
        <v>1</v>
      </c>
      <c r="FC53" s="92"/>
      <c r="FD53" s="92"/>
    </row>
    <row r="54" spans="2:160">
      <c r="B54" s="77">
        <f t="shared" si="0"/>
        <v>0</v>
      </c>
      <c r="C54" s="77" t="str">
        <f t="shared" si="1"/>
        <v/>
      </c>
      <c r="D54" s="77" t="str">
        <f t="shared" si="2"/>
        <v/>
      </c>
      <c r="E54" s="77">
        <f t="shared" si="3"/>
        <v>0</v>
      </c>
      <c r="F54" s="77">
        <f t="shared" si="4"/>
        <v>0</v>
      </c>
      <c r="G54" s="77" t="str">
        <f t="shared" si="5"/>
        <v/>
      </c>
      <c r="H54" s="95">
        <f>IF(AND(M54&gt;0,M54&lt;=STATS!$C$22),1,"")</f>
        <v>1</v>
      </c>
      <c r="J54" s="21">
        <v>53</v>
      </c>
      <c r="K54">
        <v>45.417650000000002</v>
      </c>
      <c r="L54">
        <v>-92.096969999999999</v>
      </c>
      <c r="M54" s="3">
        <v>4.5</v>
      </c>
      <c r="N54" s="3" t="s">
        <v>468</v>
      </c>
      <c r="O54" s="3" t="s">
        <v>496</v>
      </c>
      <c r="R54" s="7"/>
      <c r="S54" s="7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EZ54" s="92"/>
      <c r="FA54" s="92"/>
      <c r="FB54" s="92">
        <v>1</v>
      </c>
      <c r="FC54" s="92"/>
      <c r="FD54" s="92"/>
    </row>
    <row r="55" spans="2:160">
      <c r="B55" s="77">
        <f t="shared" si="0"/>
        <v>1</v>
      </c>
      <c r="C55" s="77">
        <f t="shared" si="1"/>
        <v>1</v>
      </c>
      <c r="D55" s="77">
        <f t="shared" si="2"/>
        <v>1</v>
      </c>
      <c r="E55" s="77">
        <f t="shared" si="3"/>
        <v>1</v>
      </c>
      <c r="F55" s="77">
        <f t="shared" si="4"/>
        <v>1</v>
      </c>
      <c r="G55" s="77">
        <f t="shared" si="5"/>
        <v>7</v>
      </c>
      <c r="H55" s="95">
        <f>IF(AND(M55&gt;0,M55&lt;=STATS!$C$22),1,"")</f>
        <v>1</v>
      </c>
      <c r="J55" s="21">
        <v>54</v>
      </c>
      <c r="K55">
        <v>45.417659999999998</v>
      </c>
      <c r="L55">
        <v>-92.096649999999997</v>
      </c>
      <c r="M55" s="3">
        <v>7</v>
      </c>
      <c r="N55" s="3" t="s">
        <v>468</v>
      </c>
      <c r="O55" s="3" t="s">
        <v>496</v>
      </c>
      <c r="Q55" s="3">
        <v>1</v>
      </c>
      <c r="R55" s="7"/>
      <c r="S55" s="7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>
        <v>1</v>
      </c>
      <c r="AF55" s="23"/>
      <c r="AG55" s="23"/>
      <c r="AH55" s="23"/>
      <c r="EZ55" s="92"/>
      <c r="FA55" s="92"/>
      <c r="FB55" s="92">
        <v>1</v>
      </c>
      <c r="FC55" s="92"/>
      <c r="FD55" s="92"/>
    </row>
    <row r="56" spans="2:160">
      <c r="B56" s="77">
        <f t="shared" si="0"/>
        <v>0</v>
      </c>
      <c r="C56" s="77" t="str">
        <f t="shared" si="1"/>
        <v/>
      </c>
      <c r="D56" s="77" t="str">
        <f t="shared" si="2"/>
        <v/>
      </c>
      <c r="E56" s="77">
        <f t="shared" si="3"/>
        <v>0</v>
      </c>
      <c r="F56" s="77">
        <f t="shared" si="4"/>
        <v>0</v>
      </c>
      <c r="G56" s="77" t="str">
        <f t="shared" si="5"/>
        <v/>
      </c>
      <c r="H56" s="95">
        <f>IF(AND(M56&gt;0,M56&lt;=STATS!$C$22),1,"")</f>
        <v>1</v>
      </c>
      <c r="J56" s="21">
        <v>55</v>
      </c>
      <c r="K56">
        <v>45.417659999999998</v>
      </c>
      <c r="L56">
        <v>-92.096329999999995</v>
      </c>
      <c r="M56" s="3">
        <v>8</v>
      </c>
      <c r="N56" s="3" t="s">
        <v>468</v>
      </c>
      <c r="O56" s="3" t="s">
        <v>496</v>
      </c>
      <c r="R56" s="7"/>
      <c r="S56" s="7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EZ56" s="92"/>
      <c r="FA56" s="92"/>
      <c r="FB56" s="92">
        <v>1</v>
      </c>
      <c r="FC56" s="92"/>
      <c r="FD56" s="92"/>
    </row>
    <row r="57" spans="2:160">
      <c r="B57" s="77">
        <f t="shared" si="0"/>
        <v>1</v>
      </c>
      <c r="C57" s="77">
        <f t="shared" si="1"/>
        <v>1</v>
      </c>
      <c r="D57" s="77">
        <f t="shared" si="2"/>
        <v>1</v>
      </c>
      <c r="E57" s="77">
        <f t="shared" si="3"/>
        <v>1</v>
      </c>
      <c r="F57" s="77">
        <f t="shared" si="4"/>
        <v>1</v>
      </c>
      <c r="G57" s="77">
        <f t="shared" si="5"/>
        <v>7</v>
      </c>
      <c r="H57" s="95">
        <f>IF(AND(M57&gt;0,M57&lt;=STATS!$C$22),1,"")</f>
        <v>1</v>
      </c>
      <c r="J57" s="21">
        <v>56</v>
      </c>
      <c r="K57">
        <v>45.417670000000001</v>
      </c>
      <c r="L57">
        <v>-92.096010000000007</v>
      </c>
      <c r="M57" s="3">
        <v>7</v>
      </c>
      <c r="N57" s="3" t="s">
        <v>468</v>
      </c>
      <c r="O57" s="3" t="s">
        <v>496</v>
      </c>
      <c r="Q57" s="3">
        <v>1</v>
      </c>
      <c r="R57" s="7"/>
      <c r="S57" s="7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>
        <v>1</v>
      </c>
      <c r="AF57" s="23"/>
      <c r="AG57" s="23"/>
      <c r="AH57" s="23"/>
      <c r="EZ57" s="92"/>
      <c r="FA57" s="92"/>
      <c r="FB57" s="92">
        <v>1</v>
      </c>
      <c r="FC57" s="92"/>
      <c r="FD57" s="92"/>
    </row>
    <row r="58" spans="2:160">
      <c r="B58" s="77">
        <f t="shared" si="0"/>
        <v>1</v>
      </c>
      <c r="C58" s="77">
        <f t="shared" si="1"/>
        <v>1</v>
      </c>
      <c r="D58" s="77" t="str">
        <f t="shared" si="2"/>
        <v/>
      </c>
      <c r="E58" s="77">
        <f t="shared" si="3"/>
        <v>1</v>
      </c>
      <c r="F58" s="77">
        <f t="shared" si="4"/>
        <v>0</v>
      </c>
      <c r="G58" s="77">
        <f t="shared" si="5"/>
        <v>5.5</v>
      </c>
      <c r="H58" s="95">
        <f>IF(AND(M58&gt;0,M58&lt;=STATS!$C$22),1,"")</f>
        <v>1</v>
      </c>
      <c r="J58" s="21">
        <v>57</v>
      </c>
      <c r="K58">
        <v>45.417679999999997</v>
      </c>
      <c r="L58">
        <v>-92.095690000000005</v>
      </c>
      <c r="M58" s="3">
        <v>5.5</v>
      </c>
      <c r="N58" s="3" t="s">
        <v>468</v>
      </c>
      <c r="O58" s="3" t="s">
        <v>496</v>
      </c>
      <c r="Q58" s="3">
        <v>1</v>
      </c>
      <c r="R58" s="7"/>
      <c r="S58" s="7">
        <v>1</v>
      </c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EZ58" s="92"/>
      <c r="FA58" s="92"/>
      <c r="FB58" s="92">
        <v>2</v>
      </c>
      <c r="FC58" s="92"/>
      <c r="FD58" s="92"/>
    </row>
    <row r="59" spans="2:160">
      <c r="B59" s="77">
        <f t="shared" si="0"/>
        <v>1</v>
      </c>
      <c r="C59" s="77">
        <f t="shared" si="1"/>
        <v>1</v>
      </c>
      <c r="D59" s="77" t="str">
        <f t="shared" si="2"/>
        <v/>
      </c>
      <c r="E59" s="77">
        <f t="shared" si="3"/>
        <v>1</v>
      </c>
      <c r="F59" s="77">
        <f t="shared" si="4"/>
        <v>0</v>
      </c>
      <c r="G59" s="77">
        <f t="shared" si="5"/>
        <v>3.5</v>
      </c>
      <c r="H59" s="95">
        <f>IF(AND(M59&gt;0,M59&lt;=STATS!$C$22),1,"")</f>
        <v>1</v>
      </c>
      <c r="J59" s="21">
        <v>58</v>
      </c>
      <c r="K59">
        <v>45.417870000000001</v>
      </c>
      <c r="L59">
        <v>-92.097459999999998</v>
      </c>
      <c r="M59" s="3">
        <v>3.5</v>
      </c>
      <c r="N59" s="3" t="s">
        <v>468</v>
      </c>
      <c r="O59" s="3" t="s">
        <v>496</v>
      </c>
      <c r="Q59" s="3">
        <v>1</v>
      </c>
      <c r="R59" s="7"/>
      <c r="S59" s="7">
        <v>1</v>
      </c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EZ59" s="92"/>
      <c r="FA59" s="92"/>
      <c r="FB59" s="92">
        <v>1</v>
      </c>
      <c r="FC59" s="92"/>
      <c r="FD59" s="92"/>
    </row>
    <row r="60" spans="2:160">
      <c r="B60" s="77">
        <f t="shared" si="0"/>
        <v>1</v>
      </c>
      <c r="C60" s="77">
        <f t="shared" si="1"/>
        <v>1</v>
      </c>
      <c r="D60" s="77">
        <f t="shared" si="2"/>
        <v>1</v>
      </c>
      <c r="E60" s="77">
        <f t="shared" si="3"/>
        <v>1</v>
      </c>
      <c r="F60" s="77">
        <f t="shared" si="4"/>
        <v>1</v>
      </c>
      <c r="G60" s="77">
        <f t="shared" si="5"/>
        <v>4.5</v>
      </c>
      <c r="H60" s="95">
        <f>IF(AND(M60&gt;0,M60&lt;=STATS!$C$22),1,"")</f>
        <v>1</v>
      </c>
      <c r="J60" s="21">
        <v>59</v>
      </c>
      <c r="K60">
        <v>45.417870000000001</v>
      </c>
      <c r="L60">
        <v>-92.097139999999996</v>
      </c>
      <c r="M60" s="3">
        <v>4.5</v>
      </c>
      <c r="N60" s="3" t="s">
        <v>468</v>
      </c>
      <c r="O60" s="3" t="s">
        <v>496</v>
      </c>
      <c r="Q60" s="3">
        <v>1</v>
      </c>
      <c r="R60" s="7"/>
      <c r="S60" s="7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>
        <v>1</v>
      </c>
      <c r="AF60" s="23"/>
      <c r="AG60" s="23"/>
      <c r="AH60" s="23"/>
      <c r="EZ60" s="92"/>
      <c r="FA60" s="92"/>
      <c r="FB60" s="92">
        <v>2</v>
      </c>
      <c r="FC60" s="92"/>
      <c r="FD60" s="92"/>
    </row>
    <row r="61" spans="2:160">
      <c r="B61" s="77">
        <f t="shared" si="0"/>
        <v>1</v>
      </c>
      <c r="C61" s="77">
        <f t="shared" si="1"/>
        <v>1</v>
      </c>
      <c r="D61" s="77" t="str">
        <f t="shared" si="2"/>
        <v/>
      </c>
      <c r="E61" s="77">
        <f t="shared" si="3"/>
        <v>1</v>
      </c>
      <c r="F61" s="77">
        <f t="shared" si="4"/>
        <v>0</v>
      </c>
      <c r="G61" s="77">
        <f t="shared" si="5"/>
        <v>5</v>
      </c>
      <c r="H61" s="95">
        <f>IF(AND(M61&gt;0,M61&lt;=STATS!$C$22),1,"")</f>
        <v>1</v>
      </c>
      <c r="J61" s="21">
        <v>60</v>
      </c>
      <c r="K61">
        <v>45.417879999999997</v>
      </c>
      <c r="L61">
        <v>-92.096819999999994</v>
      </c>
      <c r="M61" s="3">
        <v>5</v>
      </c>
      <c r="N61" s="3" t="s">
        <v>468</v>
      </c>
      <c r="O61" s="3" t="s">
        <v>496</v>
      </c>
      <c r="Q61" s="3">
        <v>1</v>
      </c>
      <c r="R61" s="7"/>
      <c r="S61" s="7">
        <v>1</v>
      </c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EZ61" s="92"/>
      <c r="FA61" s="92"/>
      <c r="FB61" s="92">
        <v>1</v>
      </c>
      <c r="FC61" s="92"/>
      <c r="FD61" s="92"/>
    </row>
    <row r="62" spans="2:160">
      <c r="B62" s="77">
        <f t="shared" si="0"/>
        <v>0</v>
      </c>
      <c r="C62" s="77" t="str">
        <f t="shared" si="1"/>
        <v/>
      </c>
      <c r="D62" s="77" t="str">
        <f t="shared" si="2"/>
        <v/>
      </c>
      <c r="E62" s="77">
        <f t="shared" si="3"/>
        <v>0</v>
      </c>
      <c r="F62" s="77">
        <f t="shared" si="4"/>
        <v>0</v>
      </c>
      <c r="G62" s="77" t="str">
        <f t="shared" si="5"/>
        <v/>
      </c>
      <c r="H62" s="95">
        <f>IF(AND(M62&gt;0,M62&lt;=STATS!$C$22),1,"")</f>
        <v>1</v>
      </c>
      <c r="J62" s="21">
        <v>61</v>
      </c>
      <c r="K62">
        <v>45.41789</v>
      </c>
      <c r="L62">
        <v>-92.096500000000006</v>
      </c>
      <c r="M62" s="3">
        <v>5.5</v>
      </c>
      <c r="N62" s="3" t="s">
        <v>468</v>
      </c>
      <c r="O62" s="3" t="s">
        <v>496</v>
      </c>
      <c r="R62" s="7"/>
      <c r="S62" s="7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EZ62" s="92"/>
      <c r="FA62" s="92"/>
      <c r="FB62" s="92">
        <v>1</v>
      </c>
      <c r="FC62" s="92"/>
      <c r="FD62" s="92"/>
    </row>
    <row r="63" spans="2:160">
      <c r="B63" s="77">
        <f t="shared" si="0"/>
        <v>1</v>
      </c>
      <c r="C63" s="77">
        <f t="shared" si="1"/>
        <v>1</v>
      </c>
      <c r="D63" s="77">
        <f t="shared" si="2"/>
        <v>1</v>
      </c>
      <c r="E63" s="77">
        <f t="shared" si="3"/>
        <v>1</v>
      </c>
      <c r="F63" s="77">
        <f t="shared" si="4"/>
        <v>1</v>
      </c>
      <c r="G63" s="77">
        <f t="shared" si="5"/>
        <v>6</v>
      </c>
      <c r="H63" s="95">
        <f>IF(AND(M63&gt;0,M63&lt;=STATS!$C$22),1,"")</f>
        <v>1</v>
      </c>
      <c r="J63" s="21">
        <v>62</v>
      </c>
      <c r="K63">
        <v>45.41789</v>
      </c>
      <c r="L63">
        <v>-92.096180000000004</v>
      </c>
      <c r="M63" s="3">
        <v>6</v>
      </c>
      <c r="N63" s="3" t="s">
        <v>468</v>
      </c>
      <c r="O63" s="3" t="s">
        <v>496</v>
      </c>
      <c r="Q63" s="3">
        <v>1</v>
      </c>
      <c r="R63" s="7"/>
      <c r="S63" s="7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>
        <v>1</v>
      </c>
      <c r="AF63" s="23"/>
      <c r="AG63" s="23"/>
      <c r="AH63" s="23"/>
      <c r="EZ63" s="92"/>
      <c r="FA63" s="92"/>
      <c r="FB63" s="92">
        <v>1</v>
      </c>
      <c r="FC63" s="92"/>
      <c r="FD63" s="92"/>
    </row>
    <row r="64" spans="2:160">
      <c r="B64" s="77">
        <f t="shared" si="0"/>
        <v>0</v>
      </c>
      <c r="C64" s="77" t="str">
        <f t="shared" si="1"/>
        <v/>
      </c>
      <c r="D64" s="77" t="str">
        <f t="shared" si="2"/>
        <v/>
      </c>
      <c r="E64" s="77">
        <f t="shared" si="3"/>
        <v>0</v>
      </c>
      <c r="F64" s="77">
        <f t="shared" si="4"/>
        <v>0</v>
      </c>
      <c r="G64" s="77" t="str">
        <f t="shared" si="5"/>
        <v/>
      </c>
      <c r="H64" s="95">
        <f>IF(AND(M64&gt;0,M64&lt;=STATS!$C$22),1,"")</f>
        <v>1</v>
      </c>
      <c r="J64" s="21">
        <v>63</v>
      </c>
      <c r="K64">
        <v>45.418100000000003</v>
      </c>
      <c r="L64">
        <v>-92.097309999999993</v>
      </c>
      <c r="M64" s="3">
        <v>3</v>
      </c>
      <c r="N64" s="3" t="s">
        <v>468</v>
      </c>
      <c r="O64" s="3" t="s">
        <v>496</v>
      </c>
      <c r="R64" s="7"/>
      <c r="S64" s="7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EZ64" s="92"/>
      <c r="FA64" s="92"/>
      <c r="FB64" s="92">
        <v>2</v>
      </c>
      <c r="FC64" s="92"/>
      <c r="FD64" s="92"/>
    </row>
    <row r="65" spans="2:160">
      <c r="B65" s="77">
        <f t="shared" si="0"/>
        <v>2</v>
      </c>
      <c r="C65" s="77">
        <f t="shared" si="1"/>
        <v>2</v>
      </c>
      <c r="D65" s="77">
        <f t="shared" si="2"/>
        <v>1</v>
      </c>
      <c r="E65" s="77">
        <f t="shared" si="3"/>
        <v>2</v>
      </c>
      <c r="F65" s="77">
        <f t="shared" si="4"/>
        <v>1</v>
      </c>
      <c r="G65" s="77">
        <f t="shared" si="5"/>
        <v>4</v>
      </c>
      <c r="H65" s="95">
        <f>IF(AND(M65&gt;0,M65&lt;=STATS!$C$22),1,"")</f>
        <v>1</v>
      </c>
      <c r="J65" s="21">
        <v>64</v>
      </c>
      <c r="K65">
        <v>45.418100000000003</v>
      </c>
      <c r="L65">
        <v>-92.096990000000005</v>
      </c>
      <c r="M65" s="3">
        <v>4</v>
      </c>
      <c r="N65" s="3" t="s">
        <v>468</v>
      </c>
      <c r="O65" s="3" t="s">
        <v>496</v>
      </c>
      <c r="Q65" s="3">
        <v>1</v>
      </c>
      <c r="R65" s="7"/>
      <c r="S65" s="7">
        <v>1</v>
      </c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>
        <v>1</v>
      </c>
      <c r="AF65" s="23"/>
      <c r="AG65" s="23"/>
      <c r="AH65" s="23"/>
      <c r="EZ65" s="92"/>
      <c r="FA65" s="92"/>
      <c r="FB65" s="92">
        <v>2</v>
      </c>
      <c r="FC65" s="92"/>
      <c r="FD65" s="92"/>
    </row>
    <row r="66" spans="2:160">
      <c r="B66" s="77">
        <f t="shared" ref="B66:B67" si="6">COUNT(R66:EY66,FE66:FM66)</f>
        <v>1</v>
      </c>
      <c r="C66" s="77">
        <f t="shared" ref="C66:C67" si="7">IF(COUNT(R66:EY66,FE66:FM66)&gt;0,COUNT(R66:EY66,FE66:FM66),"")</f>
        <v>1</v>
      </c>
      <c r="D66" s="77">
        <f t="shared" ref="D66:D67" si="8">IF(COUNT(T66:BJ66,BL66:BT66,BV66:CB66,CD66:EY66,FE66:FM66)&gt;0,COUNT(T66:BJ66,BL66:BT66,BV66:CB66,CD66:EY66,FE66:FM66),"")</f>
        <v>1</v>
      </c>
      <c r="E66" s="77">
        <f t="shared" ref="E66:E67" si="9">IF(H66=1,COUNT(R66:EY66,FE66:FM66),"")</f>
        <v>1</v>
      </c>
      <c r="F66" s="77">
        <f t="shared" ref="F66:F67" si="10">IF(H66=1,COUNT(T66:BJ66,BL66:BT66,BV66:CB66,CD66:EY66,FE66:FM66),"")</f>
        <v>1</v>
      </c>
      <c r="G66" s="77">
        <f t="shared" ref="G66:G67" si="11">IF($B66&gt;=1,$M66,"")</f>
        <v>4</v>
      </c>
      <c r="H66" s="95">
        <f>IF(AND(M66&gt;0,M66&lt;=STATS!$C$22),1,"")</f>
        <v>1</v>
      </c>
      <c r="J66" s="21">
        <v>65</v>
      </c>
      <c r="K66">
        <v>45.418109999999999</v>
      </c>
      <c r="L66">
        <v>-92.096670000000003</v>
      </c>
      <c r="M66" s="3">
        <v>4</v>
      </c>
      <c r="N66" s="3" t="s">
        <v>468</v>
      </c>
      <c r="O66" s="3" t="s">
        <v>496</v>
      </c>
      <c r="Q66" s="3">
        <v>1</v>
      </c>
      <c r="R66" s="7"/>
      <c r="S66" s="7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>
        <v>1</v>
      </c>
      <c r="AF66" s="23"/>
      <c r="AG66" s="23"/>
      <c r="AH66" s="23"/>
      <c r="EZ66" s="92"/>
      <c r="FA66" s="92"/>
      <c r="FB66" s="92">
        <v>2</v>
      </c>
      <c r="FC66" s="92"/>
      <c r="FD66" s="92"/>
    </row>
    <row r="67" spans="2:160">
      <c r="B67" s="77">
        <f t="shared" si="6"/>
        <v>1</v>
      </c>
      <c r="C67" s="77">
        <f t="shared" si="7"/>
        <v>1</v>
      </c>
      <c r="D67" s="77">
        <f t="shared" si="8"/>
        <v>1</v>
      </c>
      <c r="E67" s="77">
        <f t="shared" si="9"/>
        <v>1</v>
      </c>
      <c r="F67" s="77">
        <f t="shared" si="10"/>
        <v>1</v>
      </c>
      <c r="G67" s="77">
        <f t="shared" si="11"/>
        <v>4.5</v>
      </c>
      <c r="H67" s="95">
        <f>IF(AND(M67&gt;0,M67&lt;=STATS!$C$22),1,"")</f>
        <v>1</v>
      </c>
      <c r="J67" s="21">
        <v>66</v>
      </c>
      <c r="K67">
        <v>45.418109999999999</v>
      </c>
      <c r="L67">
        <v>-92.096350000000001</v>
      </c>
      <c r="M67" s="3">
        <v>4.5</v>
      </c>
      <c r="N67" s="3" t="s">
        <v>468</v>
      </c>
      <c r="O67" s="3" t="s">
        <v>496</v>
      </c>
      <c r="Q67" s="3">
        <v>1</v>
      </c>
      <c r="R67" s="7"/>
      <c r="S67" s="7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>
        <v>1</v>
      </c>
      <c r="AF67" s="23"/>
      <c r="AG67" s="23"/>
      <c r="AH67" s="23"/>
      <c r="EZ67" s="92"/>
      <c r="FA67" s="92"/>
      <c r="FB67" s="92">
        <v>2</v>
      </c>
      <c r="FC67" s="92"/>
      <c r="FD67" s="92"/>
    </row>
  </sheetData>
  <sheetProtection formatCells="0" sort="0"/>
  <protectedRanges>
    <protectedRange sqref="P2:Q8 N2:O2 O3:O67 N3:N67" name="Range1_3"/>
    <protectedRange sqref="K2:L8" name="Range1_1_1"/>
  </protectedRanges>
  <sortState ref="A2:FM596">
    <sortCondition ref="J2:J596"/>
  </sortState>
  <phoneticPr fontId="10" type="noConversion"/>
  <dataValidations count="9">
    <dataValidation type="list" allowBlank="1" showInputMessage="1" showErrorMessage="1" sqref="Q68:AF64395 EZ68:EZ64395 Q1 AE1:AF1 AC1 X1">
      <formula1>"V,v,1,2,3"</formula1>
    </dataValidation>
    <dataValidation type="whole" allowBlank="1" showInputMessage="1" showErrorMessage="1" errorTitle="Presence/Absence Data" error="Enter 1 if present" sqref="FA68:FM64395 AG68:EY64395">
      <formula1>1</formula1>
      <formula2>1</formula2>
    </dataValidation>
    <dataValidation type="list" allowBlank="1" showInputMessage="1" showErrorMessage="1" sqref="O68:O64395">
      <formula1>"R,P"</formula1>
    </dataValidation>
    <dataValidation type="list" allowBlank="1" showInputMessage="1" showErrorMessage="1" sqref="O2:O67">
      <formula1>"R,r,P,p"</formula1>
    </dataValidation>
    <dataValidation allowBlank="1" showInputMessage="1" showErrorMessage="1" promptTitle="Comments section" prompt="Enter comments for non-sampled depths as:_x000a__x000a_NONNAVIGABLE (PLANTS)_x000a_TERRESTRIAL_x000a_DEEP_x000a_SHALLOW_x000a_ROCKS_x000a_DOCK_x000a_SWIM AREA_x000a_TEMPORARY OBSTACLE_x000a_NO INFORMATION_x000a_OTHER" sqref="P1:P64395"/>
    <dataValidation type="list" allowBlank="1" showInputMessage="1" showErrorMessage="1" error="Please enter an overall rake fullness of 1, 2, 3 or leave cell blank if no plants found" sqref="Q2:Q67">
      <formula1>"1,2,3"</formula1>
    </dataValidation>
    <dataValidation type="list" allowBlank="1" showInputMessage="1" showErrorMessage="1" error="Please enter a rake fullness rating of 1, 2, 3 or V (visual).  If species not found, leave cell blank." sqref="R2:FM67">
      <formula1>"V,v,1,2,3"</formula1>
    </dataValidation>
    <dataValidation type="list" allowBlank="1" showInputMessage="1" showErrorMessage="1" error="Please enter M (muck), S (sand), or R (rock).  If sediment type unknown, leave cell blank." sqref="N2:N67">
      <formula1>"M,m,s,S,R,r"</formula1>
    </dataValidation>
    <dataValidation type="decimal" allowBlank="1" showInputMessage="1" showErrorMessage="1" error="Is your depth really more than 99 feet?" sqref="M2:M64395">
      <formula1>0.1</formula1>
      <formula2>99</formula2>
    </dataValidation>
  </dataValidations>
  <printOptions headings="1" gridLines="1"/>
  <pageMargins left="0.75" right="0.75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EZ36"/>
  <sheetViews>
    <sheetView zoomScale="85" workbookViewId="0">
      <pane xSplit="2" ySplit="1" topLeftCell="C17" activePane="bottomRight" state="frozen"/>
      <selection pane="topRight" activeCell="B1" sqref="B1"/>
      <selection pane="bottomLeft" activeCell="A2" sqref="A2"/>
      <selection pane="bottomRight" activeCell="C34" sqref="B34:C34"/>
    </sheetView>
  </sheetViews>
  <sheetFormatPr defaultColWidth="5.7109375" defaultRowHeight="12.75"/>
  <cols>
    <col min="1" max="1" width="13.140625" customWidth="1"/>
    <col min="2" max="2" width="77.140625" bestFit="1" customWidth="1"/>
    <col min="3" max="3" width="10.28515625" style="39" bestFit="1" customWidth="1"/>
    <col min="4" max="5" width="6.7109375" style="31" customWidth="1"/>
    <col min="6" max="153" width="6.7109375" customWidth="1"/>
    <col min="154" max="154" width="5.7109375" customWidth="1"/>
    <col min="155" max="16384" width="5.7109375" style="24"/>
  </cols>
  <sheetData>
    <row r="1" spans="1:156" s="12" customFormat="1" ht="138.6" customHeight="1">
      <c r="A1" s="49"/>
      <c r="B1" s="38" t="s">
        <v>14</v>
      </c>
      <c r="C1" s="98" t="s">
        <v>12</v>
      </c>
      <c r="D1" s="99" t="s">
        <v>319</v>
      </c>
      <c r="E1" s="100" t="s">
        <v>320</v>
      </c>
      <c r="F1" s="101" t="str">
        <f>'ENTRY '!T1</f>
        <v>Acorus americanus,Sweet-flag</v>
      </c>
      <c r="G1" s="101" t="str">
        <f>'ENTRY '!U1</f>
        <v>Alisma triviale,Northern water-plantain</v>
      </c>
      <c r="H1" s="101" t="str">
        <f>'ENTRY '!V1</f>
        <v>Bidens beckii (formerly Megalodonta),Water marigold</v>
      </c>
      <c r="I1" s="101" t="str">
        <f>'ENTRY '!W1</f>
        <v>Bolboschoenus fluviatilis,River bulrush</v>
      </c>
      <c r="J1" s="101" t="str">
        <f>'ENTRY '!X1</f>
        <v>Brasenia schreberi,Watershield</v>
      </c>
      <c r="K1" s="101" t="str">
        <f>'ENTRY '!Y1</f>
        <v>Calla palustris,Wild calla</v>
      </c>
      <c r="L1" s="101" t="str">
        <f>'ENTRY '!Z1</f>
        <v>Callitriche hermaphroditica,Autumnal water-starwort</v>
      </c>
      <c r="M1" s="101" t="str">
        <f>'ENTRY '!AA1</f>
        <v>Callitriche heterophylla,Large water-starwort</v>
      </c>
      <c r="N1" s="101" t="str">
        <f>'ENTRY '!AB1</f>
        <v>Callitriche palustris,Common water-starwort</v>
      </c>
      <c r="O1" s="101" t="str">
        <f>'ENTRY '!AC1</f>
        <v>Carex comosa,Bottle brush sedge</v>
      </c>
      <c r="P1" s="101" t="str">
        <f>'ENTRY '!AD1</f>
        <v>Catabrosa aquatica,Brook grass</v>
      </c>
      <c r="Q1" s="101" t="str">
        <f>'ENTRY '!AE1</f>
        <v>Ceratophyllum demersum,Coontail</v>
      </c>
      <c r="R1" s="101" t="str">
        <f>'ENTRY '!AF1</f>
        <v>Ceratophyllum echinatum,Spiny hornwort</v>
      </c>
      <c r="S1" s="101" t="str">
        <f>'ENTRY '!AG1</f>
        <v>Chara sp.,Muskgrasses</v>
      </c>
      <c r="T1" s="101" t="str">
        <f>'ENTRY '!AH1</f>
        <v>Comarum palustre,Marsh cinquefoil</v>
      </c>
      <c r="U1" s="101" t="str">
        <f>'ENTRY '!AI1</f>
        <v>Decodon verticillatus,Swamp loosestrife</v>
      </c>
      <c r="V1" s="101" t="str">
        <f>'ENTRY '!AJ1</f>
        <v>Dulichium arundinaceum,Three-way sedge</v>
      </c>
      <c r="W1" s="101" t="str">
        <f>'ENTRY '!AK1</f>
        <v>Elatine minima,Waterwort</v>
      </c>
      <c r="X1" s="101" t="str">
        <f>'ENTRY '!AL1</f>
        <v>Elatine triandra,Greater waterwort</v>
      </c>
      <c r="Y1" s="101" t="str">
        <f>'ENTRY '!AM1</f>
        <v>Eleocharis acicularis,Needle spikerush</v>
      </c>
      <c r="Z1" s="101" t="str">
        <f>'ENTRY '!AN1</f>
        <v>Eleocharis erythropoda,Bald spikerush</v>
      </c>
      <c r="AA1" s="101" t="str">
        <f>'ENTRY '!AO1</f>
        <v>Eleocharis palustris,Creeping spikerush</v>
      </c>
      <c r="AB1" s="101" t="str">
        <f>'ENTRY '!AP1</f>
        <v>Eleocharis robbinsii,Robbins' spikerush</v>
      </c>
      <c r="AC1" s="101" t="str">
        <f>'ENTRY '!AQ1</f>
        <v>Elodea canadensis,Common waterweed</v>
      </c>
      <c r="AD1" s="101" t="str">
        <f>'ENTRY '!AR1</f>
        <v>Elodea nuttallii,Slender waterweed</v>
      </c>
      <c r="AE1" s="101" t="str">
        <f>'ENTRY '!AS1</f>
        <v>Equisetum fluviatile,Water horsetail</v>
      </c>
      <c r="AF1" s="101" t="str">
        <f>'ENTRY '!AT1</f>
        <v>Eriocaulon aquaticum,Pipewort</v>
      </c>
      <c r="AG1" s="101" t="str">
        <f>'ENTRY '!AU1</f>
        <v>Glyceria borealis,Northern manna grass</v>
      </c>
      <c r="AH1" s="101" t="str">
        <f>'ENTRY '!AV1</f>
        <v>Gratiola aurea,Golden hedge-hyssop</v>
      </c>
      <c r="AI1" s="101" t="str">
        <f>'ENTRY '!AW1</f>
        <v>Heteranthera dubia,Water star-grass</v>
      </c>
      <c r="AJ1" s="101" t="str">
        <f>'ENTRY '!AX1</f>
        <v>Iris versicolor,Northern blue flag</v>
      </c>
      <c r="AK1" s="101" t="str">
        <f>'ENTRY '!AY1</f>
        <v>Iris virginica,Southern blue flag</v>
      </c>
      <c r="AL1" s="101" t="str">
        <f>'ENTRY '!AZ1</f>
        <v>Isoetes echinospora,Spiny spored-quillwort</v>
      </c>
      <c r="AM1" s="101" t="str">
        <f>'ENTRY '!BA1</f>
        <v>Isoetes lacustris,Lake quillwort</v>
      </c>
      <c r="AN1" s="101" t="str">
        <f>'ENTRY '!BB1</f>
        <v>Isoetes sp.,Quillwort</v>
      </c>
      <c r="AO1" s="101" t="str">
        <f>'ENTRY '!BC1</f>
        <v>Juncus pelocarpus f. submersus,Brown-fruited rush</v>
      </c>
      <c r="AP1" s="101" t="str">
        <f>'ENTRY '!BD1</f>
        <v>Juncus torreyi,Torrey's rush</v>
      </c>
      <c r="AQ1" s="101" t="str">
        <f>'ENTRY '!BE1</f>
        <v>Lemna minor,Small duckweed</v>
      </c>
      <c r="AR1" s="101" t="str">
        <f>'ENTRY '!BF1</f>
        <v>Lemna perpusilla,Least duckweed</v>
      </c>
      <c r="AS1" s="101" t="str">
        <f>'ENTRY '!BG1</f>
        <v>Lemna trisulca,Forked duckweed</v>
      </c>
      <c r="AT1" s="101" t="str">
        <f>'ENTRY '!BH1</f>
        <v>Littorella uniflora,Littorella</v>
      </c>
      <c r="AU1" s="101" t="str">
        <f>'ENTRY '!BI1</f>
        <v>Lobelia dortmanna,Water lobelia</v>
      </c>
      <c r="AV1" s="101" t="str">
        <f>'ENTRY '!BJ1</f>
        <v>Ludwigia palustris,Marsh purslane</v>
      </c>
      <c r="AW1" s="101" t="str">
        <f>'ENTRY '!BK1</f>
        <v>Lythrum salicaria,Purple loosestrife</v>
      </c>
      <c r="AX1" s="101" t="str">
        <f>'ENTRY '!BL1</f>
        <v>Myriophyllum alterniflorum,Alternate-flowered water-milfoil</v>
      </c>
      <c r="AY1" s="101" t="str">
        <f>'ENTRY '!BM1</f>
        <v>Myriophyllum farwellii,Farwell's water-milfoil</v>
      </c>
      <c r="AZ1" s="101" t="str">
        <f>'ENTRY '!BN1</f>
        <v>Myriophyllum heterophyllum,Various-leaved water-milfoil</v>
      </c>
      <c r="BA1" s="101" t="str">
        <f>'ENTRY '!BO1</f>
        <v>Myriophyllum sibiricum,Northern water-milfoil</v>
      </c>
      <c r="BB1" s="101" t="str">
        <f>'ENTRY '!BP1</f>
        <v>Myriophyllum tenellum,Dwarf water-milfoil</v>
      </c>
      <c r="BC1" s="101" t="str">
        <f>'ENTRY '!BQ1</f>
        <v>Myriophyllum verticillatum,Whorled water-milfoil</v>
      </c>
      <c r="BD1" s="101" t="str">
        <f>'ENTRY '!BR1</f>
        <v>Najas flexilis,Slender naiad</v>
      </c>
      <c r="BE1" s="101" t="str">
        <f>'ENTRY '!BS1</f>
        <v>Najas gracillima,Northern naiad</v>
      </c>
      <c r="BF1" s="101" t="str">
        <f>'ENTRY '!BT1</f>
        <v>Najas guadalupensis,Southern naiad</v>
      </c>
      <c r="BG1" s="101" t="str">
        <f>'ENTRY '!BU1</f>
        <v>Najas marina,Spiny naiad</v>
      </c>
      <c r="BH1" s="101" t="str">
        <f>'ENTRY '!BV1</f>
        <v>Nelumbo lutea,American lotus</v>
      </c>
      <c r="BI1" s="101" t="str">
        <f>'ENTRY '!BW1</f>
        <v>Nitella sp.,Nitella</v>
      </c>
      <c r="BJ1" s="101" t="str">
        <f>'ENTRY '!BX1</f>
        <v>Nuphar advena,Yellow pond lily</v>
      </c>
      <c r="BK1" s="101" t="str">
        <f>'ENTRY '!BY1</f>
        <v>Nuphar microphylla,Small pond lily</v>
      </c>
      <c r="BL1" s="101" t="str">
        <f>'ENTRY '!BZ1</f>
        <v>Nuphar X rubrodisca,Intermediate pond lily</v>
      </c>
      <c r="BM1" s="101" t="str">
        <f>'ENTRY '!CA1</f>
        <v>Nuphar variegata,Spatterdock</v>
      </c>
      <c r="BN1" s="101" t="str">
        <f>'ENTRY '!CB1</f>
        <v>Nymphaea odorata,White water lily</v>
      </c>
      <c r="BO1" s="101" t="str">
        <f>'ENTRY '!CC1</f>
        <v>Phalaris arundinacea,Reed canary grass</v>
      </c>
      <c r="BP1" s="101" t="str">
        <f>'ENTRY '!CD1</f>
        <v>Phragmites australis,Common reed</v>
      </c>
      <c r="BQ1" s="101" t="str">
        <f>'ENTRY '!CE1</f>
        <v>Polygonum amphibium,Water smartweed</v>
      </c>
      <c r="BR1" s="101" t="str">
        <f>'ENTRY '!CF1</f>
        <v>Polygonum punctatum,Dotted smartweed</v>
      </c>
      <c r="BS1" s="101" t="str">
        <f>'ENTRY '!CG1</f>
        <v>Pontederia cordata,Pickerelweed</v>
      </c>
      <c r="BT1" s="101" t="str">
        <f>'ENTRY '!CH1</f>
        <v>Potamogeton alpinus,Alpine pondweed</v>
      </c>
      <c r="BU1" s="101" t="str">
        <f>'ENTRY '!CI1</f>
        <v>Potamogeton amplifolius,Large-leaf pondweed</v>
      </c>
      <c r="BV1" s="101" t="str">
        <f>'ENTRY '!CJ1</f>
        <v>Potamogeton bicupulatus,Snail-seed pondweed</v>
      </c>
      <c r="BW1" s="101" t="str">
        <f>'ENTRY '!CK1</f>
        <v>Potamogeton confervoides,Algal-leaved pondweed</v>
      </c>
      <c r="BX1" s="101" t="str">
        <f>'ENTRY '!CL1</f>
        <v>Potamogeton diversifolius,Water-thread pondweed</v>
      </c>
      <c r="BY1" s="101" t="str">
        <f>'ENTRY '!CM1</f>
        <v>Potamogeton epihydrus,Ribbon-leaf pondweed</v>
      </c>
      <c r="BZ1" s="101" t="str">
        <f>'ENTRY '!CN1</f>
        <v>Potamogeton foliosus,Leafy pondweed</v>
      </c>
      <c r="CA1" s="101" t="str">
        <f>'ENTRY '!CO1</f>
        <v>Potamogeton friesii,Fries' pondweed</v>
      </c>
      <c r="CB1" s="101" t="str">
        <f>'ENTRY '!CP1</f>
        <v>Potamogeton gramineus,Variable pondweed</v>
      </c>
      <c r="CC1" s="101" t="str">
        <f>'ENTRY '!CQ1</f>
        <v>Potamogeton hillii,Hill's pondweed</v>
      </c>
      <c r="CD1" s="101" t="str">
        <f>'ENTRY '!CR1</f>
        <v>Potamogeton illinoensis,Illinois pondweed</v>
      </c>
      <c r="CE1" s="101" t="str">
        <f>'ENTRY '!CS1</f>
        <v>Potamogeton natans,Floating-leaf pondweed</v>
      </c>
      <c r="CF1" s="101" t="str">
        <f>'ENTRY '!CT1</f>
        <v>Potamogeton nodosus,Long-leaf pondweed</v>
      </c>
      <c r="CG1" s="101" t="str">
        <f>'ENTRY '!CU1</f>
        <v>Potamogeton oakesianus,Oakes' pondweed</v>
      </c>
      <c r="CH1" s="101" t="str">
        <f>'ENTRY '!CV1</f>
        <v>Potamogeton obtusifolius,Blunt-leaf pondweed</v>
      </c>
      <c r="CI1" s="101" t="str">
        <f>'ENTRY '!CW1</f>
        <v>Potamogeton praelongus,White-stem pondweed</v>
      </c>
      <c r="CJ1" s="101" t="str">
        <f>'ENTRY '!CX1</f>
        <v>Potamogeton pulcher,Spotted pondweed</v>
      </c>
      <c r="CK1" s="101" t="str">
        <f>'ENTRY '!CY1</f>
        <v>Potamogeton pusillus,Small pondweed</v>
      </c>
      <c r="CL1" s="101" t="str">
        <f>'ENTRY '!CZ1</f>
        <v>Potamogeton richardsonii,Clasping-leaf pondweed</v>
      </c>
      <c r="CM1" s="101" t="str">
        <f>'ENTRY '!DA1</f>
        <v>Potamogeton robbinsii,Fern pondweed</v>
      </c>
      <c r="CN1" s="101" t="str">
        <f>'ENTRY '!DB1</f>
        <v>Potamogeton spirillus,Spiral-fruited pondweed</v>
      </c>
      <c r="CO1" s="101" t="str">
        <f>'ENTRY '!DC1</f>
        <v>Potamogeton strictifolius,Stiff pondweed</v>
      </c>
      <c r="CP1" s="101" t="str">
        <f>'ENTRY '!DD1</f>
        <v>Potamogeton vaseyi,Vasey's pondweed</v>
      </c>
      <c r="CQ1" s="101" t="str">
        <f>'ENTRY '!DE1</f>
        <v>Potamogeton zosteriformis,Flat-stem pondweed</v>
      </c>
      <c r="CR1" s="101" t="str">
        <f>'ENTRY '!DF1</f>
        <v>Ranunculus aquatilis,White water crowfoot</v>
      </c>
      <c r="CS1" s="101" t="str">
        <f>'ENTRY '!DG1</f>
        <v>Ranunculus flabellaris,Yellow water crowfoot</v>
      </c>
      <c r="CT1" s="101" t="str">
        <f>'ENTRY '!DH1</f>
        <v>Ranunculus flammula,Creeping spearwort</v>
      </c>
      <c r="CU1" s="101" t="str">
        <f>'ENTRY '!DI1</f>
        <v>Ruppia cirrhosa,Ditch grass</v>
      </c>
      <c r="CV1" s="101" t="str">
        <f>'ENTRY '!DJ1</f>
        <v>Sagittaria brevirostra,Midwestern arrowhead</v>
      </c>
      <c r="CW1" s="101" t="str">
        <f>'ENTRY '!DK1</f>
        <v>Sagittaria cristata,Crested arrowhead</v>
      </c>
      <c r="CX1" s="101" t="str">
        <f>'ENTRY '!DL1</f>
        <v>Sagittaria cuneata,Arum-leaved arrowhead</v>
      </c>
      <c r="CY1" s="101" t="str">
        <f>'ENTRY '!DM1</f>
        <v>Sagittaria graminea,Grass-leaved arrowhead</v>
      </c>
      <c r="CZ1" s="101" t="str">
        <f>'ENTRY '!DN1</f>
        <v>Sagittaria latifolia,Common arrowhead</v>
      </c>
      <c r="DA1" s="101" t="str">
        <f>'ENTRY '!DO1</f>
        <v>Sagittaria rigida,Sessile-fruited arrowhead</v>
      </c>
      <c r="DB1" s="101" t="str">
        <f>'ENTRY '!DP1</f>
        <v>Sagittaria sp.,Arrowhead</v>
      </c>
      <c r="DC1" s="101" t="str">
        <f>'ENTRY '!DQ1</f>
        <v>Schoenoplectus acutus,Hardstem bulrush</v>
      </c>
      <c r="DD1" s="101" t="str">
        <f>'ENTRY '!DR1</f>
        <v>Schoenoplectus heterochaetus,Slender bulrush</v>
      </c>
      <c r="DE1" s="101" t="str">
        <f>'ENTRY '!DS1</f>
        <v>Schoenoplectus pungens,Three-square bulrush</v>
      </c>
      <c r="DF1" s="101" t="str">
        <f>'ENTRY '!DT1</f>
        <v>Schoenoplectus subterminalis,Water bulrush</v>
      </c>
      <c r="DG1" s="101" t="str">
        <f>'ENTRY '!DU1</f>
        <v>Schoenoplectus tabernaemontani,Softstem bulrush</v>
      </c>
      <c r="DH1" s="101" t="str">
        <f>'ENTRY '!DV1</f>
        <v>Sparganium americanum,American bur-reed</v>
      </c>
      <c r="DI1" s="101" t="str">
        <f>'ENTRY '!DW1</f>
        <v>Sparganium androcladum,Branched bur-reed</v>
      </c>
      <c r="DJ1" s="101" t="str">
        <f>'ENTRY '!DX1</f>
        <v>Sparganium angustifolium,Narrow-leaved bur-reed</v>
      </c>
      <c r="DK1" s="101" t="str">
        <f>'ENTRY '!DY1</f>
        <v>Sparganium emersum,Short-stemmed bur-reed</v>
      </c>
      <c r="DL1" s="101" t="str">
        <f>'ENTRY '!DZ1</f>
        <v>Sparganium eurycarpum,Common bur-reed</v>
      </c>
      <c r="DM1" s="101" t="str">
        <f>'ENTRY '!EA1</f>
        <v>Sparganium fluctuans,Floating-leaf bur-reed</v>
      </c>
      <c r="DN1" s="101" t="str">
        <f>'ENTRY '!EB1</f>
        <v>Sparganium natans,Small bur-reed</v>
      </c>
      <c r="DO1" s="101" t="str">
        <f>'ENTRY '!EC1</f>
        <v>Sparganium sp.,Bur-reed</v>
      </c>
      <c r="DP1" s="101" t="str">
        <f>'ENTRY '!ED1</f>
        <v>Spirodela polyrhiza,Large duckweed</v>
      </c>
      <c r="DQ1" s="101" t="str">
        <f>'ENTRY '!EE1</f>
        <v>Stuckenia filiformis,Fine-leaved pondweed</v>
      </c>
      <c r="DR1" s="101" t="str">
        <f>'ENTRY '!EF1</f>
        <v>Stuckenia pectinata,Sago pondweed</v>
      </c>
      <c r="DS1" s="101" t="str">
        <f>'ENTRY '!EG1</f>
        <v>Stuckenia vaginata,Sheathed pondweed</v>
      </c>
      <c r="DT1" s="101" t="str">
        <f>'ENTRY '!EH1</f>
        <v>Typha angustifolia,Narrow-leaved cattail</v>
      </c>
      <c r="DU1" s="101" t="str">
        <f>'ENTRY '!EI1</f>
        <v>Typha latifolia,Broad-leaved cattail</v>
      </c>
      <c r="DV1" s="101" t="str">
        <f>'ENTRY '!EJ1</f>
        <v>Typha sp.,Cattail</v>
      </c>
      <c r="DW1" s="101" t="str">
        <f>'ENTRY '!EK1</f>
        <v>Utricularia cornuta,Horned pondweed</v>
      </c>
      <c r="DX1" s="101" t="str">
        <f>'ENTRY '!EL1</f>
        <v>Utricularia geminiscapa,Twin-stemmed bladderwort</v>
      </c>
      <c r="DY1" s="101" t="str">
        <f>'ENTRY '!EM1</f>
        <v>Utricularia gibba,Creeping bladderwort</v>
      </c>
      <c r="DZ1" s="101" t="str">
        <f>'ENTRY '!EN1</f>
        <v>Utricularia intermedia,Flat-leaf bladderwort</v>
      </c>
      <c r="EA1" s="101" t="str">
        <f>'ENTRY '!EO1</f>
        <v>Utricularia minor,Small bladderwort</v>
      </c>
      <c r="EB1" s="101" t="str">
        <f>'ENTRY '!EP1</f>
        <v>Utricularia purpurea,Large purple bladderwort</v>
      </c>
      <c r="EC1" s="101" t="str">
        <f>'ENTRY '!EQ1</f>
        <v>Utricularia resupinata,Small purple bladderwort</v>
      </c>
      <c r="ED1" s="101" t="str">
        <f>'ENTRY '!ER1</f>
        <v>Utricularia vulgaris,Common bladderwort</v>
      </c>
      <c r="EE1" s="101" t="str">
        <f>'ENTRY '!ES1</f>
        <v>Vallisneria americana,Wild celery</v>
      </c>
      <c r="EF1" s="101" t="str">
        <f>'ENTRY '!ET1</f>
        <v>Wolffia borealis,Northern watermeal</v>
      </c>
      <c r="EG1" s="101" t="str">
        <f>'ENTRY '!EU1</f>
        <v>Wolffia columbiana,Common watermeal</v>
      </c>
      <c r="EH1" s="101" t="str">
        <f>'ENTRY '!EV1</f>
        <v>Zannichellia palustris,Horned pondweed</v>
      </c>
      <c r="EI1" s="101" t="str">
        <f>'ENTRY '!EW1</f>
        <v>Zizania aquatica,Southern wild rice</v>
      </c>
      <c r="EJ1" s="101" t="str">
        <f>'ENTRY '!EX1</f>
        <v>Zizania palustris,Northern wild rice</v>
      </c>
      <c r="EK1" s="101" t="str">
        <f>'ENTRY '!EY1</f>
        <v>Zizania sp.,Wild rice</v>
      </c>
      <c r="EL1" s="101" t="str">
        <f>'ENTRY '!EZ1</f>
        <v>Aquatic moss</v>
      </c>
      <c r="EM1" s="101" t="str">
        <f>'ENTRY '!FA1</f>
        <v>Freshwater sponge</v>
      </c>
      <c r="EN1" s="101" t="str">
        <f>'ENTRY '!FB1</f>
        <v>Filamentous algae</v>
      </c>
      <c r="EO1" s="101" t="str">
        <f>'ENTRY '!FC1</f>
        <v>Riccia fluitans,Slender riccia</v>
      </c>
      <c r="EP1" s="101" t="str">
        <f>'ENTRY '!FD1</f>
        <v xml:space="preserve">Ricciocarpus natans,Purple-fringed riccia </v>
      </c>
      <c r="EQ1" s="101" t="str">
        <f>'ENTRY '!FE1</f>
        <v>sp1</v>
      </c>
      <c r="ER1" s="101" t="str">
        <f>'ENTRY '!FF1</f>
        <v>sp2</v>
      </c>
      <c r="ES1" s="101" t="str">
        <f>'ENTRY '!FG1</f>
        <v>sp3</v>
      </c>
      <c r="ET1" s="101" t="str">
        <f>'ENTRY '!FH1</f>
        <v>sp4</v>
      </c>
      <c r="EU1" s="101" t="str">
        <f>'ENTRY '!FI1</f>
        <v>sp5</v>
      </c>
      <c r="EV1" s="101" t="str">
        <f>'ENTRY '!FJ1</f>
        <v>sp6</v>
      </c>
      <c r="EW1" s="101" t="str">
        <f>'ENTRY '!FK1</f>
        <v>sp7</v>
      </c>
      <c r="EX1" s="101" t="str">
        <f>'ENTRY '!FL1</f>
        <v>sp8</v>
      </c>
      <c r="EY1" s="101" t="str">
        <f>'ENTRY '!FM1</f>
        <v>sp9</v>
      </c>
      <c r="EZ1" s="22"/>
    </row>
    <row r="2" spans="1:156" s="12" customFormat="1" ht="12.75" customHeight="1">
      <c r="A2" s="50" t="s">
        <v>45</v>
      </c>
      <c r="B2" s="48" t="str">
        <f>IF('ENTRY '!I2="","",'ENTRY '!I2)</f>
        <v>Upper Turtle Lake</v>
      </c>
      <c r="C2" s="37"/>
      <c r="D2" s="33"/>
      <c r="E2" s="26"/>
      <c r="F2" s="47"/>
      <c r="G2" s="47"/>
      <c r="H2" s="47"/>
      <c r="I2" s="47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47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</row>
    <row r="3" spans="1:156" s="12" customFormat="1" ht="12.75" customHeight="1">
      <c r="A3" s="50" t="s">
        <v>24</v>
      </c>
      <c r="B3" s="48" t="str">
        <f>IF('ENTRY '!I3="","",'ENTRY '!I3)</f>
        <v>Barron Co.</v>
      </c>
      <c r="C3" s="37"/>
      <c r="D3" s="33"/>
      <c r="E3" s="26"/>
      <c r="F3" s="47"/>
      <c r="G3" s="47"/>
      <c r="H3" s="47"/>
      <c r="I3" s="47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47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</row>
    <row r="4" spans="1:156" s="12" customFormat="1" ht="12.75" customHeight="1">
      <c r="A4" s="50" t="s">
        <v>25</v>
      </c>
      <c r="B4" s="48">
        <f>IF('ENTRY '!I4="","",'ENTRY '!I4)</f>
        <v>2079800</v>
      </c>
      <c r="C4" s="37"/>
      <c r="D4" s="33"/>
      <c r="E4" s="26"/>
      <c r="F4" s="47"/>
      <c r="G4" s="47"/>
      <c r="H4" s="47"/>
      <c r="I4" s="47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47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</row>
    <row r="5" spans="1:156" s="12" customFormat="1" ht="12.75" customHeight="1">
      <c r="A5" s="51" t="s">
        <v>37</v>
      </c>
      <c r="B5" s="55">
        <f>IF('ENTRY '!I5="","",'ENTRY '!I5)</f>
        <v>43269</v>
      </c>
      <c r="C5" s="37"/>
      <c r="D5" s="33"/>
      <c r="E5" s="26"/>
      <c r="F5" s="47"/>
      <c r="G5" s="47"/>
      <c r="H5" s="47"/>
      <c r="I5" s="47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47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</row>
    <row r="6" spans="1:156" s="12" customFormat="1" ht="15" customHeight="1">
      <c r="B6" s="11" t="s">
        <v>22</v>
      </c>
      <c r="C6" s="37"/>
      <c r="D6" s="33"/>
      <c r="E6" s="26"/>
      <c r="F6" s="33"/>
      <c r="G6" s="33"/>
      <c r="H6" s="33"/>
      <c r="I6" s="33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7"/>
      <c r="BO6" s="26"/>
      <c r="BP6" s="27"/>
      <c r="BQ6" s="26"/>
      <c r="BR6" s="26"/>
      <c r="BS6" s="26"/>
      <c r="BT6" s="27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7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33"/>
      <c r="EM6" s="26"/>
      <c r="EN6" s="26"/>
      <c r="EO6" s="26"/>
      <c r="EP6" s="26"/>
      <c r="EQ6" s="28"/>
      <c r="ER6" s="28"/>
      <c r="ES6" s="28"/>
      <c r="ET6" s="28"/>
      <c r="EU6" s="28"/>
      <c r="EV6" s="28"/>
      <c r="EW6" s="28"/>
      <c r="EX6" s="28"/>
      <c r="EY6" s="28"/>
    </row>
    <row r="7" spans="1:156">
      <c r="B7" s="1" t="s">
        <v>53</v>
      </c>
      <c r="C7" s="52"/>
      <c r="D7" s="34" t="str">
        <f>IF(SUM('ENTRY '!R2:R67)=0,"",COUNT('ENTRY '!R2:R67))</f>
        <v/>
      </c>
      <c r="E7" s="34">
        <f>IF(SUM('ENTRY '!S2:S67)=0,"",COUNT('ENTRY '!S2:S67))</f>
        <v>11</v>
      </c>
      <c r="F7" s="34" t="str">
        <f>IF(SUM('ENTRY '!T2:T67)=0,"",COUNT('ENTRY '!T2:T67))</f>
        <v/>
      </c>
      <c r="G7" s="34" t="str">
        <f>IF(SUM('ENTRY '!U2:U67)=0,"",COUNT('ENTRY '!U2:U67))</f>
        <v/>
      </c>
      <c r="H7" s="34" t="str">
        <f>IF(SUM('ENTRY '!V2:V67)=0,"",COUNT('ENTRY '!V2:V67))</f>
        <v/>
      </c>
      <c r="I7" s="34" t="str">
        <f>IF(SUM('ENTRY '!W2:W67)=0,"",COUNT('ENTRY '!W2:W67))</f>
        <v/>
      </c>
      <c r="J7" s="34" t="str">
        <f>IF(SUM('ENTRY '!X2:X67)=0,"",COUNT('ENTRY '!X2:X67))</f>
        <v/>
      </c>
      <c r="K7" s="34" t="str">
        <f>IF(SUM('ENTRY '!Y2:Y67)=0,"",COUNT('ENTRY '!Y2:Y67))</f>
        <v/>
      </c>
      <c r="L7" s="34" t="str">
        <f>IF(SUM('ENTRY '!Z2:Z67)=0,"",COUNT('ENTRY '!Z2:Z67))</f>
        <v/>
      </c>
      <c r="M7" s="34" t="str">
        <f>IF(SUM('ENTRY '!AA2:AA67)=0,"",COUNT('ENTRY '!AA2:AA67))</f>
        <v/>
      </c>
      <c r="N7" s="34" t="str">
        <f>IF(SUM('ENTRY '!AB2:AB67)=0,"",COUNT('ENTRY '!AB2:AB67))</f>
        <v/>
      </c>
      <c r="O7" s="34" t="str">
        <f>IF(SUM('ENTRY '!AC2:AC67)=0,"",COUNT('ENTRY '!AC2:AC67))</f>
        <v/>
      </c>
      <c r="P7" s="34" t="str">
        <f>IF(SUM('ENTRY '!AD2:AD67)=0,"",COUNT('ENTRY '!AD2:AD67))</f>
        <v/>
      </c>
      <c r="Q7" s="34">
        <f>IF(SUM('ENTRY '!AE2:AE67)=0,"",COUNT('ENTRY '!AE2:AE67))</f>
        <v>14</v>
      </c>
      <c r="R7" s="34" t="str">
        <f>IF(SUM('ENTRY '!AF2:AF67)=0,"",COUNT('ENTRY '!AF2:AF67))</f>
        <v/>
      </c>
      <c r="S7" s="34" t="str">
        <f>IF(SUM('ENTRY '!AG2:AG67)=0,"",COUNT('ENTRY '!AG2:AG67))</f>
        <v/>
      </c>
      <c r="T7" s="34" t="str">
        <f>IF(SUM('ENTRY '!AH2:AH67)=0,"",COUNT('ENTRY '!AH2:AH67))</f>
        <v/>
      </c>
      <c r="U7" s="34" t="str">
        <f>IF(SUM('ENTRY '!AI2:AI67)=0,"",COUNT('ENTRY '!AI2:AI67))</f>
        <v/>
      </c>
      <c r="V7" s="34" t="str">
        <f>IF(SUM('ENTRY '!AJ2:AJ67)=0,"",COUNT('ENTRY '!AJ2:AJ67))</f>
        <v/>
      </c>
      <c r="W7" s="34" t="str">
        <f>IF(SUM('ENTRY '!AK2:AK67)=0,"",COUNT('ENTRY '!AK2:AK67))</f>
        <v/>
      </c>
      <c r="X7" s="34" t="str">
        <f>IF(SUM('ENTRY '!AL2:AL67)=0,"",COUNT('ENTRY '!AL2:AL67))</f>
        <v/>
      </c>
      <c r="Y7" s="34" t="str">
        <f>IF(SUM('ENTRY '!AM2:AM67)=0,"",COUNT('ENTRY '!AM2:AM67))</f>
        <v/>
      </c>
      <c r="Z7" s="34" t="str">
        <f>IF(SUM('ENTRY '!AN2:AN67)=0,"",COUNT('ENTRY '!AN2:AN67))</f>
        <v/>
      </c>
      <c r="AA7" s="34" t="str">
        <f>IF(SUM('ENTRY '!AO2:AO67)=0,"",COUNT('ENTRY '!AO2:AO67))</f>
        <v/>
      </c>
      <c r="AB7" s="34" t="str">
        <f>IF(SUM('ENTRY '!AP2:AP67)=0,"",COUNT('ENTRY '!AP2:AP67))</f>
        <v/>
      </c>
      <c r="AC7" s="34" t="str">
        <f>IF(SUM('ENTRY '!AQ2:AQ67)=0,"",COUNT('ENTRY '!AQ2:AQ67))</f>
        <v/>
      </c>
      <c r="AD7" s="34" t="str">
        <f>IF(SUM('ENTRY '!AR2:AR67)=0,"",COUNT('ENTRY '!AR2:AR67))</f>
        <v/>
      </c>
      <c r="AE7" s="34" t="str">
        <f>IF(SUM('ENTRY '!AS2:AS67)=0,"",COUNT('ENTRY '!AS2:AS67))</f>
        <v/>
      </c>
      <c r="AF7" s="34" t="str">
        <f>IF(SUM('ENTRY '!AT2:AT67)=0,"",COUNT('ENTRY '!AT2:AT67))</f>
        <v/>
      </c>
      <c r="AG7" s="34" t="str">
        <f>IF(SUM('ENTRY '!AU2:AU67)=0,"",COUNT('ENTRY '!AU2:AU67))</f>
        <v/>
      </c>
      <c r="AH7" s="34" t="str">
        <f>IF(SUM('ENTRY '!AV2:AV67)=0,"",COUNT('ENTRY '!AV2:AV67))</f>
        <v/>
      </c>
      <c r="AI7" s="34" t="str">
        <f>IF(SUM('ENTRY '!AW2:AW67)=0,"",COUNT('ENTRY '!AW2:AW67))</f>
        <v/>
      </c>
      <c r="AJ7" s="34" t="str">
        <f>IF(SUM('ENTRY '!AX2:AX67)=0,"",COUNT('ENTRY '!AX2:AX67))</f>
        <v/>
      </c>
      <c r="AK7" s="34" t="str">
        <f>IF(SUM('ENTRY '!AY2:AY67)=0,"",COUNT('ENTRY '!AY2:AY67))</f>
        <v/>
      </c>
      <c r="AL7" s="34" t="str">
        <f>IF(SUM('ENTRY '!AZ2:AZ67)=0,"",COUNT('ENTRY '!AZ2:AZ67))</f>
        <v/>
      </c>
      <c r="AM7" s="34" t="str">
        <f>IF(SUM('ENTRY '!BA2:BA67)=0,"",COUNT('ENTRY '!BA2:BA67))</f>
        <v/>
      </c>
      <c r="AN7" s="34" t="str">
        <f>IF(SUM('ENTRY '!BB2:BB67)=0,"",COUNT('ENTRY '!BB2:BB67))</f>
        <v/>
      </c>
      <c r="AO7" s="34" t="str">
        <f>IF(SUM('ENTRY '!BC2:BC67)=0,"",COUNT('ENTRY '!BC2:BC67))</f>
        <v/>
      </c>
      <c r="AP7" s="34" t="str">
        <f>IF(SUM('ENTRY '!BD2:BD67)=0,"",COUNT('ENTRY '!BD2:BD67))</f>
        <v/>
      </c>
      <c r="AQ7" s="34" t="str">
        <f>IF(SUM('ENTRY '!BE2:BE67)=0,"",COUNT('ENTRY '!BE2:BE67))</f>
        <v/>
      </c>
      <c r="AR7" s="34" t="str">
        <f>IF(SUM('ENTRY '!BF2:BF67)=0,"",COUNT('ENTRY '!BF2:BF67))</f>
        <v/>
      </c>
      <c r="AS7" s="34" t="str">
        <f>IF(SUM('ENTRY '!BG2:BG67)=0,"",COUNT('ENTRY '!BG2:BG67))</f>
        <v/>
      </c>
      <c r="AT7" s="34" t="str">
        <f>IF(SUM('ENTRY '!BH2:BH67)=0,"",COUNT('ENTRY '!BH2:BH67))</f>
        <v/>
      </c>
      <c r="AU7" s="34" t="str">
        <f>IF(SUM('ENTRY '!BI2:BI67)=0,"",COUNT('ENTRY '!BI2:BI67))</f>
        <v/>
      </c>
      <c r="AV7" s="34" t="str">
        <f>IF(SUM('ENTRY '!BJ2:BJ67)=0,"",COUNT('ENTRY '!BJ2:BJ67))</f>
        <v/>
      </c>
      <c r="AW7" s="34" t="str">
        <f>IF(SUM('ENTRY '!BK2:BK67)=0,"",COUNT('ENTRY '!BK2:BK67))</f>
        <v/>
      </c>
      <c r="AX7" s="34" t="str">
        <f>IF(SUM('ENTRY '!BL2:BL67)=0,"",COUNT('ENTRY '!BL2:BL67))</f>
        <v/>
      </c>
      <c r="AY7" s="34" t="str">
        <f>IF(SUM('ENTRY '!BM2:BM67)=0,"",COUNT('ENTRY '!BM2:BM67))</f>
        <v/>
      </c>
      <c r="AZ7" s="34" t="str">
        <f>IF(SUM('ENTRY '!BN2:BN67)=0,"",COUNT('ENTRY '!BN2:BN67))</f>
        <v/>
      </c>
      <c r="BA7" s="34" t="str">
        <f>IF(SUM('ENTRY '!BO2:BO67)=0,"",COUNT('ENTRY '!BO2:BO67))</f>
        <v/>
      </c>
      <c r="BB7" s="34" t="str">
        <f>IF(SUM('ENTRY '!BP2:BP67)=0,"",COUNT('ENTRY '!BP2:BP67))</f>
        <v/>
      </c>
      <c r="BC7" s="34" t="str">
        <f>IF(SUM('ENTRY '!BQ2:BQ67)=0,"",COUNT('ENTRY '!BQ2:BQ67))</f>
        <v/>
      </c>
      <c r="BD7" s="34" t="str">
        <f>IF(SUM('ENTRY '!BR2:BR67)=0,"",COUNT('ENTRY '!BR2:BR67))</f>
        <v/>
      </c>
      <c r="BE7" s="34" t="str">
        <f>IF(SUM('ENTRY '!BS2:BS67)=0,"",COUNT('ENTRY '!BS2:BS67))</f>
        <v/>
      </c>
      <c r="BF7" s="34" t="str">
        <f>IF(SUM('ENTRY '!BT2:BT67)=0,"",COUNT('ENTRY '!BT2:BT67))</f>
        <v/>
      </c>
      <c r="BG7" s="34" t="str">
        <f>IF(SUM('ENTRY '!BU2:BU67)=0,"",COUNT('ENTRY '!BU2:BU67))</f>
        <v/>
      </c>
      <c r="BH7" s="34" t="str">
        <f>IF(SUM('ENTRY '!BV2:BV67)=0,"",COUNT('ENTRY '!BV2:BV67))</f>
        <v/>
      </c>
      <c r="BI7" s="34" t="str">
        <f>IF(SUM('ENTRY '!BW2:BW67)=0,"",COUNT('ENTRY '!BW2:BW67))</f>
        <v/>
      </c>
      <c r="BJ7" s="34" t="str">
        <f>IF(SUM('ENTRY '!BX2:BX67)=0,"",COUNT('ENTRY '!BX2:BX67))</f>
        <v/>
      </c>
      <c r="BK7" s="34" t="str">
        <f>IF(SUM('ENTRY '!BY2:BY67)=0,"",COUNT('ENTRY '!BY2:BY67))</f>
        <v/>
      </c>
      <c r="BL7" s="34" t="str">
        <f>IF(SUM('ENTRY '!BZ2:BZ67)=0,"",COUNT('ENTRY '!BZ2:BZ67))</f>
        <v/>
      </c>
      <c r="BM7" s="34">
        <f>IF(SUM('ENTRY '!CA2:CA67)=0,"",COUNT('ENTRY '!CA2:CA67))</f>
        <v>3</v>
      </c>
      <c r="BN7" s="34">
        <f>IF(SUM('ENTRY '!CB2:CB67)=0,"",COUNT('ENTRY '!CB2:CB67))</f>
        <v>2</v>
      </c>
      <c r="BO7" s="34" t="str">
        <f>IF(SUM('ENTRY '!CC2:CC67)=0,"",COUNT('ENTRY '!CC2:CC67))</f>
        <v/>
      </c>
      <c r="BP7" s="34" t="str">
        <f>IF(SUM('ENTRY '!CD2:CD67)=0,"",COUNT('ENTRY '!CD2:CD67))</f>
        <v/>
      </c>
      <c r="BQ7" s="34" t="str">
        <f>IF(SUM('ENTRY '!CE2:CE67)=0,"",COUNT('ENTRY '!CE2:CE67))</f>
        <v/>
      </c>
      <c r="BR7" s="34" t="str">
        <f>IF(SUM('ENTRY '!CF2:CF67)=0,"",COUNT('ENTRY '!CF2:CF67))</f>
        <v/>
      </c>
      <c r="BS7" s="34" t="str">
        <f>IF(SUM('ENTRY '!CG2:CG67)=0,"",COUNT('ENTRY '!CG2:CG67))</f>
        <v/>
      </c>
      <c r="BT7" s="34" t="str">
        <f>IF(SUM('ENTRY '!CH2:CH67)=0,"",COUNT('ENTRY '!CH2:CH67))</f>
        <v/>
      </c>
      <c r="BU7" s="34" t="str">
        <f>IF(SUM('ENTRY '!CI2:CI67)=0,"",COUNT('ENTRY '!CI2:CI67))</f>
        <v/>
      </c>
      <c r="BV7" s="34" t="str">
        <f>IF(SUM('ENTRY '!CJ2:CJ67)=0,"",COUNT('ENTRY '!CJ2:CJ67))</f>
        <v/>
      </c>
      <c r="BW7" s="34" t="str">
        <f>IF(SUM('ENTRY '!CK2:CK67)=0,"",COUNT('ENTRY '!CK2:CK67))</f>
        <v/>
      </c>
      <c r="BX7" s="34" t="str">
        <f>IF(SUM('ENTRY '!CL2:CL67)=0,"",COUNT('ENTRY '!CL2:CL67))</f>
        <v/>
      </c>
      <c r="BY7" s="34" t="str">
        <f>IF(SUM('ENTRY '!CM2:CM67)=0,"",COUNT('ENTRY '!CM2:CM67))</f>
        <v/>
      </c>
      <c r="BZ7" s="34" t="str">
        <f>IF(SUM('ENTRY '!CN2:CN67)=0,"",COUNT('ENTRY '!CN2:CN67))</f>
        <v/>
      </c>
      <c r="CA7" s="34">
        <f>IF(SUM('ENTRY '!CO2:CO67)=0,"",COUNT('ENTRY '!CO2:CO67))</f>
        <v>3</v>
      </c>
      <c r="CB7" s="34" t="str">
        <f>IF(SUM('ENTRY '!CP2:CP67)=0,"",COUNT('ENTRY '!CP2:CP67))</f>
        <v/>
      </c>
      <c r="CC7" s="34" t="str">
        <f>IF(SUM('ENTRY '!CQ2:CQ67)=0,"",COUNT('ENTRY '!CQ2:CQ67))</f>
        <v/>
      </c>
      <c r="CD7" s="34" t="str">
        <f>IF(SUM('ENTRY '!CR2:CR67)=0,"",COUNT('ENTRY '!CR2:CR67))</f>
        <v/>
      </c>
      <c r="CE7" s="34" t="str">
        <f>IF(SUM('ENTRY '!CS2:CS67)=0,"",COUNT('ENTRY '!CS2:CS67))</f>
        <v/>
      </c>
      <c r="CF7" s="34" t="str">
        <f>IF(SUM('ENTRY '!CT2:CT67)=0,"",COUNT('ENTRY '!CT2:CT67))</f>
        <v/>
      </c>
      <c r="CG7" s="34" t="str">
        <f>IF(SUM('ENTRY '!CU2:CU67)=0,"",COUNT('ENTRY '!CU2:CU67))</f>
        <v/>
      </c>
      <c r="CH7" s="34" t="str">
        <f>IF(SUM('ENTRY '!CV2:CV67)=0,"",COUNT('ENTRY '!CV2:CV67))</f>
        <v/>
      </c>
      <c r="CI7" s="34">
        <f>IF(SUM('ENTRY '!CW2:CW67)=0,"",COUNT('ENTRY '!CW2:CW67))</f>
        <v>2</v>
      </c>
      <c r="CJ7" s="34" t="str">
        <f>IF(SUM('ENTRY '!CX2:CX67)=0,"",COUNT('ENTRY '!CX2:CX67))</f>
        <v/>
      </c>
      <c r="CK7" s="34" t="str">
        <f>IF(SUM('ENTRY '!CY2:CY67)=0,"",COUNT('ENTRY '!CY2:CY67))</f>
        <v/>
      </c>
      <c r="CL7" s="34" t="str">
        <f>IF(SUM('ENTRY '!CZ2:CZ67)=0,"",COUNT('ENTRY '!CZ2:CZ67))</f>
        <v/>
      </c>
      <c r="CM7" s="34" t="str">
        <f>IF(SUM('ENTRY '!DA2:DA67)=0,"",COUNT('ENTRY '!DA2:DA67))</f>
        <v/>
      </c>
      <c r="CN7" s="34" t="str">
        <f>IF(SUM('ENTRY '!DB2:DB67)=0,"",COUNT('ENTRY '!DB2:DB67))</f>
        <v/>
      </c>
      <c r="CO7" s="34" t="str">
        <f>IF(SUM('ENTRY '!DC2:DC67)=0,"",COUNT('ENTRY '!DC2:DC67))</f>
        <v/>
      </c>
      <c r="CP7" s="34" t="str">
        <f>IF(SUM('ENTRY '!DD2:DD67)=0,"",COUNT('ENTRY '!DD2:DD67))</f>
        <v/>
      </c>
      <c r="CQ7" s="34" t="str">
        <f>IF(SUM('ENTRY '!DE2:DE67)=0,"",COUNT('ENTRY '!DE2:DE67))</f>
        <v/>
      </c>
      <c r="CR7" s="34" t="str">
        <f>IF(SUM('ENTRY '!DF2:DF67)=0,"",COUNT('ENTRY '!DF2:DF67))</f>
        <v/>
      </c>
      <c r="CS7" s="34" t="str">
        <f>IF(SUM('ENTRY '!DG2:DG67)=0,"",COUNT('ENTRY '!DG2:DG67))</f>
        <v/>
      </c>
      <c r="CT7" s="34" t="str">
        <f>IF(SUM('ENTRY '!DH2:DH67)=0,"",COUNT('ENTRY '!DH2:DH67))</f>
        <v/>
      </c>
      <c r="CU7" s="34" t="str">
        <f>IF(SUM('ENTRY '!DI2:DI67)=0,"",COUNT('ENTRY '!DI2:DI67))</f>
        <v/>
      </c>
      <c r="CV7" s="34" t="str">
        <f>IF(SUM('ENTRY '!DJ2:DJ67)=0,"",COUNT('ENTRY '!DJ2:DJ67))</f>
        <v/>
      </c>
      <c r="CW7" s="34" t="str">
        <f>IF(SUM('ENTRY '!DK2:DK67)=0,"",COUNT('ENTRY '!DK2:DK67))</f>
        <v/>
      </c>
      <c r="CX7" s="34" t="str">
        <f>IF(SUM('ENTRY '!DL2:DL67)=0,"",COUNT('ENTRY '!DL2:DL67))</f>
        <v/>
      </c>
      <c r="CY7" s="34" t="str">
        <f>IF(SUM('ENTRY '!DM2:DM67)=0,"",COUNT('ENTRY '!DM2:DM67))</f>
        <v/>
      </c>
      <c r="CZ7" s="34" t="str">
        <f>IF(SUM('ENTRY '!DN2:DN67)=0,"",COUNT('ENTRY '!DN2:DN67))</f>
        <v/>
      </c>
      <c r="DA7" s="34" t="str">
        <f>IF(SUM('ENTRY '!DO2:DO67)=0,"",COUNT('ENTRY '!DO2:DO67))</f>
        <v/>
      </c>
      <c r="DB7" s="34" t="str">
        <f>IF(SUM('ENTRY '!DP2:DP67)=0,"",COUNT('ENTRY '!DP2:DP67))</f>
        <v/>
      </c>
      <c r="DC7" s="34" t="str">
        <f>IF(SUM('ENTRY '!DQ2:DQ67)=0,"",COUNT('ENTRY '!DQ2:DQ67))</f>
        <v/>
      </c>
      <c r="DD7" s="34" t="str">
        <f>IF(SUM('ENTRY '!DR2:DR67)=0,"",COUNT('ENTRY '!DR2:DR67))</f>
        <v/>
      </c>
      <c r="DE7" s="34" t="str">
        <f>IF(SUM('ENTRY '!DS2:DS67)=0,"",COUNT('ENTRY '!DS2:DS67))</f>
        <v/>
      </c>
      <c r="DF7" s="34" t="str">
        <f>IF(SUM('ENTRY '!DT2:DT67)=0,"",COUNT('ENTRY '!DT2:DT67))</f>
        <v/>
      </c>
      <c r="DG7" s="34" t="str">
        <f>IF(SUM('ENTRY '!DU2:DU67)=0,"",COUNT('ENTRY '!DU2:DU67))</f>
        <v/>
      </c>
      <c r="DH7" s="34" t="str">
        <f>IF(SUM('ENTRY '!DV2:DV67)=0,"",COUNT('ENTRY '!DV2:DV67))</f>
        <v/>
      </c>
      <c r="DI7" s="34" t="str">
        <f>IF(SUM('ENTRY '!DW2:DW67)=0,"",COUNT('ENTRY '!DW2:DW67))</f>
        <v/>
      </c>
      <c r="DJ7" s="34" t="str">
        <f>IF(SUM('ENTRY '!DX2:DX67)=0,"",COUNT('ENTRY '!DX2:DX67))</f>
        <v/>
      </c>
      <c r="DK7" s="34" t="str">
        <f>IF(SUM('ENTRY '!DY2:DY67)=0,"",COUNT('ENTRY '!DY2:DY67))</f>
        <v/>
      </c>
      <c r="DL7" s="34" t="str">
        <f>IF(SUM('ENTRY '!DZ2:DZ67)=0,"",COUNT('ENTRY '!DZ2:DZ67))</f>
        <v/>
      </c>
      <c r="DM7" s="34" t="str">
        <f>IF(SUM('ENTRY '!EA2:EA67)=0,"",COUNT('ENTRY '!EA2:EA67))</f>
        <v/>
      </c>
      <c r="DN7" s="34" t="str">
        <f>IF(SUM('ENTRY '!EB2:EB67)=0,"",COUNT('ENTRY '!EB2:EB67))</f>
        <v/>
      </c>
      <c r="DO7" s="34" t="str">
        <f>IF(SUM('ENTRY '!EC2:EC67)=0,"",COUNT('ENTRY '!EC2:EC67))</f>
        <v/>
      </c>
      <c r="DP7" s="34" t="str">
        <f>IF(SUM('ENTRY '!ED2:ED67)=0,"",COUNT('ENTRY '!ED2:ED67))</f>
        <v/>
      </c>
      <c r="DQ7" s="34" t="str">
        <f>IF(SUM('ENTRY '!EE2:EE67)=0,"",COUNT('ENTRY '!EE2:EE67))</f>
        <v/>
      </c>
      <c r="DR7" s="34">
        <f>IF(SUM('ENTRY '!EF2:EF67)=0,"",COUNT('ENTRY '!EF2:EF67))</f>
        <v>3</v>
      </c>
      <c r="DS7" s="34" t="str">
        <f>IF(SUM('ENTRY '!EG2:EG67)=0,"",COUNT('ENTRY '!EG2:EG67))</f>
        <v/>
      </c>
      <c r="DT7" s="34" t="str">
        <f>IF(SUM('ENTRY '!EH2:EH67)=0,"",COUNT('ENTRY '!EH2:EH67))</f>
        <v/>
      </c>
      <c r="DU7" s="34" t="str">
        <f>IF(SUM('ENTRY '!EI2:EI67)=0,"",COUNT('ENTRY '!EI2:EI67))</f>
        <v/>
      </c>
      <c r="DV7" s="34" t="str">
        <f>IF(SUM('ENTRY '!EJ2:EJ67)=0,"",COUNT('ENTRY '!EJ2:EJ67))</f>
        <v/>
      </c>
      <c r="DW7" s="34" t="str">
        <f>IF(SUM('ENTRY '!EK2:EK67)=0,"",COUNT('ENTRY '!EK2:EK67))</f>
        <v/>
      </c>
      <c r="DX7" s="34" t="str">
        <f>IF(SUM('ENTRY '!EL2:EL67)=0,"",COUNT('ENTRY '!EL2:EL67))</f>
        <v/>
      </c>
      <c r="DY7" s="34" t="str">
        <f>IF(SUM('ENTRY '!EM2:EM67)=0,"",COUNT('ENTRY '!EM2:EM67))</f>
        <v/>
      </c>
      <c r="DZ7" s="34" t="str">
        <f>IF(SUM('ENTRY '!EN2:EN67)=0,"",COUNT('ENTRY '!EN2:EN67))</f>
        <v/>
      </c>
      <c r="EA7" s="34" t="str">
        <f>IF(SUM('ENTRY '!EO2:EO67)=0,"",COUNT('ENTRY '!EO2:EO67))</f>
        <v/>
      </c>
      <c r="EB7" s="34" t="str">
        <f>IF(SUM('ENTRY '!EP2:EP67)=0,"",COUNT('ENTRY '!EP2:EP67))</f>
        <v/>
      </c>
      <c r="EC7" s="34" t="str">
        <f>IF(SUM('ENTRY '!EQ2:EQ67)=0,"",COUNT('ENTRY '!EQ2:EQ67))</f>
        <v/>
      </c>
      <c r="ED7" s="34" t="str">
        <f>IF(SUM('ENTRY '!ER2:ER67)=0,"",COUNT('ENTRY '!ER2:ER67))</f>
        <v/>
      </c>
      <c r="EE7" s="34" t="str">
        <f>IF(SUM('ENTRY '!ES2:ES67)=0,"",COUNT('ENTRY '!ES2:ES67))</f>
        <v/>
      </c>
      <c r="EF7" s="34" t="str">
        <f>IF(SUM('ENTRY '!ET2:ET67)=0,"",COUNT('ENTRY '!ET2:ET67))</f>
        <v/>
      </c>
      <c r="EG7" s="34" t="str">
        <f>IF(SUM('ENTRY '!EU2:EU67)=0,"",COUNT('ENTRY '!EU2:EU67))</f>
        <v/>
      </c>
      <c r="EH7" s="34" t="str">
        <f>IF(SUM('ENTRY '!EV2:EV67)=0,"",COUNT('ENTRY '!EV2:EV67))</f>
        <v/>
      </c>
      <c r="EI7" s="34" t="str">
        <f>IF(SUM('ENTRY '!EW2:EW67)=0,"",COUNT('ENTRY '!EW2:EW67))</f>
        <v/>
      </c>
      <c r="EJ7" s="34" t="str">
        <f>IF(SUM('ENTRY '!EX2:EX67)=0,"",COUNT('ENTRY '!EX2:EX67))</f>
        <v/>
      </c>
      <c r="EK7" s="34" t="str">
        <f>IF(SUM('ENTRY '!EY2:EY67)=0,"",COUNT('ENTRY '!EY2:EY67))</f>
        <v/>
      </c>
      <c r="EL7" s="34" t="str">
        <f>IF(SUM('ENTRY '!EZ2:EZ67)=0,"",COUNT('ENTRY '!EZ2:EZ67))</f>
        <v/>
      </c>
      <c r="EM7" s="34" t="str">
        <f>IF(SUM('ENTRY '!FA2:FA67)=0,"",COUNT('ENTRY '!FA2:FA67))</f>
        <v/>
      </c>
      <c r="EN7" s="34">
        <f>IF(SUM('ENTRY '!FB2:FB67)=0,"",COUNT('ENTRY '!FB2:FB67))</f>
        <v>55</v>
      </c>
      <c r="EO7" s="34" t="str">
        <f>IF(SUM('ENTRY '!FC2:FC67)=0,"",COUNT('ENTRY '!FC2:FC67))</f>
        <v/>
      </c>
      <c r="EP7" s="34" t="str">
        <f>IF(SUM('ENTRY '!FD2:FD67)=0,"",COUNT('ENTRY '!FD2:FD67))</f>
        <v/>
      </c>
      <c r="EQ7" s="34" t="str">
        <f>IF(SUM('ENTRY '!FE2:FE67)=0,"",COUNT('ENTRY '!FE2:FE67))</f>
        <v/>
      </c>
      <c r="ER7" s="34" t="str">
        <f>IF(SUM('ENTRY '!FF2:FF67)=0,"",COUNT('ENTRY '!FF2:FF67))</f>
        <v/>
      </c>
      <c r="ES7" s="34" t="str">
        <f>IF(SUM('ENTRY '!FG2:FG67)=0,"",COUNT('ENTRY '!FG2:FG67))</f>
        <v/>
      </c>
      <c r="ET7" s="34" t="str">
        <f>IF(SUM('ENTRY '!FH2:FH67)=0,"",COUNT('ENTRY '!FH2:FH67))</f>
        <v/>
      </c>
      <c r="EU7" s="34" t="str">
        <f>IF(SUM('ENTRY '!FI2:FI67)=0,"",COUNT('ENTRY '!FI2:FI67))</f>
        <v/>
      </c>
      <c r="EV7" s="34" t="str">
        <f>IF(SUM('ENTRY '!FJ2:FJ67)=0,"",COUNT('ENTRY '!FJ2:FJ67))</f>
        <v/>
      </c>
      <c r="EW7" s="34" t="str">
        <f>IF(SUM('ENTRY '!FK2:FK67)=0,"",COUNT('ENTRY '!FK2:FK67))</f>
        <v/>
      </c>
      <c r="EX7" s="34" t="str">
        <f>IF(SUM('ENTRY '!FL2:FL67)=0,"",COUNT('ENTRY '!FL2:FL67))</f>
        <v/>
      </c>
      <c r="EY7" s="34" t="str">
        <f>IF(SUM('ENTRY '!FM2:FM67)=0,"",COUNT('ENTRY '!FM2:FM67))</f>
        <v/>
      </c>
    </row>
    <row r="8" spans="1:156" s="68" customFormat="1" ht="12.75" customHeight="1">
      <c r="A8" s="9"/>
      <c r="B8" s="8" t="s">
        <v>1</v>
      </c>
      <c r="C8" s="41"/>
      <c r="D8" s="35" t="str">
        <f t="shared" ref="D8:AI8" si="0">IF(D10="","",(D10/(SUM($D$10:$EK$10,$EQ$10:$EY$10)/100)))</f>
        <v/>
      </c>
      <c r="E8" s="35">
        <f t="shared" si="0"/>
        <v>28.94736842105263</v>
      </c>
      <c r="F8" s="35" t="str">
        <f t="shared" si="0"/>
        <v/>
      </c>
      <c r="G8" s="35" t="str">
        <f t="shared" si="0"/>
        <v/>
      </c>
      <c r="H8" s="35" t="str">
        <f t="shared" si="0"/>
        <v/>
      </c>
      <c r="I8" s="35" t="str">
        <f t="shared" si="0"/>
        <v/>
      </c>
      <c r="J8" s="35" t="str">
        <f t="shared" si="0"/>
        <v/>
      </c>
      <c r="K8" s="35" t="str">
        <f t="shared" si="0"/>
        <v/>
      </c>
      <c r="L8" s="35" t="str">
        <f t="shared" si="0"/>
        <v/>
      </c>
      <c r="M8" s="35" t="str">
        <f t="shared" si="0"/>
        <v/>
      </c>
      <c r="N8" s="35" t="str">
        <f t="shared" si="0"/>
        <v/>
      </c>
      <c r="O8" s="35" t="str">
        <f t="shared" si="0"/>
        <v/>
      </c>
      <c r="P8" s="35" t="str">
        <f t="shared" si="0"/>
        <v/>
      </c>
      <c r="Q8" s="35">
        <f t="shared" si="0"/>
        <v>36.842105263157897</v>
      </c>
      <c r="R8" s="35" t="str">
        <f t="shared" si="0"/>
        <v/>
      </c>
      <c r="S8" s="35" t="str">
        <f t="shared" si="0"/>
        <v/>
      </c>
      <c r="T8" s="35" t="str">
        <f t="shared" si="0"/>
        <v/>
      </c>
      <c r="U8" s="35" t="str">
        <f t="shared" si="0"/>
        <v/>
      </c>
      <c r="V8" s="35" t="str">
        <f t="shared" si="0"/>
        <v/>
      </c>
      <c r="W8" s="35" t="str">
        <f t="shared" si="0"/>
        <v/>
      </c>
      <c r="X8" s="35" t="str">
        <f t="shared" si="0"/>
        <v/>
      </c>
      <c r="Y8" s="35" t="str">
        <f t="shared" si="0"/>
        <v/>
      </c>
      <c r="Z8" s="35" t="str">
        <f t="shared" si="0"/>
        <v/>
      </c>
      <c r="AA8" s="35" t="str">
        <f t="shared" si="0"/>
        <v/>
      </c>
      <c r="AB8" s="35" t="str">
        <f t="shared" si="0"/>
        <v/>
      </c>
      <c r="AC8" s="35" t="str">
        <f t="shared" si="0"/>
        <v/>
      </c>
      <c r="AD8" s="35" t="str">
        <f t="shared" si="0"/>
        <v/>
      </c>
      <c r="AE8" s="35" t="str">
        <f t="shared" si="0"/>
        <v/>
      </c>
      <c r="AF8" s="35" t="str">
        <f t="shared" si="0"/>
        <v/>
      </c>
      <c r="AG8" s="35" t="str">
        <f t="shared" si="0"/>
        <v/>
      </c>
      <c r="AH8" s="35" t="str">
        <f t="shared" si="0"/>
        <v/>
      </c>
      <c r="AI8" s="35" t="str">
        <f t="shared" si="0"/>
        <v/>
      </c>
      <c r="AJ8" s="35" t="str">
        <f t="shared" ref="AJ8:BO8" si="1">IF(AJ10="","",(AJ10/(SUM($D$10:$EK$10,$EQ$10:$EY$10)/100)))</f>
        <v/>
      </c>
      <c r="AK8" s="35" t="str">
        <f t="shared" si="1"/>
        <v/>
      </c>
      <c r="AL8" s="35" t="str">
        <f t="shared" si="1"/>
        <v/>
      </c>
      <c r="AM8" s="35" t="str">
        <f t="shared" si="1"/>
        <v/>
      </c>
      <c r="AN8" s="35" t="str">
        <f t="shared" si="1"/>
        <v/>
      </c>
      <c r="AO8" s="35" t="str">
        <f t="shared" si="1"/>
        <v/>
      </c>
      <c r="AP8" s="35" t="str">
        <f t="shared" si="1"/>
        <v/>
      </c>
      <c r="AQ8" s="35" t="str">
        <f t="shared" si="1"/>
        <v/>
      </c>
      <c r="AR8" s="35" t="str">
        <f t="shared" si="1"/>
        <v/>
      </c>
      <c r="AS8" s="35" t="str">
        <f t="shared" si="1"/>
        <v/>
      </c>
      <c r="AT8" s="35" t="str">
        <f t="shared" si="1"/>
        <v/>
      </c>
      <c r="AU8" s="35" t="str">
        <f t="shared" si="1"/>
        <v/>
      </c>
      <c r="AV8" s="35" t="str">
        <f t="shared" si="1"/>
        <v/>
      </c>
      <c r="AW8" s="35" t="str">
        <f t="shared" si="1"/>
        <v/>
      </c>
      <c r="AX8" s="35" t="str">
        <f t="shared" si="1"/>
        <v/>
      </c>
      <c r="AY8" s="35" t="str">
        <f t="shared" si="1"/>
        <v/>
      </c>
      <c r="AZ8" s="35" t="str">
        <f t="shared" si="1"/>
        <v/>
      </c>
      <c r="BA8" s="35" t="str">
        <f t="shared" si="1"/>
        <v/>
      </c>
      <c r="BB8" s="35" t="str">
        <f t="shared" si="1"/>
        <v/>
      </c>
      <c r="BC8" s="35" t="str">
        <f t="shared" si="1"/>
        <v/>
      </c>
      <c r="BD8" s="35" t="str">
        <f t="shared" si="1"/>
        <v/>
      </c>
      <c r="BE8" s="35" t="str">
        <f t="shared" si="1"/>
        <v/>
      </c>
      <c r="BF8" s="35" t="str">
        <f t="shared" si="1"/>
        <v/>
      </c>
      <c r="BG8" s="35" t="str">
        <f t="shared" si="1"/>
        <v/>
      </c>
      <c r="BH8" s="35" t="str">
        <f t="shared" si="1"/>
        <v/>
      </c>
      <c r="BI8" s="35" t="str">
        <f t="shared" si="1"/>
        <v/>
      </c>
      <c r="BJ8" s="35" t="str">
        <f t="shared" si="1"/>
        <v/>
      </c>
      <c r="BK8" s="35" t="str">
        <f t="shared" si="1"/>
        <v/>
      </c>
      <c r="BL8" s="35" t="str">
        <f t="shared" si="1"/>
        <v/>
      </c>
      <c r="BM8" s="35">
        <f t="shared" si="1"/>
        <v>7.8947368421052628</v>
      </c>
      <c r="BN8" s="35">
        <f t="shared" si="1"/>
        <v>5.2631578947368425</v>
      </c>
      <c r="BO8" s="35" t="str">
        <f t="shared" si="1"/>
        <v/>
      </c>
      <c r="BP8" s="35" t="str">
        <f t="shared" ref="BP8:CU8" si="2">IF(BP10="","",(BP10/(SUM($D$10:$EK$10,$EQ$10:$EY$10)/100)))</f>
        <v/>
      </c>
      <c r="BQ8" s="35" t="str">
        <f t="shared" si="2"/>
        <v/>
      </c>
      <c r="BR8" s="35" t="str">
        <f t="shared" si="2"/>
        <v/>
      </c>
      <c r="BS8" s="35" t="str">
        <f t="shared" si="2"/>
        <v/>
      </c>
      <c r="BT8" s="35" t="str">
        <f t="shared" si="2"/>
        <v/>
      </c>
      <c r="BU8" s="35" t="str">
        <f t="shared" si="2"/>
        <v/>
      </c>
      <c r="BV8" s="35" t="str">
        <f t="shared" si="2"/>
        <v/>
      </c>
      <c r="BW8" s="35" t="str">
        <f t="shared" si="2"/>
        <v/>
      </c>
      <c r="BX8" s="35" t="str">
        <f t="shared" si="2"/>
        <v/>
      </c>
      <c r="BY8" s="35" t="str">
        <f t="shared" si="2"/>
        <v/>
      </c>
      <c r="BZ8" s="35" t="str">
        <f t="shared" si="2"/>
        <v/>
      </c>
      <c r="CA8" s="35">
        <f t="shared" si="2"/>
        <v>7.8947368421052628</v>
      </c>
      <c r="CB8" s="35" t="str">
        <f t="shared" si="2"/>
        <v/>
      </c>
      <c r="CC8" s="35" t="str">
        <f t="shared" si="2"/>
        <v/>
      </c>
      <c r="CD8" s="35" t="str">
        <f t="shared" si="2"/>
        <v/>
      </c>
      <c r="CE8" s="35" t="str">
        <f t="shared" si="2"/>
        <v/>
      </c>
      <c r="CF8" s="35" t="str">
        <f t="shared" si="2"/>
        <v/>
      </c>
      <c r="CG8" s="35" t="str">
        <f t="shared" si="2"/>
        <v/>
      </c>
      <c r="CH8" s="35" t="str">
        <f t="shared" si="2"/>
        <v/>
      </c>
      <c r="CI8" s="35">
        <f t="shared" si="2"/>
        <v>5.2631578947368425</v>
      </c>
      <c r="CJ8" s="35" t="str">
        <f t="shared" si="2"/>
        <v/>
      </c>
      <c r="CK8" s="35" t="str">
        <f t="shared" si="2"/>
        <v/>
      </c>
      <c r="CL8" s="35" t="str">
        <f t="shared" si="2"/>
        <v/>
      </c>
      <c r="CM8" s="35" t="str">
        <f t="shared" si="2"/>
        <v/>
      </c>
      <c r="CN8" s="35" t="str">
        <f t="shared" si="2"/>
        <v/>
      </c>
      <c r="CO8" s="35" t="str">
        <f t="shared" si="2"/>
        <v/>
      </c>
      <c r="CP8" s="35" t="str">
        <f t="shared" si="2"/>
        <v/>
      </c>
      <c r="CQ8" s="35" t="str">
        <f t="shared" si="2"/>
        <v/>
      </c>
      <c r="CR8" s="35" t="str">
        <f t="shared" si="2"/>
        <v/>
      </c>
      <c r="CS8" s="35" t="str">
        <f t="shared" si="2"/>
        <v/>
      </c>
      <c r="CT8" s="35" t="str">
        <f t="shared" si="2"/>
        <v/>
      </c>
      <c r="CU8" s="35" t="str">
        <f t="shared" si="2"/>
        <v/>
      </c>
      <c r="CV8" s="35" t="str">
        <f t="shared" ref="CV8:EA8" si="3">IF(CV10="","",(CV10/(SUM($D$10:$EK$10,$EQ$10:$EY$10)/100)))</f>
        <v/>
      </c>
      <c r="CW8" s="35" t="str">
        <f t="shared" si="3"/>
        <v/>
      </c>
      <c r="CX8" s="35" t="str">
        <f t="shared" si="3"/>
        <v/>
      </c>
      <c r="CY8" s="35" t="str">
        <f t="shared" si="3"/>
        <v/>
      </c>
      <c r="CZ8" s="35" t="str">
        <f t="shared" si="3"/>
        <v/>
      </c>
      <c r="DA8" s="35" t="str">
        <f t="shared" si="3"/>
        <v/>
      </c>
      <c r="DB8" s="35" t="str">
        <f t="shared" si="3"/>
        <v/>
      </c>
      <c r="DC8" s="35" t="str">
        <f t="shared" si="3"/>
        <v/>
      </c>
      <c r="DD8" s="35" t="str">
        <f t="shared" si="3"/>
        <v/>
      </c>
      <c r="DE8" s="35" t="str">
        <f t="shared" si="3"/>
        <v/>
      </c>
      <c r="DF8" s="35" t="str">
        <f t="shared" si="3"/>
        <v/>
      </c>
      <c r="DG8" s="35" t="str">
        <f t="shared" si="3"/>
        <v/>
      </c>
      <c r="DH8" s="35" t="str">
        <f t="shared" si="3"/>
        <v/>
      </c>
      <c r="DI8" s="35" t="str">
        <f t="shared" si="3"/>
        <v/>
      </c>
      <c r="DJ8" s="35" t="str">
        <f t="shared" si="3"/>
        <v/>
      </c>
      <c r="DK8" s="35" t="str">
        <f t="shared" si="3"/>
        <v/>
      </c>
      <c r="DL8" s="35" t="str">
        <f t="shared" si="3"/>
        <v/>
      </c>
      <c r="DM8" s="35" t="str">
        <f t="shared" si="3"/>
        <v/>
      </c>
      <c r="DN8" s="35" t="str">
        <f t="shared" si="3"/>
        <v/>
      </c>
      <c r="DO8" s="35" t="str">
        <f t="shared" si="3"/>
        <v/>
      </c>
      <c r="DP8" s="35" t="str">
        <f t="shared" si="3"/>
        <v/>
      </c>
      <c r="DQ8" s="35" t="str">
        <f t="shared" si="3"/>
        <v/>
      </c>
      <c r="DR8" s="35">
        <f t="shared" si="3"/>
        <v>7.8947368421052628</v>
      </c>
      <c r="DS8" s="35" t="str">
        <f t="shared" si="3"/>
        <v/>
      </c>
      <c r="DT8" s="35" t="str">
        <f t="shared" si="3"/>
        <v/>
      </c>
      <c r="DU8" s="35" t="str">
        <f t="shared" si="3"/>
        <v/>
      </c>
      <c r="DV8" s="35" t="str">
        <f t="shared" si="3"/>
        <v/>
      </c>
      <c r="DW8" s="35" t="str">
        <f t="shared" si="3"/>
        <v/>
      </c>
      <c r="DX8" s="35" t="str">
        <f t="shared" si="3"/>
        <v/>
      </c>
      <c r="DY8" s="35" t="str">
        <f t="shared" si="3"/>
        <v/>
      </c>
      <c r="DZ8" s="35" t="str">
        <f t="shared" si="3"/>
        <v/>
      </c>
      <c r="EA8" s="35" t="str">
        <f t="shared" si="3"/>
        <v/>
      </c>
      <c r="EB8" s="35" t="str">
        <f t="shared" ref="EB8:EK8" si="4">IF(EB10="","",(EB10/(SUM($D$10:$EK$10,$EQ$10:$EY$10)/100)))</f>
        <v/>
      </c>
      <c r="EC8" s="35" t="str">
        <f t="shared" si="4"/>
        <v/>
      </c>
      <c r="ED8" s="35" t="str">
        <f t="shared" si="4"/>
        <v/>
      </c>
      <c r="EE8" s="35" t="str">
        <f t="shared" si="4"/>
        <v/>
      </c>
      <c r="EF8" s="35" t="str">
        <f t="shared" si="4"/>
        <v/>
      </c>
      <c r="EG8" s="35" t="str">
        <f t="shared" si="4"/>
        <v/>
      </c>
      <c r="EH8" s="35" t="str">
        <f t="shared" si="4"/>
        <v/>
      </c>
      <c r="EI8" s="35" t="str">
        <f t="shared" si="4"/>
        <v/>
      </c>
      <c r="EJ8" s="35" t="str">
        <f t="shared" si="4"/>
        <v/>
      </c>
      <c r="EK8" s="35" t="str">
        <f t="shared" si="4"/>
        <v/>
      </c>
      <c r="EL8" s="35"/>
      <c r="EM8" s="35"/>
      <c r="EN8" s="35"/>
      <c r="EO8" s="35"/>
      <c r="EP8" s="35"/>
      <c r="EQ8" s="35" t="str">
        <f t="shared" ref="EQ8:EY8" si="5">IF(EQ10="","",(EQ10/(SUM($D$10:$EK$10,$EQ$10:$EY$10)/100)))</f>
        <v/>
      </c>
      <c r="ER8" s="35" t="str">
        <f t="shared" si="5"/>
        <v/>
      </c>
      <c r="ES8" s="35" t="str">
        <f t="shared" si="5"/>
        <v/>
      </c>
      <c r="ET8" s="35" t="str">
        <f t="shared" si="5"/>
        <v/>
      </c>
      <c r="EU8" s="35" t="str">
        <f t="shared" si="5"/>
        <v/>
      </c>
      <c r="EV8" s="35" t="str">
        <f t="shared" si="5"/>
        <v/>
      </c>
      <c r="EW8" s="35" t="str">
        <f t="shared" si="5"/>
        <v/>
      </c>
      <c r="EX8" s="35" t="str">
        <f t="shared" si="5"/>
        <v/>
      </c>
      <c r="EY8" s="35" t="str">
        <f t="shared" si="5"/>
        <v/>
      </c>
    </row>
    <row r="9" spans="1:156" s="67" customFormat="1" ht="12.75" customHeight="1">
      <c r="A9" s="44"/>
      <c r="B9" s="44" t="s">
        <v>13</v>
      </c>
      <c r="C9" s="41"/>
      <c r="D9" s="45" t="str">
        <f t="shared" ref="D9:AI9" si="6">IF(D7="","",(D7/$C$18)*100)</f>
        <v/>
      </c>
      <c r="E9" s="46">
        <f t="shared" si="6"/>
        <v>35.483870967741936</v>
      </c>
      <c r="F9" s="46" t="str">
        <f t="shared" si="6"/>
        <v/>
      </c>
      <c r="G9" s="46" t="str">
        <f t="shared" si="6"/>
        <v/>
      </c>
      <c r="H9" s="46" t="str">
        <f t="shared" si="6"/>
        <v/>
      </c>
      <c r="I9" s="46" t="str">
        <f t="shared" si="6"/>
        <v/>
      </c>
      <c r="J9" s="46" t="str">
        <f t="shared" si="6"/>
        <v/>
      </c>
      <c r="K9" s="46" t="str">
        <f t="shared" si="6"/>
        <v/>
      </c>
      <c r="L9" s="46" t="str">
        <f t="shared" si="6"/>
        <v/>
      </c>
      <c r="M9" s="46" t="str">
        <f t="shared" si="6"/>
        <v/>
      </c>
      <c r="N9" s="46" t="str">
        <f t="shared" si="6"/>
        <v/>
      </c>
      <c r="O9" s="46" t="str">
        <f t="shared" si="6"/>
        <v/>
      </c>
      <c r="P9" s="46" t="str">
        <f t="shared" si="6"/>
        <v/>
      </c>
      <c r="Q9" s="46">
        <f t="shared" si="6"/>
        <v>45.161290322580641</v>
      </c>
      <c r="R9" s="46" t="str">
        <f t="shared" si="6"/>
        <v/>
      </c>
      <c r="S9" s="46" t="str">
        <f t="shared" si="6"/>
        <v/>
      </c>
      <c r="T9" s="46" t="str">
        <f t="shared" si="6"/>
        <v/>
      </c>
      <c r="U9" s="46" t="str">
        <f t="shared" si="6"/>
        <v/>
      </c>
      <c r="V9" s="46" t="str">
        <f t="shared" si="6"/>
        <v/>
      </c>
      <c r="W9" s="46" t="str">
        <f t="shared" si="6"/>
        <v/>
      </c>
      <c r="X9" s="46" t="str">
        <f t="shared" si="6"/>
        <v/>
      </c>
      <c r="Y9" s="46" t="str">
        <f t="shared" si="6"/>
        <v/>
      </c>
      <c r="Z9" s="46" t="str">
        <f t="shared" si="6"/>
        <v/>
      </c>
      <c r="AA9" s="46" t="str">
        <f t="shared" si="6"/>
        <v/>
      </c>
      <c r="AB9" s="46" t="str">
        <f t="shared" si="6"/>
        <v/>
      </c>
      <c r="AC9" s="46" t="str">
        <f t="shared" si="6"/>
        <v/>
      </c>
      <c r="AD9" s="46" t="str">
        <f t="shared" si="6"/>
        <v/>
      </c>
      <c r="AE9" s="46" t="str">
        <f t="shared" si="6"/>
        <v/>
      </c>
      <c r="AF9" s="46" t="str">
        <f t="shared" si="6"/>
        <v/>
      </c>
      <c r="AG9" s="46" t="str">
        <f t="shared" si="6"/>
        <v/>
      </c>
      <c r="AH9" s="46" t="str">
        <f t="shared" si="6"/>
        <v/>
      </c>
      <c r="AI9" s="46" t="str">
        <f t="shared" si="6"/>
        <v/>
      </c>
      <c r="AJ9" s="46" t="str">
        <f t="shared" ref="AJ9:BO9" si="7">IF(AJ7="","",(AJ7/$C$18)*100)</f>
        <v/>
      </c>
      <c r="AK9" s="46" t="str">
        <f t="shared" si="7"/>
        <v/>
      </c>
      <c r="AL9" s="46" t="str">
        <f t="shared" si="7"/>
        <v/>
      </c>
      <c r="AM9" s="46" t="str">
        <f t="shared" si="7"/>
        <v/>
      </c>
      <c r="AN9" s="46" t="str">
        <f t="shared" si="7"/>
        <v/>
      </c>
      <c r="AO9" s="46" t="str">
        <f t="shared" si="7"/>
        <v/>
      </c>
      <c r="AP9" s="46" t="str">
        <f t="shared" si="7"/>
        <v/>
      </c>
      <c r="AQ9" s="46" t="str">
        <f t="shared" si="7"/>
        <v/>
      </c>
      <c r="AR9" s="46" t="str">
        <f t="shared" si="7"/>
        <v/>
      </c>
      <c r="AS9" s="46" t="str">
        <f t="shared" si="7"/>
        <v/>
      </c>
      <c r="AT9" s="46" t="str">
        <f t="shared" si="7"/>
        <v/>
      </c>
      <c r="AU9" s="46" t="str">
        <f t="shared" si="7"/>
        <v/>
      </c>
      <c r="AV9" s="46" t="str">
        <f t="shared" si="7"/>
        <v/>
      </c>
      <c r="AW9" s="46" t="str">
        <f t="shared" si="7"/>
        <v/>
      </c>
      <c r="AX9" s="46" t="str">
        <f t="shared" si="7"/>
        <v/>
      </c>
      <c r="AY9" s="46" t="str">
        <f t="shared" si="7"/>
        <v/>
      </c>
      <c r="AZ9" s="46" t="str">
        <f t="shared" si="7"/>
        <v/>
      </c>
      <c r="BA9" s="46" t="str">
        <f t="shared" si="7"/>
        <v/>
      </c>
      <c r="BB9" s="46" t="str">
        <f t="shared" si="7"/>
        <v/>
      </c>
      <c r="BC9" s="46" t="str">
        <f t="shared" si="7"/>
        <v/>
      </c>
      <c r="BD9" s="46" t="str">
        <f t="shared" si="7"/>
        <v/>
      </c>
      <c r="BE9" s="46" t="str">
        <f t="shared" si="7"/>
        <v/>
      </c>
      <c r="BF9" s="46" t="str">
        <f t="shared" si="7"/>
        <v/>
      </c>
      <c r="BG9" s="46" t="str">
        <f t="shared" si="7"/>
        <v/>
      </c>
      <c r="BH9" s="46" t="str">
        <f t="shared" si="7"/>
        <v/>
      </c>
      <c r="BI9" s="46" t="str">
        <f t="shared" si="7"/>
        <v/>
      </c>
      <c r="BJ9" s="46" t="str">
        <f t="shared" si="7"/>
        <v/>
      </c>
      <c r="BK9" s="46" t="str">
        <f t="shared" si="7"/>
        <v/>
      </c>
      <c r="BL9" s="46" t="str">
        <f t="shared" si="7"/>
        <v/>
      </c>
      <c r="BM9" s="46">
        <f t="shared" si="7"/>
        <v>9.67741935483871</v>
      </c>
      <c r="BN9" s="46">
        <f t="shared" si="7"/>
        <v>6.4516129032258061</v>
      </c>
      <c r="BO9" s="46" t="str">
        <f t="shared" si="7"/>
        <v/>
      </c>
      <c r="BP9" s="46" t="str">
        <f t="shared" ref="BP9:CU9" si="8">IF(BP7="","",(BP7/$C$18)*100)</f>
        <v/>
      </c>
      <c r="BQ9" s="46" t="str">
        <f t="shared" si="8"/>
        <v/>
      </c>
      <c r="BR9" s="46" t="str">
        <f t="shared" si="8"/>
        <v/>
      </c>
      <c r="BS9" s="46" t="str">
        <f t="shared" si="8"/>
        <v/>
      </c>
      <c r="BT9" s="46" t="str">
        <f t="shared" si="8"/>
        <v/>
      </c>
      <c r="BU9" s="46" t="str">
        <f t="shared" si="8"/>
        <v/>
      </c>
      <c r="BV9" s="46" t="str">
        <f t="shared" si="8"/>
        <v/>
      </c>
      <c r="BW9" s="46" t="str">
        <f t="shared" si="8"/>
        <v/>
      </c>
      <c r="BX9" s="46" t="str">
        <f t="shared" si="8"/>
        <v/>
      </c>
      <c r="BY9" s="46" t="str">
        <f t="shared" si="8"/>
        <v/>
      </c>
      <c r="BZ9" s="46" t="str">
        <f t="shared" si="8"/>
        <v/>
      </c>
      <c r="CA9" s="46">
        <f t="shared" si="8"/>
        <v>9.67741935483871</v>
      </c>
      <c r="CB9" s="46" t="str">
        <f t="shared" si="8"/>
        <v/>
      </c>
      <c r="CC9" s="46" t="str">
        <f t="shared" si="8"/>
        <v/>
      </c>
      <c r="CD9" s="46" t="str">
        <f t="shared" si="8"/>
        <v/>
      </c>
      <c r="CE9" s="46" t="str">
        <f t="shared" si="8"/>
        <v/>
      </c>
      <c r="CF9" s="46" t="str">
        <f t="shared" si="8"/>
        <v/>
      </c>
      <c r="CG9" s="46" t="str">
        <f t="shared" si="8"/>
        <v/>
      </c>
      <c r="CH9" s="46" t="str">
        <f t="shared" si="8"/>
        <v/>
      </c>
      <c r="CI9" s="46">
        <f t="shared" si="8"/>
        <v>6.4516129032258061</v>
      </c>
      <c r="CJ9" s="46" t="str">
        <f t="shared" si="8"/>
        <v/>
      </c>
      <c r="CK9" s="46" t="str">
        <f t="shared" si="8"/>
        <v/>
      </c>
      <c r="CL9" s="46" t="str">
        <f t="shared" si="8"/>
        <v/>
      </c>
      <c r="CM9" s="46" t="str">
        <f t="shared" si="8"/>
        <v/>
      </c>
      <c r="CN9" s="46" t="str">
        <f t="shared" si="8"/>
        <v/>
      </c>
      <c r="CO9" s="46" t="str">
        <f t="shared" si="8"/>
        <v/>
      </c>
      <c r="CP9" s="46" t="str">
        <f t="shared" si="8"/>
        <v/>
      </c>
      <c r="CQ9" s="46" t="str">
        <f t="shared" si="8"/>
        <v/>
      </c>
      <c r="CR9" s="46" t="str">
        <f t="shared" si="8"/>
        <v/>
      </c>
      <c r="CS9" s="46" t="str">
        <f t="shared" si="8"/>
        <v/>
      </c>
      <c r="CT9" s="46" t="str">
        <f t="shared" si="8"/>
        <v/>
      </c>
      <c r="CU9" s="46" t="str">
        <f t="shared" si="8"/>
        <v/>
      </c>
      <c r="CV9" s="46" t="str">
        <f t="shared" ref="CV9:EA9" si="9">IF(CV7="","",(CV7/$C$18)*100)</f>
        <v/>
      </c>
      <c r="CW9" s="46" t="str">
        <f t="shared" si="9"/>
        <v/>
      </c>
      <c r="CX9" s="46" t="str">
        <f t="shared" si="9"/>
        <v/>
      </c>
      <c r="CY9" s="46" t="str">
        <f t="shared" si="9"/>
        <v/>
      </c>
      <c r="CZ9" s="46" t="str">
        <f t="shared" si="9"/>
        <v/>
      </c>
      <c r="DA9" s="46" t="str">
        <f t="shared" si="9"/>
        <v/>
      </c>
      <c r="DB9" s="46" t="str">
        <f t="shared" si="9"/>
        <v/>
      </c>
      <c r="DC9" s="46" t="str">
        <f t="shared" si="9"/>
        <v/>
      </c>
      <c r="DD9" s="46" t="str">
        <f t="shared" si="9"/>
        <v/>
      </c>
      <c r="DE9" s="46" t="str">
        <f t="shared" si="9"/>
        <v/>
      </c>
      <c r="DF9" s="46" t="str">
        <f t="shared" si="9"/>
        <v/>
      </c>
      <c r="DG9" s="46" t="str">
        <f t="shared" si="9"/>
        <v/>
      </c>
      <c r="DH9" s="46" t="str">
        <f t="shared" si="9"/>
        <v/>
      </c>
      <c r="DI9" s="46" t="str">
        <f t="shared" si="9"/>
        <v/>
      </c>
      <c r="DJ9" s="46" t="str">
        <f t="shared" si="9"/>
        <v/>
      </c>
      <c r="DK9" s="46" t="str">
        <f t="shared" si="9"/>
        <v/>
      </c>
      <c r="DL9" s="46" t="str">
        <f t="shared" si="9"/>
        <v/>
      </c>
      <c r="DM9" s="46" t="str">
        <f t="shared" si="9"/>
        <v/>
      </c>
      <c r="DN9" s="46" t="str">
        <f t="shared" si="9"/>
        <v/>
      </c>
      <c r="DO9" s="46" t="str">
        <f t="shared" si="9"/>
        <v/>
      </c>
      <c r="DP9" s="46" t="str">
        <f t="shared" si="9"/>
        <v/>
      </c>
      <c r="DQ9" s="46" t="str">
        <f t="shared" si="9"/>
        <v/>
      </c>
      <c r="DR9" s="46">
        <f t="shared" si="9"/>
        <v>9.67741935483871</v>
      </c>
      <c r="DS9" s="46" t="str">
        <f t="shared" si="9"/>
        <v/>
      </c>
      <c r="DT9" s="46" t="str">
        <f t="shared" si="9"/>
        <v/>
      </c>
      <c r="DU9" s="46" t="str">
        <f t="shared" si="9"/>
        <v/>
      </c>
      <c r="DV9" s="46" t="str">
        <f t="shared" si="9"/>
        <v/>
      </c>
      <c r="DW9" s="46" t="str">
        <f t="shared" si="9"/>
        <v/>
      </c>
      <c r="DX9" s="46" t="str">
        <f t="shared" si="9"/>
        <v/>
      </c>
      <c r="DY9" s="46" t="str">
        <f t="shared" si="9"/>
        <v/>
      </c>
      <c r="DZ9" s="46" t="str">
        <f t="shared" si="9"/>
        <v/>
      </c>
      <c r="EA9" s="46" t="str">
        <f t="shared" si="9"/>
        <v/>
      </c>
      <c r="EB9" s="46" t="str">
        <f t="shared" ref="EB9:EY9" si="10">IF(EB7="","",(EB7/$C$18)*100)</f>
        <v/>
      </c>
      <c r="EC9" s="46" t="str">
        <f t="shared" si="10"/>
        <v/>
      </c>
      <c r="ED9" s="46" t="str">
        <f t="shared" si="10"/>
        <v/>
      </c>
      <c r="EE9" s="46" t="str">
        <f t="shared" si="10"/>
        <v/>
      </c>
      <c r="EF9" s="46" t="str">
        <f t="shared" si="10"/>
        <v/>
      </c>
      <c r="EG9" s="46" t="str">
        <f t="shared" si="10"/>
        <v/>
      </c>
      <c r="EH9" s="46" t="str">
        <f t="shared" si="10"/>
        <v/>
      </c>
      <c r="EI9" s="46" t="str">
        <f t="shared" si="10"/>
        <v/>
      </c>
      <c r="EJ9" s="46" t="str">
        <f t="shared" si="10"/>
        <v/>
      </c>
      <c r="EK9" s="46" t="str">
        <f t="shared" si="10"/>
        <v/>
      </c>
      <c r="EL9" s="46" t="str">
        <f t="shared" si="10"/>
        <v/>
      </c>
      <c r="EM9" s="46" t="str">
        <f t="shared" si="10"/>
        <v/>
      </c>
      <c r="EN9" s="46">
        <f t="shared" si="10"/>
        <v>177.41935483870967</v>
      </c>
      <c r="EO9" s="46" t="str">
        <f t="shared" si="10"/>
        <v/>
      </c>
      <c r="EP9" s="46" t="str">
        <f t="shared" si="10"/>
        <v/>
      </c>
      <c r="EQ9" s="46" t="str">
        <f t="shared" si="10"/>
        <v/>
      </c>
      <c r="ER9" s="46" t="str">
        <f t="shared" si="10"/>
        <v/>
      </c>
      <c r="ES9" s="46" t="str">
        <f t="shared" si="10"/>
        <v/>
      </c>
      <c r="ET9" s="46" t="str">
        <f t="shared" si="10"/>
        <v/>
      </c>
      <c r="EU9" s="46" t="str">
        <f t="shared" si="10"/>
        <v/>
      </c>
      <c r="EV9" s="46" t="str">
        <f t="shared" si="10"/>
        <v/>
      </c>
      <c r="EW9" s="46" t="str">
        <f t="shared" si="10"/>
        <v/>
      </c>
      <c r="EX9" s="46" t="str">
        <f t="shared" si="10"/>
        <v/>
      </c>
      <c r="EY9" s="46" t="str">
        <f t="shared" si="10"/>
        <v/>
      </c>
    </row>
    <row r="10" spans="1:156" s="67" customFormat="1" ht="11.25" customHeight="1">
      <c r="A10" s="44"/>
      <c r="B10" s="44" t="s">
        <v>19</v>
      </c>
      <c r="C10" s="43"/>
      <c r="D10" s="45" t="str">
        <f t="shared" ref="D10:AI10" si="11">IF(D7="","",(D7/$C$19)*100)</f>
        <v/>
      </c>
      <c r="E10" s="46">
        <f t="shared" si="11"/>
        <v>17.1875</v>
      </c>
      <c r="F10" s="46" t="str">
        <f t="shared" si="11"/>
        <v/>
      </c>
      <c r="G10" s="46" t="str">
        <f t="shared" si="11"/>
        <v/>
      </c>
      <c r="H10" s="46" t="str">
        <f t="shared" si="11"/>
        <v/>
      </c>
      <c r="I10" s="46" t="str">
        <f t="shared" si="11"/>
        <v/>
      </c>
      <c r="J10" s="46" t="str">
        <f t="shared" si="11"/>
        <v/>
      </c>
      <c r="K10" s="46" t="str">
        <f t="shared" si="11"/>
        <v/>
      </c>
      <c r="L10" s="46" t="str">
        <f t="shared" si="11"/>
        <v/>
      </c>
      <c r="M10" s="46" t="str">
        <f t="shared" si="11"/>
        <v/>
      </c>
      <c r="N10" s="46" t="str">
        <f t="shared" si="11"/>
        <v/>
      </c>
      <c r="O10" s="46" t="str">
        <f t="shared" si="11"/>
        <v/>
      </c>
      <c r="P10" s="46" t="str">
        <f t="shared" si="11"/>
        <v/>
      </c>
      <c r="Q10" s="46">
        <f t="shared" si="11"/>
        <v>21.875</v>
      </c>
      <c r="R10" s="46" t="str">
        <f t="shared" si="11"/>
        <v/>
      </c>
      <c r="S10" s="46" t="str">
        <f t="shared" si="11"/>
        <v/>
      </c>
      <c r="T10" s="46" t="str">
        <f t="shared" si="11"/>
        <v/>
      </c>
      <c r="U10" s="46" t="str">
        <f t="shared" si="11"/>
        <v/>
      </c>
      <c r="V10" s="46" t="str">
        <f t="shared" si="11"/>
        <v/>
      </c>
      <c r="W10" s="46" t="str">
        <f t="shared" si="11"/>
        <v/>
      </c>
      <c r="X10" s="46" t="str">
        <f t="shared" si="11"/>
        <v/>
      </c>
      <c r="Y10" s="46" t="str">
        <f t="shared" si="11"/>
        <v/>
      </c>
      <c r="Z10" s="46" t="str">
        <f t="shared" si="11"/>
        <v/>
      </c>
      <c r="AA10" s="46" t="str">
        <f t="shared" si="11"/>
        <v/>
      </c>
      <c r="AB10" s="46" t="str">
        <f t="shared" si="11"/>
        <v/>
      </c>
      <c r="AC10" s="46" t="str">
        <f t="shared" si="11"/>
        <v/>
      </c>
      <c r="AD10" s="46" t="str">
        <f t="shared" si="11"/>
        <v/>
      </c>
      <c r="AE10" s="46" t="str">
        <f t="shared" si="11"/>
        <v/>
      </c>
      <c r="AF10" s="46" t="str">
        <f t="shared" si="11"/>
        <v/>
      </c>
      <c r="AG10" s="46" t="str">
        <f t="shared" si="11"/>
        <v/>
      </c>
      <c r="AH10" s="46" t="str">
        <f t="shared" si="11"/>
        <v/>
      </c>
      <c r="AI10" s="46" t="str">
        <f t="shared" si="11"/>
        <v/>
      </c>
      <c r="AJ10" s="46" t="str">
        <f t="shared" ref="AJ10:BO10" si="12">IF(AJ7="","",(AJ7/$C$19)*100)</f>
        <v/>
      </c>
      <c r="AK10" s="46" t="str">
        <f t="shared" si="12"/>
        <v/>
      </c>
      <c r="AL10" s="46" t="str">
        <f t="shared" si="12"/>
        <v/>
      </c>
      <c r="AM10" s="46" t="str">
        <f t="shared" si="12"/>
        <v/>
      </c>
      <c r="AN10" s="46" t="str">
        <f t="shared" si="12"/>
        <v/>
      </c>
      <c r="AO10" s="46" t="str">
        <f t="shared" si="12"/>
        <v/>
      </c>
      <c r="AP10" s="46" t="str">
        <f t="shared" si="12"/>
        <v/>
      </c>
      <c r="AQ10" s="46" t="str">
        <f t="shared" si="12"/>
        <v/>
      </c>
      <c r="AR10" s="46" t="str">
        <f t="shared" si="12"/>
        <v/>
      </c>
      <c r="AS10" s="46" t="str">
        <f t="shared" si="12"/>
        <v/>
      </c>
      <c r="AT10" s="46" t="str">
        <f t="shared" si="12"/>
        <v/>
      </c>
      <c r="AU10" s="46" t="str">
        <f t="shared" si="12"/>
        <v/>
      </c>
      <c r="AV10" s="46" t="str">
        <f t="shared" si="12"/>
        <v/>
      </c>
      <c r="AW10" s="46" t="str">
        <f t="shared" si="12"/>
        <v/>
      </c>
      <c r="AX10" s="46" t="str">
        <f t="shared" si="12"/>
        <v/>
      </c>
      <c r="AY10" s="46" t="str">
        <f t="shared" si="12"/>
        <v/>
      </c>
      <c r="AZ10" s="46" t="str">
        <f t="shared" si="12"/>
        <v/>
      </c>
      <c r="BA10" s="46" t="str">
        <f t="shared" si="12"/>
        <v/>
      </c>
      <c r="BB10" s="46" t="str">
        <f t="shared" si="12"/>
        <v/>
      </c>
      <c r="BC10" s="46" t="str">
        <f t="shared" si="12"/>
        <v/>
      </c>
      <c r="BD10" s="46" t="str">
        <f t="shared" si="12"/>
        <v/>
      </c>
      <c r="BE10" s="46" t="str">
        <f t="shared" si="12"/>
        <v/>
      </c>
      <c r="BF10" s="46" t="str">
        <f t="shared" si="12"/>
        <v/>
      </c>
      <c r="BG10" s="46" t="str">
        <f t="shared" si="12"/>
        <v/>
      </c>
      <c r="BH10" s="46" t="str">
        <f t="shared" si="12"/>
        <v/>
      </c>
      <c r="BI10" s="46" t="str">
        <f t="shared" si="12"/>
        <v/>
      </c>
      <c r="BJ10" s="46" t="str">
        <f t="shared" si="12"/>
        <v/>
      </c>
      <c r="BK10" s="46" t="str">
        <f t="shared" si="12"/>
        <v/>
      </c>
      <c r="BL10" s="46" t="str">
        <f t="shared" si="12"/>
        <v/>
      </c>
      <c r="BM10" s="46">
        <f t="shared" si="12"/>
        <v>4.6875</v>
      </c>
      <c r="BN10" s="46">
        <f t="shared" si="12"/>
        <v>3.125</v>
      </c>
      <c r="BO10" s="46" t="str">
        <f t="shared" si="12"/>
        <v/>
      </c>
      <c r="BP10" s="46" t="str">
        <f t="shared" ref="BP10:CU10" si="13">IF(BP7="","",(BP7/$C$19)*100)</f>
        <v/>
      </c>
      <c r="BQ10" s="46" t="str">
        <f t="shared" si="13"/>
        <v/>
      </c>
      <c r="BR10" s="46" t="str">
        <f t="shared" si="13"/>
        <v/>
      </c>
      <c r="BS10" s="46" t="str">
        <f t="shared" si="13"/>
        <v/>
      </c>
      <c r="BT10" s="46" t="str">
        <f t="shared" si="13"/>
        <v/>
      </c>
      <c r="BU10" s="46" t="str">
        <f t="shared" si="13"/>
        <v/>
      </c>
      <c r="BV10" s="46" t="str">
        <f t="shared" si="13"/>
        <v/>
      </c>
      <c r="BW10" s="46" t="str">
        <f t="shared" si="13"/>
        <v/>
      </c>
      <c r="BX10" s="46" t="str">
        <f t="shared" si="13"/>
        <v/>
      </c>
      <c r="BY10" s="46" t="str">
        <f t="shared" si="13"/>
        <v/>
      </c>
      <c r="BZ10" s="46" t="str">
        <f t="shared" si="13"/>
        <v/>
      </c>
      <c r="CA10" s="46">
        <f t="shared" si="13"/>
        <v>4.6875</v>
      </c>
      <c r="CB10" s="46" t="str">
        <f t="shared" si="13"/>
        <v/>
      </c>
      <c r="CC10" s="46" t="str">
        <f t="shared" si="13"/>
        <v/>
      </c>
      <c r="CD10" s="46" t="str">
        <f t="shared" si="13"/>
        <v/>
      </c>
      <c r="CE10" s="46" t="str">
        <f t="shared" si="13"/>
        <v/>
      </c>
      <c r="CF10" s="46" t="str">
        <f t="shared" si="13"/>
        <v/>
      </c>
      <c r="CG10" s="46" t="str">
        <f t="shared" si="13"/>
        <v/>
      </c>
      <c r="CH10" s="46" t="str">
        <f t="shared" si="13"/>
        <v/>
      </c>
      <c r="CI10" s="46">
        <f t="shared" si="13"/>
        <v>3.125</v>
      </c>
      <c r="CJ10" s="46" t="str">
        <f t="shared" si="13"/>
        <v/>
      </c>
      <c r="CK10" s="46" t="str">
        <f t="shared" si="13"/>
        <v/>
      </c>
      <c r="CL10" s="46" t="str">
        <f t="shared" si="13"/>
        <v/>
      </c>
      <c r="CM10" s="46" t="str">
        <f t="shared" si="13"/>
        <v/>
      </c>
      <c r="CN10" s="46" t="str">
        <f t="shared" si="13"/>
        <v/>
      </c>
      <c r="CO10" s="46" t="str">
        <f t="shared" si="13"/>
        <v/>
      </c>
      <c r="CP10" s="46" t="str">
        <f t="shared" si="13"/>
        <v/>
      </c>
      <c r="CQ10" s="46" t="str">
        <f t="shared" si="13"/>
        <v/>
      </c>
      <c r="CR10" s="46" t="str">
        <f t="shared" si="13"/>
        <v/>
      </c>
      <c r="CS10" s="46" t="str">
        <f t="shared" si="13"/>
        <v/>
      </c>
      <c r="CT10" s="46" t="str">
        <f t="shared" si="13"/>
        <v/>
      </c>
      <c r="CU10" s="46" t="str">
        <f t="shared" si="13"/>
        <v/>
      </c>
      <c r="CV10" s="46" t="str">
        <f t="shared" ref="CV10:EA10" si="14">IF(CV7="","",(CV7/$C$19)*100)</f>
        <v/>
      </c>
      <c r="CW10" s="46" t="str">
        <f t="shared" si="14"/>
        <v/>
      </c>
      <c r="CX10" s="46" t="str">
        <f t="shared" si="14"/>
        <v/>
      </c>
      <c r="CY10" s="46" t="str">
        <f t="shared" si="14"/>
        <v/>
      </c>
      <c r="CZ10" s="46" t="str">
        <f t="shared" si="14"/>
        <v/>
      </c>
      <c r="DA10" s="46" t="str">
        <f t="shared" si="14"/>
        <v/>
      </c>
      <c r="DB10" s="46" t="str">
        <f t="shared" si="14"/>
        <v/>
      </c>
      <c r="DC10" s="46" t="str">
        <f t="shared" si="14"/>
        <v/>
      </c>
      <c r="DD10" s="46" t="str">
        <f t="shared" si="14"/>
        <v/>
      </c>
      <c r="DE10" s="46" t="str">
        <f t="shared" si="14"/>
        <v/>
      </c>
      <c r="DF10" s="46" t="str">
        <f t="shared" si="14"/>
        <v/>
      </c>
      <c r="DG10" s="46" t="str">
        <f t="shared" si="14"/>
        <v/>
      </c>
      <c r="DH10" s="46" t="str">
        <f t="shared" si="14"/>
        <v/>
      </c>
      <c r="DI10" s="46" t="str">
        <f t="shared" si="14"/>
        <v/>
      </c>
      <c r="DJ10" s="46" t="str">
        <f t="shared" si="14"/>
        <v/>
      </c>
      <c r="DK10" s="46" t="str">
        <f t="shared" si="14"/>
        <v/>
      </c>
      <c r="DL10" s="46" t="str">
        <f t="shared" si="14"/>
        <v/>
      </c>
      <c r="DM10" s="46" t="str">
        <f t="shared" si="14"/>
        <v/>
      </c>
      <c r="DN10" s="46" t="str">
        <f t="shared" si="14"/>
        <v/>
      </c>
      <c r="DO10" s="46" t="str">
        <f t="shared" si="14"/>
        <v/>
      </c>
      <c r="DP10" s="46" t="str">
        <f t="shared" si="14"/>
        <v/>
      </c>
      <c r="DQ10" s="46" t="str">
        <f t="shared" si="14"/>
        <v/>
      </c>
      <c r="DR10" s="46">
        <f t="shared" si="14"/>
        <v>4.6875</v>
      </c>
      <c r="DS10" s="46" t="str">
        <f t="shared" si="14"/>
        <v/>
      </c>
      <c r="DT10" s="46" t="str">
        <f t="shared" si="14"/>
        <v/>
      </c>
      <c r="DU10" s="46" t="str">
        <f t="shared" si="14"/>
        <v/>
      </c>
      <c r="DV10" s="46" t="str">
        <f t="shared" si="14"/>
        <v/>
      </c>
      <c r="DW10" s="46" t="str">
        <f t="shared" si="14"/>
        <v/>
      </c>
      <c r="DX10" s="46" t="str">
        <f t="shared" si="14"/>
        <v/>
      </c>
      <c r="DY10" s="46" t="str">
        <f t="shared" si="14"/>
        <v/>
      </c>
      <c r="DZ10" s="46" t="str">
        <f t="shared" si="14"/>
        <v/>
      </c>
      <c r="EA10" s="46" t="str">
        <f t="shared" si="14"/>
        <v/>
      </c>
      <c r="EB10" s="46" t="str">
        <f t="shared" ref="EB10:EY10" si="15">IF(EB7="","",(EB7/$C$19)*100)</f>
        <v/>
      </c>
      <c r="EC10" s="46" t="str">
        <f t="shared" si="15"/>
        <v/>
      </c>
      <c r="ED10" s="46" t="str">
        <f t="shared" si="15"/>
        <v/>
      </c>
      <c r="EE10" s="46" t="str">
        <f t="shared" si="15"/>
        <v/>
      </c>
      <c r="EF10" s="46" t="str">
        <f t="shared" si="15"/>
        <v/>
      </c>
      <c r="EG10" s="46" t="str">
        <f t="shared" si="15"/>
        <v/>
      </c>
      <c r="EH10" s="46" t="str">
        <f t="shared" si="15"/>
        <v/>
      </c>
      <c r="EI10" s="46" t="str">
        <f t="shared" si="15"/>
        <v/>
      </c>
      <c r="EJ10" s="46" t="str">
        <f t="shared" si="15"/>
        <v/>
      </c>
      <c r="EK10" s="46" t="str">
        <f t="shared" si="15"/>
        <v/>
      </c>
      <c r="EL10" s="46" t="str">
        <f t="shared" si="15"/>
        <v/>
      </c>
      <c r="EM10" s="46" t="str">
        <f t="shared" si="15"/>
        <v/>
      </c>
      <c r="EN10" s="46">
        <f t="shared" si="15"/>
        <v>85.9375</v>
      </c>
      <c r="EO10" s="46" t="str">
        <f t="shared" si="15"/>
        <v/>
      </c>
      <c r="EP10" s="46" t="str">
        <f t="shared" si="15"/>
        <v/>
      </c>
      <c r="EQ10" s="46" t="str">
        <f t="shared" si="15"/>
        <v/>
      </c>
      <c r="ER10" s="46" t="str">
        <f t="shared" si="15"/>
        <v/>
      </c>
      <c r="ES10" s="46" t="str">
        <f t="shared" si="15"/>
        <v/>
      </c>
      <c r="ET10" s="46" t="str">
        <f t="shared" si="15"/>
        <v/>
      </c>
      <c r="EU10" s="46" t="str">
        <f t="shared" si="15"/>
        <v/>
      </c>
      <c r="EV10" s="46" t="str">
        <f t="shared" si="15"/>
        <v/>
      </c>
      <c r="EW10" s="46" t="str">
        <f t="shared" si="15"/>
        <v/>
      </c>
      <c r="EX10" s="46" t="str">
        <f t="shared" si="15"/>
        <v/>
      </c>
      <c r="EY10" s="46" t="str">
        <f t="shared" si="15"/>
        <v/>
      </c>
    </row>
    <row r="11" spans="1:156" s="66" customFormat="1">
      <c r="A11" s="59"/>
      <c r="B11" s="44" t="s">
        <v>36</v>
      </c>
      <c r="C11" s="52">
        <f>IF(C17="","",AVERAGE('ENTRY '!Q2:Q67))</f>
        <v>1.2258064516129032</v>
      </c>
      <c r="D11" s="13" t="str">
        <f>IF(D7="","",AVERAGE('ENTRY '!R2:R67))</f>
        <v/>
      </c>
      <c r="E11" s="13">
        <f>IF(E7="","",AVERAGE('ENTRY '!S2:S67))</f>
        <v>1</v>
      </c>
      <c r="F11" s="13" t="str">
        <f>IF(F7="","",AVERAGE('ENTRY '!T2:T67))</f>
        <v/>
      </c>
      <c r="G11" s="13" t="str">
        <f>IF(G7="","",AVERAGE('ENTRY '!U2:U67))</f>
        <v/>
      </c>
      <c r="H11" s="13" t="str">
        <f>IF(H7="","",AVERAGE('ENTRY '!V2:V67))</f>
        <v/>
      </c>
      <c r="I11" s="13" t="str">
        <f>IF(I7="","",AVERAGE('ENTRY '!W2:W67))</f>
        <v/>
      </c>
      <c r="J11" s="13" t="str">
        <f>IF(J7="","",AVERAGE('ENTRY '!X2:X67))</f>
        <v/>
      </c>
      <c r="K11" s="13" t="str">
        <f>IF(K7="","",AVERAGE('ENTRY '!Y2:Y67))</f>
        <v/>
      </c>
      <c r="L11" s="13" t="str">
        <f>IF(L7="","",AVERAGE('ENTRY '!Z2:Z67))</f>
        <v/>
      </c>
      <c r="M11" s="13" t="str">
        <f>IF(M7="","",AVERAGE('ENTRY '!AA2:AA67))</f>
        <v/>
      </c>
      <c r="N11" s="13" t="str">
        <f>IF(N7="","",AVERAGE('ENTRY '!AB2:AB67))</f>
        <v/>
      </c>
      <c r="O11" s="13" t="str">
        <f>IF(O7="","",AVERAGE('ENTRY '!AC2:AC67))</f>
        <v/>
      </c>
      <c r="P11" s="13" t="str">
        <f>IF(P7="","",AVERAGE('ENTRY '!AD2:AD67))</f>
        <v/>
      </c>
      <c r="Q11" s="13">
        <f>IF(Q7="","",AVERAGE('ENTRY '!AE2:AE67))</f>
        <v>1.0714285714285714</v>
      </c>
      <c r="R11" s="13" t="str">
        <f>IF(R7="","",AVERAGE('ENTRY '!AF2:AF67))</f>
        <v/>
      </c>
      <c r="S11" s="13" t="str">
        <f>IF(S7="","",AVERAGE('ENTRY '!AG2:AG67))</f>
        <v/>
      </c>
      <c r="T11" s="13" t="str">
        <f>IF(T7="","",AVERAGE('ENTRY '!AH2:AH67))</f>
        <v/>
      </c>
      <c r="U11" s="13" t="str">
        <f>IF(U7="","",AVERAGE('ENTRY '!AI2:AI67))</f>
        <v/>
      </c>
      <c r="V11" s="13" t="str">
        <f>IF(V7="","",AVERAGE('ENTRY '!AJ2:AJ67))</f>
        <v/>
      </c>
      <c r="W11" s="13" t="str">
        <f>IF(W7="","",AVERAGE('ENTRY '!AK2:AK67))</f>
        <v/>
      </c>
      <c r="X11" s="13" t="str">
        <f>IF(X7="","",AVERAGE('ENTRY '!AL2:AL67))</f>
        <v/>
      </c>
      <c r="Y11" s="13" t="str">
        <f>IF(Y7="","",AVERAGE('ENTRY '!AM2:AM67))</f>
        <v/>
      </c>
      <c r="Z11" s="13" t="str">
        <f>IF(Z7="","",AVERAGE('ENTRY '!AN2:AN67))</f>
        <v/>
      </c>
      <c r="AA11" s="13" t="str">
        <f>IF(AA7="","",AVERAGE('ENTRY '!AO2:AO67))</f>
        <v/>
      </c>
      <c r="AB11" s="13" t="str">
        <f>IF(AB7="","",AVERAGE('ENTRY '!AP2:AP67))</f>
        <v/>
      </c>
      <c r="AC11" s="13" t="str">
        <f>IF(AC7="","",AVERAGE('ENTRY '!AQ2:AQ67))</f>
        <v/>
      </c>
      <c r="AD11" s="13" t="str">
        <f>IF(AD7="","",AVERAGE('ENTRY '!AR2:AR67))</f>
        <v/>
      </c>
      <c r="AE11" s="13" t="str">
        <f>IF(AE7="","",AVERAGE('ENTRY '!AS2:AS67))</f>
        <v/>
      </c>
      <c r="AF11" s="13" t="str">
        <f>IF(AF7="","",AVERAGE('ENTRY '!AT2:AT67))</f>
        <v/>
      </c>
      <c r="AG11" s="13" t="str">
        <f>IF(AG7="","",AVERAGE('ENTRY '!AU2:AU67))</f>
        <v/>
      </c>
      <c r="AH11" s="13" t="str">
        <f>IF(AH7="","",AVERAGE('ENTRY '!AV2:AV67))</f>
        <v/>
      </c>
      <c r="AI11" s="13" t="str">
        <f>IF(AI7="","",AVERAGE('ENTRY '!AW2:AW67))</f>
        <v/>
      </c>
      <c r="AJ11" s="13" t="str">
        <f>IF(AJ7="","",AVERAGE('ENTRY '!AX2:AX67))</f>
        <v/>
      </c>
      <c r="AK11" s="13" t="str">
        <f>IF(AK7="","",AVERAGE('ENTRY '!AY2:AY67))</f>
        <v/>
      </c>
      <c r="AL11" s="13" t="str">
        <f>IF(AL7="","",AVERAGE('ENTRY '!AZ2:AZ67))</f>
        <v/>
      </c>
      <c r="AM11" s="13" t="str">
        <f>IF(AM7="","",AVERAGE('ENTRY '!BA2:BA67))</f>
        <v/>
      </c>
      <c r="AN11" s="13" t="str">
        <f>IF(AN7="","",AVERAGE('ENTRY '!BB2:BB67))</f>
        <v/>
      </c>
      <c r="AO11" s="13" t="str">
        <f>IF(AO7="","",AVERAGE('ENTRY '!BC2:BC67))</f>
        <v/>
      </c>
      <c r="AP11" s="13" t="str">
        <f>IF(AP7="","",AVERAGE('ENTRY '!BD2:BD67))</f>
        <v/>
      </c>
      <c r="AQ11" s="13" t="str">
        <f>IF(AQ7="","",AVERAGE('ENTRY '!BE2:BE67))</f>
        <v/>
      </c>
      <c r="AR11" s="13" t="str">
        <f>IF(AR7="","",AVERAGE('ENTRY '!BF2:BF67))</f>
        <v/>
      </c>
      <c r="AS11" s="13" t="str">
        <f>IF(AS7="","",AVERAGE('ENTRY '!BG2:BG67))</f>
        <v/>
      </c>
      <c r="AT11" s="13" t="str">
        <f>IF(AT7="","",AVERAGE('ENTRY '!BH2:BH67))</f>
        <v/>
      </c>
      <c r="AU11" s="13" t="str">
        <f>IF(AU7="","",AVERAGE('ENTRY '!BI2:BI67))</f>
        <v/>
      </c>
      <c r="AV11" s="13" t="str">
        <f>IF(AV7="","",AVERAGE('ENTRY '!BJ2:BJ67))</f>
        <v/>
      </c>
      <c r="AW11" s="13" t="str">
        <f>IF(AW7="","",AVERAGE('ENTRY '!BK2:BK67))</f>
        <v/>
      </c>
      <c r="AX11" s="13" t="str">
        <f>IF(AX7="","",AVERAGE('ENTRY '!BL2:BL67))</f>
        <v/>
      </c>
      <c r="AY11" s="13" t="str">
        <f>IF(AY7="","",AVERAGE('ENTRY '!BM2:BM67))</f>
        <v/>
      </c>
      <c r="AZ11" s="13" t="str">
        <f>IF(AZ7="","",AVERAGE('ENTRY '!BN2:BN67))</f>
        <v/>
      </c>
      <c r="BA11" s="13" t="str">
        <f>IF(BA7="","",AVERAGE('ENTRY '!BO2:BO67))</f>
        <v/>
      </c>
      <c r="BB11" s="13" t="str">
        <f>IF(BB7="","",AVERAGE('ENTRY '!BP2:BP67))</f>
        <v/>
      </c>
      <c r="BC11" s="13" t="str">
        <f>IF(BC7="","",AVERAGE('ENTRY '!BQ2:BQ67))</f>
        <v/>
      </c>
      <c r="BD11" s="13" t="str">
        <f>IF(BD7="","",AVERAGE('ENTRY '!BR2:BR67))</f>
        <v/>
      </c>
      <c r="BE11" s="13" t="str">
        <f>IF(BE7="","",AVERAGE('ENTRY '!BS2:BS67))</f>
        <v/>
      </c>
      <c r="BF11" s="13" t="str">
        <f>IF(BF7="","",AVERAGE('ENTRY '!BT2:BT67))</f>
        <v/>
      </c>
      <c r="BG11" s="13" t="str">
        <f>IF(BG7="","",AVERAGE('ENTRY '!BU2:BU67))</f>
        <v/>
      </c>
      <c r="BH11" s="13" t="str">
        <f>IF(BH7="","",AVERAGE('ENTRY '!BV2:BV67))</f>
        <v/>
      </c>
      <c r="BI11" s="13" t="str">
        <f>IF(BI7="","",AVERAGE('ENTRY '!BW2:BW67))</f>
        <v/>
      </c>
      <c r="BJ11" s="13" t="str">
        <f>IF(BJ7="","",AVERAGE('ENTRY '!BX2:BX67))</f>
        <v/>
      </c>
      <c r="BK11" s="13" t="str">
        <f>IF(BK7="","",AVERAGE('ENTRY '!BY2:BY67))</f>
        <v/>
      </c>
      <c r="BL11" s="13" t="str">
        <f>IF(BL7="","",AVERAGE('ENTRY '!BZ2:BZ67))</f>
        <v/>
      </c>
      <c r="BM11" s="13">
        <f>IF(BM7="","",AVERAGE('ENTRY '!CA2:CA67))</f>
        <v>2.3333333333333335</v>
      </c>
      <c r="BN11" s="13">
        <f>IF(BN7="","",AVERAGE('ENTRY '!CB2:CB67))</f>
        <v>1.5</v>
      </c>
      <c r="BO11" s="13" t="str">
        <f>IF(BO7="","",AVERAGE('ENTRY '!CC2:CC67))</f>
        <v/>
      </c>
      <c r="BP11" s="13" t="str">
        <f>IF(BP7="","",AVERAGE('ENTRY '!CD2:CD67))</f>
        <v/>
      </c>
      <c r="BQ11" s="13" t="str">
        <f>IF(BQ7="","",AVERAGE('ENTRY '!CE2:CE67))</f>
        <v/>
      </c>
      <c r="BR11" s="13" t="str">
        <f>IF(BR7="","",AVERAGE('ENTRY '!CF2:CF67))</f>
        <v/>
      </c>
      <c r="BS11" s="13" t="str">
        <f>IF(BS7="","",AVERAGE('ENTRY '!CG2:CG67))</f>
        <v/>
      </c>
      <c r="BT11" s="13" t="str">
        <f>IF(BT7="","",AVERAGE('ENTRY '!CH2:CH67))</f>
        <v/>
      </c>
      <c r="BU11" s="13" t="str">
        <f>IF(BU7="","",AVERAGE('ENTRY '!CI2:CI67))</f>
        <v/>
      </c>
      <c r="BV11" s="13" t="str">
        <f>IF(BV7="","",AVERAGE('ENTRY '!CJ2:CJ67))</f>
        <v/>
      </c>
      <c r="BW11" s="13" t="str">
        <f>IF(BW7="","",AVERAGE('ENTRY '!CK2:CK67))</f>
        <v/>
      </c>
      <c r="BX11" s="13" t="str">
        <f>IF(BX7="","",AVERAGE('ENTRY '!CL2:CL67))</f>
        <v/>
      </c>
      <c r="BY11" s="13" t="str">
        <f>IF(BY7="","",AVERAGE('ENTRY '!CM2:CM67))</f>
        <v/>
      </c>
      <c r="BZ11" s="13" t="str">
        <f>IF(BZ7="","",AVERAGE('ENTRY '!CN2:CN67))</f>
        <v/>
      </c>
      <c r="CA11" s="13">
        <f>IF(CA7="","",AVERAGE('ENTRY '!CO2:CO67))</f>
        <v>1</v>
      </c>
      <c r="CB11" s="13" t="str">
        <f>IF(CB7="","",AVERAGE('ENTRY '!CP2:CP67))</f>
        <v/>
      </c>
      <c r="CC11" s="13" t="str">
        <f>IF(CC7="","",AVERAGE('ENTRY '!CQ2:CQ67))</f>
        <v/>
      </c>
      <c r="CD11" s="13" t="str">
        <f>IF(CD7="","",AVERAGE('ENTRY '!CR2:CR67))</f>
        <v/>
      </c>
      <c r="CE11" s="13" t="str">
        <f>IF(CE7="","",AVERAGE('ENTRY '!CS2:CS67))</f>
        <v/>
      </c>
      <c r="CF11" s="13" t="str">
        <f>IF(CF7="","",AVERAGE('ENTRY '!CT2:CT67))</f>
        <v/>
      </c>
      <c r="CG11" s="13" t="str">
        <f>IF(CG7="","",AVERAGE('ENTRY '!CU2:CU67))</f>
        <v/>
      </c>
      <c r="CH11" s="13" t="str">
        <f>IF(CH7="","",AVERAGE('ENTRY '!CV2:CV67))</f>
        <v/>
      </c>
      <c r="CI11" s="13">
        <f>IF(CI7="","",AVERAGE('ENTRY '!CW2:CW67))</f>
        <v>1</v>
      </c>
      <c r="CJ11" s="13" t="str">
        <f>IF(CJ7="","",AVERAGE('ENTRY '!CX2:CX67))</f>
        <v/>
      </c>
      <c r="CK11" s="13" t="str">
        <f>IF(CK7="","",AVERAGE('ENTRY '!CY2:CY67))</f>
        <v/>
      </c>
      <c r="CL11" s="13" t="str">
        <f>IF(CL7="","",AVERAGE('ENTRY '!CZ2:CZ67))</f>
        <v/>
      </c>
      <c r="CM11" s="13" t="str">
        <f>IF(CM7="","",AVERAGE('ENTRY '!DA2:DA67))</f>
        <v/>
      </c>
      <c r="CN11" s="13" t="str">
        <f>IF(CN7="","",AVERAGE('ENTRY '!DB2:DB67))</f>
        <v/>
      </c>
      <c r="CO11" s="13" t="str">
        <f>IF(CO7="","",AVERAGE('ENTRY '!DC2:DC67))</f>
        <v/>
      </c>
      <c r="CP11" s="13" t="str">
        <f>IF(CP7="","",AVERAGE('ENTRY '!DD2:DD67))</f>
        <v/>
      </c>
      <c r="CQ11" s="13" t="str">
        <f>IF(CQ7="","",AVERAGE('ENTRY '!DE2:DE67))</f>
        <v/>
      </c>
      <c r="CR11" s="13" t="str">
        <f>IF(CR7="","",AVERAGE('ENTRY '!DF2:DF67))</f>
        <v/>
      </c>
      <c r="CS11" s="13" t="str">
        <f>IF(CS7="","",AVERAGE('ENTRY '!DG2:DG67))</f>
        <v/>
      </c>
      <c r="CT11" s="13" t="str">
        <f>IF(CT7="","",AVERAGE('ENTRY '!DH2:DH67))</f>
        <v/>
      </c>
      <c r="CU11" s="13" t="str">
        <f>IF(CU7="","",AVERAGE('ENTRY '!DI2:DI67))</f>
        <v/>
      </c>
      <c r="CV11" s="13" t="str">
        <f>IF(CV7="","",AVERAGE('ENTRY '!DJ2:DJ67))</f>
        <v/>
      </c>
      <c r="CW11" s="13" t="str">
        <f>IF(CW7="","",AVERAGE('ENTRY '!DK2:DK67))</f>
        <v/>
      </c>
      <c r="CX11" s="13" t="str">
        <f>IF(CX7="","",AVERAGE('ENTRY '!DL2:DL67))</f>
        <v/>
      </c>
      <c r="CY11" s="13" t="str">
        <f>IF(CY7="","",AVERAGE('ENTRY '!DM2:DM67))</f>
        <v/>
      </c>
      <c r="CZ11" s="13" t="str">
        <f>IF(CZ7="","",AVERAGE('ENTRY '!DN2:DN67))</f>
        <v/>
      </c>
      <c r="DA11" s="13" t="str">
        <f>IF(DA7="","",AVERAGE('ENTRY '!DO2:DO67))</f>
        <v/>
      </c>
      <c r="DB11" s="13" t="str">
        <f>IF(DB7="","",AVERAGE('ENTRY '!DP2:DP67))</f>
        <v/>
      </c>
      <c r="DC11" s="13" t="str">
        <f>IF(DC7="","",AVERAGE('ENTRY '!DQ2:DQ67))</f>
        <v/>
      </c>
      <c r="DD11" s="13" t="str">
        <f>IF(DD7="","",AVERAGE('ENTRY '!DR2:DR67))</f>
        <v/>
      </c>
      <c r="DE11" s="13" t="str">
        <f>IF(DE7="","",AVERAGE('ENTRY '!DS2:DS67))</f>
        <v/>
      </c>
      <c r="DF11" s="13" t="str">
        <f>IF(DF7="","",AVERAGE('ENTRY '!DT2:DT67))</f>
        <v/>
      </c>
      <c r="DG11" s="13" t="str">
        <f>IF(DG7="","",AVERAGE('ENTRY '!DU2:DU67))</f>
        <v/>
      </c>
      <c r="DH11" s="13" t="str">
        <f>IF(DH7="","",AVERAGE('ENTRY '!DV2:DV67))</f>
        <v/>
      </c>
      <c r="DI11" s="13" t="str">
        <f>IF(DI7="","",AVERAGE('ENTRY '!DW2:DW67))</f>
        <v/>
      </c>
      <c r="DJ11" s="13" t="str">
        <f>IF(DJ7="","",AVERAGE('ENTRY '!DX2:DX67))</f>
        <v/>
      </c>
      <c r="DK11" s="13" t="str">
        <f>IF(DK7="","",AVERAGE('ENTRY '!DY2:DY67))</f>
        <v/>
      </c>
      <c r="DL11" s="13" t="str">
        <f>IF(DL7="","",AVERAGE('ENTRY '!DZ2:DZ67))</f>
        <v/>
      </c>
      <c r="DM11" s="13" t="str">
        <f>IF(DM7="","",AVERAGE('ENTRY '!EA2:EA67))</f>
        <v/>
      </c>
      <c r="DN11" s="13" t="str">
        <f>IF(DN7="","",AVERAGE('ENTRY '!EB2:EB67))</f>
        <v/>
      </c>
      <c r="DO11" s="13" t="str">
        <f>IF(DO7="","",AVERAGE('ENTRY '!EC2:EC67))</f>
        <v/>
      </c>
      <c r="DP11" s="13" t="str">
        <f>IF(DP7="","",AVERAGE('ENTRY '!ED2:ED67))</f>
        <v/>
      </c>
      <c r="DQ11" s="13" t="str">
        <f>IF(DQ7="","",AVERAGE('ENTRY '!EE2:EE67))</f>
        <v/>
      </c>
      <c r="DR11" s="13">
        <f>IF(DR7="","",AVERAGE('ENTRY '!EF2:EF67))</f>
        <v>1</v>
      </c>
      <c r="DS11" s="13" t="str">
        <f>IF(DS7="","",AVERAGE('ENTRY '!EG2:EG67))</f>
        <v/>
      </c>
      <c r="DT11" s="13" t="str">
        <f>IF(DT7="","",AVERAGE('ENTRY '!EH2:EH67))</f>
        <v/>
      </c>
      <c r="DU11" s="13" t="str">
        <f>IF(DU7="","",AVERAGE('ENTRY '!EI2:EI67))</f>
        <v/>
      </c>
      <c r="DV11" s="13" t="str">
        <f>IF(DV7="","",AVERAGE('ENTRY '!EJ2:EJ67))</f>
        <v/>
      </c>
      <c r="DW11" s="13" t="str">
        <f>IF(DW7="","",AVERAGE('ENTRY '!EK2:EK67))</f>
        <v/>
      </c>
      <c r="DX11" s="13" t="str">
        <f>IF(DX7="","",AVERAGE('ENTRY '!EL2:EL67))</f>
        <v/>
      </c>
      <c r="DY11" s="13" t="str">
        <f>IF(DY7="","",AVERAGE('ENTRY '!EM2:EM67))</f>
        <v/>
      </c>
      <c r="DZ11" s="13" t="str">
        <f>IF(DZ7="","",AVERAGE('ENTRY '!EN2:EN67))</f>
        <v/>
      </c>
      <c r="EA11" s="13" t="str">
        <f>IF(EA7="","",AVERAGE('ENTRY '!EO2:EO67))</f>
        <v/>
      </c>
      <c r="EB11" s="13" t="str">
        <f>IF(EB7="","",AVERAGE('ENTRY '!EP2:EP67))</f>
        <v/>
      </c>
      <c r="EC11" s="13" t="str">
        <f>IF(EC7="","",AVERAGE('ENTRY '!EQ2:EQ67))</f>
        <v/>
      </c>
      <c r="ED11" s="13" t="str">
        <f>IF(ED7="","",AVERAGE('ENTRY '!ER2:ER67))</f>
        <v/>
      </c>
      <c r="EE11" s="13" t="str">
        <f>IF(EE7="","",AVERAGE('ENTRY '!ES2:ES67))</f>
        <v/>
      </c>
      <c r="EF11" s="13" t="str">
        <f>IF(EF7="","",AVERAGE('ENTRY '!ET2:ET67))</f>
        <v/>
      </c>
      <c r="EG11" s="13" t="str">
        <f>IF(EG7="","",AVERAGE('ENTRY '!EU2:EU67))</f>
        <v/>
      </c>
      <c r="EH11" s="13" t="str">
        <f>IF(EH7="","",AVERAGE('ENTRY '!EV2:EV67))</f>
        <v/>
      </c>
      <c r="EI11" s="13" t="str">
        <f>IF(EI7="","",AVERAGE('ENTRY '!EW2:EW67))</f>
        <v/>
      </c>
      <c r="EJ11" s="13" t="str">
        <f>IF(EJ7="","",AVERAGE('ENTRY '!EX2:EX67))</f>
        <v/>
      </c>
      <c r="EK11" s="13" t="str">
        <f>IF(EK7="","",AVERAGE('ENTRY '!EY2:EY67))</f>
        <v/>
      </c>
      <c r="EL11" s="13" t="str">
        <f>IF(EL7="","",AVERAGE('ENTRY '!EZ2:EZ67))</f>
        <v/>
      </c>
      <c r="EM11" s="13" t="str">
        <f>IF(EM7="","",AVERAGE('ENTRY '!FA2:FA67))</f>
        <v/>
      </c>
      <c r="EN11" s="13">
        <f>IF(EN7="","",AVERAGE('ENTRY '!FB2:FB67))</f>
        <v>1.4363636363636363</v>
      </c>
      <c r="EO11" s="13" t="str">
        <f>IF(EO7="","",AVERAGE('ENTRY '!FC2:FC67))</f>
        <v/>
      </c>
      <c r="EP11" s="13" t="str">
        <f>IF(EP7="","",AVERAGE('ENTRY '!FD2:FD67))</f>
        <v/>
      </c>
      <c r="EQ11" s="13" t="str">
        <f>IF(EQ7="","",AVERAGE('ENTRY '!FE2:FE67))</f>
        <v/>
      </c>
      <c r="ER11" s="13" t="str">
        <f>IF(ER7="","",AVERAGE('ENTRY '!FF2:FF67))</f>
        <v/>
      </c>
      <c r="ES11" s="13" t="str">
        <f>IF(ES7="","",AVERAGE('ENTRY '!FG2:FG67))</f>
        <v/>
      </c>
      <c r="ET11" s="13" t="str">
        <f>IF(ET7="","",AVERAGE('ENTRY '!FH2:FH67))</f>
        <v/>
      </c>
      <c r="EU11" s="13" t="str">
        <f>IF(EU7="","",AVERAGE('ENTRY '!FI2:FI67))</f>
        <v/>
      </c>
      <c r="EV11" s="13" t="str">
        <f>IF(EV7="","",AVERAGE('ENTRY '!FJ2:FJ67))</f>
        <v/>
      </c>
      <c r="EW11" s="13" t="str">
        <f>IF(EW7="","",AVERAGE('ENTRY '!FK2:FK67))</f>
        <v/>
      </c>
      <c r="EX11" s="13" t="str">
        <f>IF(EX7="","",AVERAGE('ENTRY '!FL2:FL67))</f>
        <v/>
      </c>
      <c r="EY11" s="13" t="str">
        <f>IF(EY7="","",AVERAGE('ENTRY '!FM2:FM67))</f>
        <v/>
      </c>
    </row>
    <row r="12" spans="1:156" s="64" customFormat="1">
      <c r="A12" s="25"/>
      <c r="B12" s="15" t="s">
        <v>34</v>
      </c>
      <c r="C12" s="53"/>
      <c r="D12" s="36" t="str">
        <f>IF(COUNTIF('ENTRY '!R2:R67,"v")=0,"",(COUNTIF('ENTRY '!R2:R67,"v")))</f>
        <v/>
      </c>
      <c r="E12" s="36" t="str">
        <f>IF(COUNTIF('ENTRY '!S2:S67,"v")=0,"",(COUNTIF('ENTRY '!S2:S67,"v")))</f>
        <v/>
      </c>
      <c r="F12" s="36" t="str">
        <f>IF(COUNTIF('ENTRY '!T2:T67,"v")=0,"",(COUNTIF('ENTRY '!T2:T67,"v")))</f>
        <v/>
      </c>
      <c r="G12" s="36" t="str">
        <f>IF(COUNTIF('ENTRY '!U2:U67,"v")=0,"",(COUNTIF('ENTRY '!U2:U67,"v")))</f>
        <v/>
      </c>
      <c r="H12" s="36" t="str">
        <f>IF(COUNTIF('ENTRY '!V2:V67,"v")=0,"",(COUNTIF('ENTRY '!V2:V67,"v")))</f>
        <v/>
      </c>
      <c r="I12" s="36" t="str">
        <f>IF(COUNTIF('ENTRY '!W2:W67,"v")=0,"",(COUNTIF('ENTRY '!W2:W67,"v")))</f>
        <v/>
      </c>
      <c r="J12" s="36" t="str">
        <f>IF(COUNTIF('ENTRY '!X2:X67,"v")=0,"",(COUNTIF('ENTRY '!X2:X67,"v")))</f>
        <v/>
      </c>
      <c r="K12" s="36" t="str">
        <f>IF(COUNTIF('ENTRY '!Y2:Y67,"v")=0,"",(COUNTIF('ENTRY '!Y2:Y67,"v")))</f>
        <v/>
      </c>
      <c r="L12" s="36" t="str">
        <f>IF(COUNTIF('ENTRY '!Z2:Z67,"v")=0,"",(COUNTIF('ENTRY '!Z2:Z67,"v")))</f>
        <v/>
      </c>
      <c r="M12" s="36" t="str">
        <f>IF(COUNTIF('ENTRY '!AA2:AA67,"v")=0,"",(COUNTIF('ENTRY '!AA2:AA67,"v")))</f>
        <v/>
      </c>
      <c r="N12" s="36" t="str">
        <f>IF(COUNTIF('ENTRY '!AB2:AB67,"v")=0,"",(COUNTIF('ENTRY '!AB2:AB67,"v")))</f>
        <v/>
      </c>
      <c r="O12" s="36" t="str">
        <f>IF(COUNTIF('ENTRY '!AC2:AC67,"v")=0,"",(COUNTIF('ENTRY '!AC2:AC67,"v")))</f>
        <v/>
      </c>
      <c r="P12" s="36" t="str">
        <f>IF(COUNTIF('ENTRY '!AD2:AD67,"v")=0,"",(COUNTIF('ENTRY '!AD2:AD67,"v")))</f>
        <v/>
      </c>
      <c r="Q12" s="36" t="str">
        <f>IF(COUNTIF('ENTRY '!AE2:AE67,"v")=0,"",(COUNTIF('ENTRY '!AE2:AE67,"v")))</f>
        <v/>
      </c>
      <c r="R12" s="36" t="str">
        <f>IF(COUNTIF('ENTRY '!AF2:AF67,"v")=0,"",(COUNTIF('ENTRY '!AF2:AF67,"v")))</f>
        <v/>
      </c>
      <c r="S12" s="36" t="str">
        <f>IF(COUNTIF('ENTRY '!AG2:AG67,"v")=0,"",(COUNTIF('ENTRY '!AG2:AG67,"v")))</f>
        <v/>
      </c>
      <c r="T12" s="36" t="str">
        <f>IF(COUNTIF('ENTRY '!AH2:AH67,"v")=0,"",(COUNTIF('ENTRY '!AH2:AH67,"v")))</f>
        <v/>
      </c>
      <c r="U12" s="36" t="str">
        <f>IF(COUNTIF('ENTRY '!AI2:AI67,"v")=0,"",(COUNTIF('ENTRY '!AI2:AI67,"v")))</f>
        <v/>
      </c>
      <c r="V12" s="36" t="str">
        <f>IF(COUNTIF('ENTRY '!AJ2:AJ67,"v")=0,"",(COUNTIF('ENTRY '!AJ2:AJ67,"v")))</f>
        <v/>
      </c>
      <c r="W12" s="36" t="str">
        <f>IF(COUNTIF('ENTRY '!AK2:AK67,"v")=0,"",(COUNTIF('ENTRY '!AK2:AK67,"v")))</f>
        <v/>
      </c>
      <c r="X12" s="36" t="str">
        <f>IF(COUNTIF('ENTRY '!AL2:AL67,"v")=0,"",(COUNTIF('ENTRY '!AL2:AL67,"v")))</f>
        <v/>
      </c>
      <c r="Y12" s="36" t="str">
        <f>IF(COUNTIF('ENTRY '!AM2:AM67,"v")=0,"",(COUNTIF('ENTRY '!AM2:AM67,"v")))</f>
        <v/>
      </c>
      <c r="Z12" s="36" t="str">
        <f>IF(COUNTIF('ENTRY '!AN2:AN67,"v")=0,"",(COUNTIF('ENTRY '!AN2:AN67,"v")))</f>
        <v/>
      </c>
      <c r="AA12" s="36" t="str">
        <f>IF(COUNTIF('ENTRY '!AO2:AO67,"v")=0,"",(COUNTIF('ENTRY '!AO2:AO67,"v")))</f>
        <v/>
      </c>
      <c r="AB12" s="36" t="str">
        <f>IF(COUNTIF('ENTRY '!AP2:AP67,"v")=0,"",(COUNTIF('ENTRY '!AP2:AP67,"v")))</f>
        <v/>
      </c>
      <c r="AC12" s="36" t="str">
        <f>IF(COUNTIF('ENTRY '!AQ2:AQ67,"v")=0,"",(COUNTIF('ENTRY '!AQ2:AQ67,"v")))</f>
        <v/>
      </c>
      <c r="AD12" s="36" t="str">
        <f>IF(COUNTIF('ENTRY '!AR2:AR67,"v")=0,"",(COUNTIF('ENTRY '!AR2:AR67,"v")))</f>
        <v/>
      </c>
      <c r="AE12" s="36" t="str">
        <f>IF(COUNTIF('ENTRY '!AS2:AS67,"v")=0,"",(COUNTIF('ENTRY '!AS2:AS67,"v")))</f>
        <v/>
      </c>
      <c r="AF12" s="36" t="str">
        <f>IF(COUNTIF('ENTRY '!AT2:AT67,"v")=0,"",(COUNTIF('ENTRY '!AT2:AT67,"v")))</f>
        <v/>
      </c>
      <c r="AG12" s="36" t="str">
        <f>IF(COUNTIF('ENTRY '!AU2:AU67,"v")=0,"",(COUNTIF('ENTRY '!AU2:AU67,"v")))</f>
        <v/>
      </c>
      <c r="AH12" s="36" t="str">
        <f>IF(COUNTIF('ENTRY '!AV2:AV67,"v")=0,"",(COUNTIF('ENTRY '!AV2:AV67,"v")))</f>
        <v/>
      </c>
      <c r="AI12" s="36" t="str">
        <f>IF(COUNTIF('ENTRY '!AW2:AW67,"v")=0,"",(COUNTIF('ENTRY '!AW2:AW67,"v")))</f>
        <v/>
      </c>
      <c r="AJ12" s="36" t="str">
        <f>IF(COUNTIF('ENTRY '!AX2:AX67,"v")=0,"",(COUNTIF('ENTRY '!AX2:AX67,"v")))</f>
        <v/>
      </c>
      <c r="AK12" s="36" t="str">
        <f>IF(COUNTIF('ENTRY '!AY2:AY67,"v")=0,"",(COUNTIF('ENTRY '!AY2:AY67,"v")))</f>
        <v/>
      </c>
      <c r="AL12" s="36" t="str">
        <f>IF(COUNTIF('ENTRY '!AZ2:AZ67,"v")=0,"",(COUNTIF('ENTRY '!AZ2:AZ67,"v")))</f>
        <v/>
      </c>
      <c r="AM12" s="36" t="str">
        <f>IF(COUNTIF('ENTRY '!BA2:BA67,"v")=0,"",(COUNTIF('ENTRY '!BA2:BA67,"v")))</f>
        <v/>
      </c>
      <c r="AN12" s="36" t="str">
        <f>IF(COUNTIF('ENTRY '!BB2:BB67,"v")=0,"",(COUNTIF('ENTRY '!BB2:BB67,"v")))</f>
        <v/>
      </c>
      <c r="AO12" s="36" t="str">
        <f>IF(COUNTIF('ENTRY '!BC2:BC67,"v")=0,"",(COUNTIF('ENTRY '!BC2:BC67,"v")))</f>
        <v/>
      </c>
      <c r="AP12" s="36" t="str">
        <f>IF(COUNTIF('ENTRY '!BD2:BD67,"v")=0,"",(COUNTIF('ENTRY '!BD2:BD67,"v")))</f>
        <v/>
      </c>
      <c r="AQ12" s="36" t="str">
        <f>IF(COUNTIF('ENTRY '!BE2:BE67,"v")=0,"",(COUNTIF('ENTRY '!BE2:BE67,"v")))</f>
        <v/>
      </c>
      <c r="AR12" s="36" t="str">
        <f>IF(COUNTIF('ENTRY '!BF2:BF67,"v")=0,"",(COUNTIF('ENTRY '!BF2:BF67,"v")))</f>
        <v/>
      </c>
      <c r="AS12" s="36" t="str">
        <f>IF(COUNTIF('ENTRY '!BG2:BG67,"v")=0,"",(COUNTIF('ENTRY '!BG2:BG67,"v")))</f>
        <v/>
      </c>
      <c r="AT12" s="36" t="str">
        <f>IF(COUNTIF('ENTRY '!BH2:BH67,"v")=0,"",(COUNTIF('ENTRY '!BH2:BH67,"v")))</f>
        <v/>
      </c>
      <c r="AU12" s="36" t="str">
        <f>IF(COUNTIF('ENTRY '!BI2:BI67,"v")=0,"",(COUNTIF('ENTRY '!BI2:BI67,"v")))</f>
        <v/>
      </c>
      <c r="AV12" s="36" t="str">
        <f>IF(COUNTIF('ENTRY '!BJ2:BJ67,"v")=0,"",(COUNTIF('ENTRY '!BJ2:BJ67,"v")))</f>
        <v/>
      </c>
      <c r="AW12" s="36" t="str">
        <f>IF(COUNTIF('ENTRY '!BK2:BK67,"v")=0,"",(COUNTIF('ENTRY '!BK2:BK67,"v")))</f>
        <v/>
      </c>
      <c r="AX12" s="36" t="str">
        <f>IF(COUNTIF('ENTRY '!BL2:BL67,"v")=0,"",(COUNTIF('ENTRY '!BL2:BL67,"v")))</f>
        <v/>
      </c>
      <c r="AY12" s="36" t="str">
        <f>IF(COUNTIF('ENTRY '!BM2:BM67,"v")=0,"",(COUNTIF('ENTRY '!BM2:BM67,"v")))</f>
        <v/>
      </c>
      <c r="AZ12" s="36" t="str">
        <f>IF(COUNTIF('ENTRY '!BN2:BN67,"v")=0,"",(COUNTIF('ENTRY '!BN2:BN67,"v")))</f>
        <v/>
      </c>
      <c r="BA12" s="36" t="str">
        <f>IF(COUNTIF('ENTRY '!BO2:BO67,"v")=0,"",(COUNTIF('ENTRY '!BO2:BO67,"v")))</f>
        <v/>
      </c>
      <c r="BB12" s="36" t="str">
        <f>IF(COUNTIF('ENTRY '!BP2:BP67,"v")=0,"",(COUNTIF('ENTRY '!BP2:BP67,"v")))</f>
        <v/>
      </c>
      <c r="BC12" s="36" t="str">
        <f>IF(COUNTIF('ENTRY '!BQ2:BQ67,"v")=0,"",(COUNTIF('ENTRY '!BQ2:BQ67,"v")))</f>
        <v/>
      </c>
      <c r="BD12" s="36" t="str">
        <f>IF(COUNTIF('ENTRY '!BR2:BR67,"v")=0,"",(COUNTIF('ENTRY '!BR2:BR67,"v")))</f>
        <v/>
      </c>
      <c r="BE12" s="36" t="str">
        <f>IF(COUNTIF('ENTRY '!BS2:BS67,"v")=0,"",(COUNTIF('ENTRY '!BS2:BS67,"v")))</f>
        <v/>
      </c>
      <c r="BF12" s="36" t="str">
        <f>IF(COUNTIF('ENTRY '!BT2:BT67,"v")=0,"",(COUNTIF('ENTRY '!BT2:BT67,"v")))</f>
        <v/>
      </c>
      <c r="BG12" s="36" t="str">
        <f>IF(COUNTIF('ENTRY '!BU2:BU67,"v")=0,"",(COUNTIF('ENTRY '!BU2:BU67,"v")))</f>
        <v/>
      </c>
      <c r="BH12" s="36" t="str">
        <f>IF(COUNTIF('ENTRY '!BV2:BV67,"v")=0,"",(COUNTIF('ENTRY '!BV2:BV67,"v")))</f>
        <v/>
      </c>
      <c r="BI12" s="36" t="str">
        <f>IF(COUNTIF('ENTRY '!BW2:BW67,"v")=0,"",(COUNTIF('ENTRY '!BW2:BW67,"v")))</f>
        <v/>
      </c>
      <c r="BJ12" s="36" t="str">
        <f>IF(COUNTIF('ENTRY '!BX2:BX67,"v")=0,"",(COUNTIF('ENTRY '!BX2:BX67,"v")))</f>
        <v/>
      </c>
      <c r="BK12" s="36" t="str">
        <f>IF(COUNTIF('ENTRY '!BY2:BY67,"v")=0,"",(COUNTIF('ENTRY '!BY2:BY67,"v")))</f>
        <v/>
      </c>
      <c r="BL12" s="36" t="str">
        <f>IF(COUNTIF('ENTRY '!BZ2:BZ67,"v")=0,"",(COUNTIF('ENTRY '!BZ2:BZ67,"v")))</f>
        <v/>
      </c>
      <c r="BM12" s="36" t="str">
        <f>IF(COUNTIF('ENTRY '!CA2:CA67,"v")=0,"",(COUNTIF('ENTRY '!CA2:CA67,"v")))</f>
        <v/>
      </c>
      <c r="BN12" s="36" t="str">
        <f>IF(COUNTIF('ENTRY '!CB2:CB67,"v")=0,"",(COUNTIF('ENTRY '!CB2:CB67,"v")))</f>
        <v/>
      </c>
      <c r="BO12" s="36" t="str">
        <f>IF(COUNTIF('ENTRY '!CC2:CC67,"v")=0,"",(COUNTIF('ENTRY '!CC2:CC67,"v")))</f>
        <v/>
      </c>
      <c r="BP12" s="36" t="str">
        <f>IF(COUNTIF('ENTRY '!CD2:CD67,"v")=0,"",(COUNTIF('ENTRY '!CD2:CD67,"v")))</f>
        <v/>
      </c>
      <c r="BQ12" s="36" t="str">
        <f>IF(COUNTIF('ENTRY '!CE2:CE67,"v")=0,"",(COUNTIF('ENTRY '!CE2:CE67,"v")))</f>
        <v/>
      </c>
      <c r="BR12" s="36" t="str">
        <f>IF(COUNTIF('ENTRY '!CF2:CF67,"v")=0,"",(COUNTIF('ENTRY '!CF2:CF67,"v")))</f>
        <v/>
      </c>
      <c r="BS12" s="36" t="str">
        <f>IF(COUNTIF('ENTRY '!CG2:CG67,"v")=0,"",(COUNTIF('ENTRY '!CG2:CG67,"v")))</f>
        <v/>
      </c>
      <c r="BT12" s="36" t="str">
        <f>IF(COUNTIF('ENTRY '!CH2:CH67,"v")=0,"",(COUNTIF('ENTRY '!CH2:CH67,"v")))</f>
        <v/>
      </c>
      <c r="BU12" s="36" t="str">
        <f>IF(COUNTIF('ENTRY '!CI2:CI67,"v")=0,"",(COUNTIF('ENTRY '!CI2:CI67,"v")))</f>
        <v/>
      </c>
      <c r="BV12" s="36" t="str">
        <f>IF(COUNTIF('ENTRY '!CJ2:CJ67,"v")=0,"",(COUNTIF('ENTRY '!CJ2:CJ67,"v")))</f>
        <v/>
      </c>
      <c r="BW12" s="36" t="str">
        <f>IF(COUNTIF('ENTRY '!CK2:CK67,"v")=0,"",(COUNTIF('ENTRY '!CK2:CK67,"v")))</f>
        <v/>
      </c>
      <c r="BX12" s="36" t="str">
        <f>IF(COUNTIF('ENTRY '!CL2:CL67,"v")=0,"",(COUNTIF('ENTRY '!CL2:CL67,"v")))</f>
        <v/>
      </c>
      <c r="BY12" s="36" t="str">
        <f>IF(COUNTIF('ENTRY '!CM2:CM67,"v")=0,"",(COUNTIF('ENTRY '!CM2:CM67,"v")))</f>
        <v/>
      </c>
      <c r="BZ12" s="36" t="str">
        <f>IF(COUNTIF('ENTRY '!CN2:CN67,"v")=0,"",(COUNTIF('ENTRY '!CN2:CN67,"v")))</f>
        <v/>
      </c>
      <c r="CA12" s="36" t="str">
        <f>IF(COUNTIF('ENTRY '!CO2:CO67,"v")=0,"",(COUNTIF('ENTRY '!CO2:CO67,"v")))</f>
        <v/>
      </c>
      <c r="CB12" s="36" t="str">
        <f>IF(COUNTIF('ENTRY '!CP2:CP67,"v")=0,"",(COUNTIF('ENTRY '!CP2:CP67,"v")))</f>
        <v/>
      </c>
      <c r="CC12" s="36" t="str">
        <f>IF(COUNTIF('ENTRY '!CQ2:CQ67,"v")=0,"",(COUNTIF('ENTRY '!CQ2:CQ67,"v")))</f>
        <v/>
      </c>
      <c r="CD12" s="36" t="str">
        <f>IF(COUNTIF('ENTRY '!CR2:CR67,"v")=0,"",(COUNTIF('ENTRY '!CR2:CR67,"v")))</f>
        <v/>
      </c>
      <c r="CE12" s="36" t="str">
        <f>IF(COUNTIF('ENTRY '!CS2:CS67,"v")=0,"",(COUNTIF('ENTRY '!CS2:CS67,"v")))</f>
        <v/>
      </c>
      <c r="CF12" s="36" t="str">
        <f>IF(COUNTIF('ENTRY '!CT2:CT67,"v")=0,"",(COUNTIF('ENTRY '!CT2:CT67,"v")))</f>
        <v/>
      </c>
      <c r="CG12" s="36" t="str">
        <f>IF(COUNTIF('ENTRY '!CU2:CU67,"v")=0,"",(COUNTIF('ENTRY '!CU2:CU67,"v")))</f>
        <v/>
      </c>
      <c r="CH12" s="36" t="str">
        <f>IF(COUNTIF('ENTRY '!CV2:CV67,"v")=0,"",(COUNTIF('ENTRY '!CV2:CV67,"v")))</f>
        <v/>
      </c>
      <c r="CI12" s="36" t="str">
        <f>IF(COUNTIF('ENTRY '!CW2:CW67,"v")=0,"",(COUNTIF('ENTRY '!CW2:CW67,"v")))</f>
        <v/>
      </c>
      <c r="CJ12" s="36" t="str">
        <f>IF(COUNTIF('ENTRY '!CX2:CX67,"v")=0,"",(COUNTIF('ENTRY '!CX2:CX67,"v")))</f>
        <v/>
      </c>
      <c r="CK12" s="36" t="str">
        <f>IF(COUNTIF('ENTRY '!CY2:CY67,"v")=0,"",(COUNTIF('ENTRY '!CY2:CY67,"v")))</f>
        <v/>
      </c>
      <c r="CL12" s="36" t="str">
        <f>IF(COUNTIF('ENTRY '!CZ2:CZ67,"v")=0,"",(COUNTIF('ENTRY '!CZ2:CZ67,"v")))</f>
        <v/>
      </c>
      <c r="CM12" s="36" t="str">
        <f>IF(COUNTIF('ENTRY '!DA2:DA67,"v")=0,"",(COUNTIF('ENTRY '!DA2:DA67,"v")))</f>
        <v/>
      </c>
      <c r="CN12" s="36" t="str">
        <f>IF(COUNTIF('ENTRY '!DB2:DB67,"v")=0,"",(COUNTIF('ENTRY '!DB2:DB67,"v")))</f>
        <v/>
      </c>
      <c r="CO12" s="36" t="str">
        <f>IF(COUNTIF('ENTRY '!DC2:DC67,"v")=0,"",(COUNTIF('ENTRY '!DC2:DC67,"v")))</f>
        <v/>
      </c>
      <c r="CP12" s="36" t="str">
        <f>IF(COUNTIF('ENTRY '!DD2:DD67,"v")=0,"",(COUNTIF('ENTRY '!DD2:DD67,"v")))</f>
        <v/>
      </c>
      <c r="CQ12" s="36" t="str">
        <f>IF(COUNTIF('ENTRY '!DE2:DE67,"v")=0,"",(COUNTIF('ENTRY '!DE2:DE67,"v")))</f>
        <v/>
      </c>
      <c r="CR12" s="36" t="str">
        <f>IF(COUNTIF('ENTRY '!DF2:DF67,"v")=0,"",(COUNTIF('ENTRY '!DF2:DF67,"v")))</f>
        <v/>
      </c>
      <c r="CS12" s="36" t="str">
        <f>IF(COUNTIF('ENTRY '!DG2:DG67,"v")=0,"",(COUNTIF('ENTRY '!DG2:DG67,"v")))</f>
        <v/>
      </c>
      <c r="CT12" s="36" t="str">
        <f>IF(COUNTIF('ENTRY '!DH2:DH67,"v")=0,"",(COUNTIF('ENTRY '!DH2:DH67,"v")))</f>
        <v/>
      </c>
      <c r="CU12" s="36" t="str">
        <f>IF(COUNTIF('ENTRY '!DI2:DI67,"v")=0,"",(COUNTIF('ENTRY '!DI2:DI67,"v")))</f>
        <v/>
      </c>
      <c r="CV12" s="36" t="str">
        <f>IF(COUNTIF('ENTRY '!DJ2:DJ67,"v")=0,"",(COUNTIF('ENTRY '!DJ2:DJ67,"v")))</f>
        <v/>
      </c>
      <c r="CW12" s="36" t="str">
        <f>IF(COUNTIF('ENTRY '!DK2:DK67,"v")=0,"",(COUNTIF('ENTRY '!DK2:DK67,"v")))</f>
        <v/>
      </c>
      <c r="CX12" s="36" t="str">
        <f>IF(COUNTIF('ENTRY '!DL2:DL67,"v")=0,"",(COUNTIF('ENTRY '!DL2:DL67,"v")))</f>
        <v/>
      </c>
      <c r="CY12" s="36" t="str">
        <f>IF(COUNTIF('ENTRY '!DM2:DM67,"v")=0,"",(COUNTIF('ENTRY '!DM2:DM67,"v")))</f>
        <v/>
      </c>
      <c r="CZ12" s="36" t="str">
        <f>IF(COUNTIF('ENTRY '!DN2:DN67,"v")=0,"",(COUNTIF('ENTRY '!DN2:DN67,"v")))</f>
        <v/>
      </c>
      <c r="DA12" s="36" t="str">
        <f>IF(COUNTIF('ENTRY '!DO2:DO67,"v")=0,"",(COUNTIF('ENTRY '!DO2:DO67,"v")))</f>
        <v/>
      </c>
      <c r="DB12" s="36" t="str">
        <f>IF(COUNTIF('ENTRY '!DP2:DP67,"v")=0,"",(COUNTIF('ENTRY '!DP2:DP67,"v")))</f>
        <v/>
      </c>
      <c r="DC12" s="36" t="str">
        <f>IF(COUNTIF('ENTRY '!DQ2:DQ67,"v")=0,"",(COUNTIF('ENTRY '!DQ2:DQ67,"v")))</f>
        <v/>
      </c>
      <c r="DD12" s="36" t="str">
        <f>IF(COUNTIF('ENTRY '!DR2:DR67,"v")=0,"",(COUNTIF('ENTRY '!DR2:DR67,"v")))</f>
        <v/>
      </c>
      <c r="DE12" s="36" t="str">
        <f>IF(COUNTIF('ENTRY '!DS2:DS67,"v")=0,"",(COUNTIF('ENTRY '!DS2:DS67,"v")))</f>
        <v/>
      </c>
      <c r="DF12" s="36" t="str">
        <f>IF(COUNTIF('ENTRY '!DT2:DT67,"v")=0,"",(COUNTIF('ENTRY '!DT2:DT67,"v")))</f>
        <v/>
      </c>
      <c r="DG12" s="36" t="str">
        <f>IF(COUNTIF('ENTRY '!DU2:DU67,"v")=0,"",(COUNTIF('ENTRY '!DU2:DU67,"v")))</f>
        <v/>
      </c>
      <c r="DH12" s="36" t="str">
        <f>IF(COUNTIF('ENTRY '!DV2:DV67,"v")=0,"",(COUNTIF('ENTRY '!DV2:DV67,"v")))</f>
        <v/>
      </c>
      <c r="DI12" s="36" t="str">
        <f>IF(COUNTIF('ENTRY '!DW2:DW67,"v")=0,"",(COUNTIF('ENTRY '!DW2:DW67,"v")))</f>
        <v/>
      </c>
      <c r="DJ12" s="36" t="str">
        <f>IF(COUNTIF('ENTRY '!DX2:DX67,"v")=0,"",(COUNTIF('ENTRY '!DX2:DX67,"v")))</f>
        <v/>
      </c>
      <c r="DK12" s="36" t="str">
        <f>IF(COUNTIF('ENTRY '!DY2:DY67,"v")=0,"",(COUNTIF('ENTRY '!DY2:DY67,"v")))</f>
        <v/>
      </c>
      <c r="DL12" s="36" t="str">
        <f>IF(COUNTIF('ENTRY '!DZ2:DZ67,"v")=0,"",(COUNTIF('ENTRY '!DZ2:DZ67,"v")))</f>
        <v/>
      </c>
      <c r="DM12" s="36" t="str">
        <f>IF(COUNTIF('ENTRY '!EA2:EA67,"v")=0,"",(COUNTIF('ENTRY '!EA2:EA67,"v")))</f>
        <v/>
      </c>
      <c r="DN12" s="36" t="str">
        <f>IF(COUNTIF('ENTRY '!EB2:EB67,"v")=0,"",(COUNTIF('ENTRY '!EB2:EB67,"v")))</f>
        <v/>
      </c>
      <c r="DO12" s="36" t="str">
        <f>IF(COUNTIF('ENTRY '!EC2:EC67,"v")=0,"",(COUNTIF('ENTRY '!EC2:EC67,"v")))</f>
        <v/>
      </c>
      <c r="DP12" s="36" t="str">
        <f>IF(COUNTIF('ENTRY '!ED2:ED67,"v")=0,"",(COUNTIF('ENTRY '!ED2:ED67,"v")))</f>
        <v/>
      </c>
      <c r="DQ12" s="36" t="str">
        <f>IF(COUNTIF('ENTRY '!EE2:EE67,"v")=0,"",(COUNTIF('ENTRY '!EE2:EE67,"v")))</f>
        <v/>
      </c>
      <c r="DR12" s="36" t="str">
        <f>IF(COUNTIF('ENTRY '!EF2:EF67,"v")=0,"",(COUNTIF('ENTRY '!EF2:EF67,"v")))</f>
        <v/>
      </c>
      <c r="DS12" s="36" t="str">
        <f>IF(COUNTIF('ENTRY '!EG2:EG67,"v")=0,"",(COUNTIF('ENTRY '!EG2:EG67,"v")))</f>
        <v/>
      </c>
      <c r="DT12" s="36" t="str">
        <f>IF(COUNTIF('ENTRY '!EH2:EH67,"v")=0,"",(COUNTIF('ENTRY '!EH2:EH67,"v")))</f>
        <v/>
      </c>
      <c r="DU12" s="36" t="str">
        <f>IF(COUNTIF('ENTRY '!EI2:EI67,"v")=0,"",(COUNTIF('ENTRY '!EI2:EI67,"v")))</f>
        <v/>
      </c>
      <c r="DV12" s="36" t="str">
        <f>IF(COUNTIF('ENTRY '!EJ2:EJ67,"v")=0,"",(COUNTIF('ENTRY '!EJ2:EJ67,"v")))</f>
        <v/>
      </c>
      <c r="DW12" s="36" t="str">
        <f>IF(COUNTIF('ENTRY '!EK2:EK67,"v")=0,"",(COUNTIF('ENTRY '!EK2:EK67,"v")))</f>
        <v/>
      </c>
      <c r="DX12" s="36" t="str">
        <f>IF(COUNTIF('ENTRY '!EL2:EL67,"v")=0,"",(COUNTIF('ENTRY '!EL2:EL67,"v")))</f>
        <v/>
      </c>
      <c r="DY12" s="36" t="str">
        <f>IF(COUNTIF('ENTRY '!EM2:EM67,"v")=0,"",(COUNTIF('ENTRY '!EM2:EM67,"v")))</f>
        <v/>
      </c>
      <c r="DZ12" s="36" t="str">
        <f>IF(COUNTIF('ENTRY '!EN2:EN67,"v")=0,"",(COUNTIF('ENTRY '!EN2:EN67,"v")))</f>
        <v/>
      </c>
      <c r="EA12" s="36" t="str">
        <f>IF(COUNTIF('ENTRY '!EO2:EO67,"v")=0,"",(COUNTIF('ENTRY '!EO2:EO67,"v")))</f>
        <v/>
      </c>
      <c r="EB12" s="36" t="str">
        <f>IF(COUNTIF('ENTRY '!EP2:EP67,"v")=0,"",(COUNTIF('ENTRY '!EP2:EP67,"v")))</f>
        <v/>
      </c>
      <c r="EC12" s="36" t="str">
        <f>IF(COUNTIF('ENTRY '!EQ2:EQ67,"v")=0,"",(COUNTIF('ENTRY '!EQ2:EQ67,"v")))</f>
        <v/>
      </c>
      <c r="ED12" s="36" t="str">
        <f>IF(COUNTIF('ENTRY '!ER2:ER67,"v")=0,"",(COUNTIF('ENTRY '!ER2:ER67,"v")))</f>
        <v/>
      </c>
      <c r="EE12" s="36" t="str">
        <f>IF(COUNTIF('ENTRY '!ES2:ES67,"v")=0,"",(COUNTIF('ENTRY '!ES2:ES67,"v")))</f>
        <v/>
      </c>
      <c r="EF12" s="36" t="str">
        <f>IF(COUNTIF('ENTRY '!ET2:ET67,"v")=0,"",(COUNTIF('ENTRY '!ET2:ET67,"v")))</f>
        <v/>
      </c>
      <c r="EG12" s="36" t="str">
        <f>IF(COUNTIF('ENTRY '!EU2:EU67,"v")=0,"",(COUNTIF('ENTRY '!EU2:EU67,"v")))</f>
        <v/>
      </c>
      <c r="EH12" s="36" t="str">
        <f>IF(COUNTIF('ENTRY '!EV2:EV67,"v")=0,"",(COUNTIF('ENTRY '!EV2:EV67,"v")))</f>
        <v/>
      </c>
      <c r="EI12" s="36" t="str">
        <f>IF(COUNTIF('ENTRY '!EW2:EW67,"v")=0,"",(COUNTIF('ENTRY '!EW2:EW67,"v")))</f>
        <v/>
      </c>
      <c r="EJ12" s="36" t="str">
        <f>IF(COUNTIF('ENTRY '!EX2:EX67,"v")=0,"",(COUNTIF('ENTRY '!EX2:EX67,"v")))</f>
        <v/>
      </c>
      <c r="EK12" s="36" t="str">
        <f>IF(COUNTIF('ENTRY '!EY2:EY67,"v")=0,"",(COUNTIF('ENTRY '!EY2:EY67,"v")))</f>
        <v/>
      </c>
      <c r="EL12" s="36" t="str">
        <f>IF(COUNTIF('ENTRY '!EZ2:EZ67,"v")=0,"",(COUNTIF('ENTRY '!EZ2:EZ67,"v")))</f>
        <v/>
      </c>
      <c r="EM12" s="36" t="str">
        <f>IF(COUNTIF('ENTRY '!FA2:FA67,"v")=0,"",(COUNTIF('ENTRY '!FA2:FA67,"v")))</f>
        <v/>
      </c>
      <c r="EN12" s="36" t="str">
        <f>IF(COUNTIF('ENTRY '!FB2:FB67,"v")=0,"",(COUNTIF('ENTRY '!FB2:FB67,"v")))</f>
        <v/>
      </c>
      <c r="EO12" s="36" t="str">
        <f>IF(COUNTIF('ENTRY '!FC2:FC67,"v")=0,"",(COUNTIF('ENTRY '!FC2:FC67,"v")))</f>
        <v/>
      </c>
      <c r="EP12" s="36" t="str">
        <f>IF(COUNTIF('ENTRY '!FD2:FD67,"v")=0,"",(COUNTIF('ENTRY '!FD2:FD67,"v")))</f>
        <v/>
      </c>
      <c r="EQ12" s="36" t="str">
        <f>IF(COUNTIF('ENTRY '!FE2:FE67,"v")=0,"",(COUNTIF('ENTRY '!FE2:FE67,"v")))</f>
        <v/>
      </c>
      <c r="ER12" s="36" t="str">
        <f>IF(COUNTIF('ENTRY '!FF2:FF67,"v")=0,"",(COUNTIF('ENTRY '!FF2:FF67,"v")))</f>
        <v/>
      </c>
      <c r="ES12" s="36" t="str">
        <f>IF(COUNTIF('ENTRY '!FG2:FG67,"v")=0,"",(COUNTIF('ENTRY '!FG2:FG67,"v")))</f>
        <v/>
      </c>
      <c r="ET12" s="36" t="str">
        <f>IF(COUNTIF('ENTRY '!FH2:FH67,"v")=0,"",(COUNTIF('ENTRY '!FH2:FH67,"v")))</f>
        <v/>
      </c>
      <c r="EU12" s="36" t="str">
        <f>IF(COUNTIF('ENTRY '!FI2:FI67,"v")=0,"",(COUNTIF('ENTRY '!FI2:FI67,"v")))</f>
        <v/>
      </c>
      <c r="EV12" s="36" t="str">
        <f>IF(COUNTIF('ENTRY '!FJ2:FJ67,"v")=0,"",(COUNTIF('ENTRY '!FJ2:FJ67,"v")))</f>
        <v/>
      </c>
      <c r="EW12" s="36" t="str">
        <f>IF(COUNTIF('ENTRY '!FK2:FK67,"v")=0,"",(COUNTIF('ENTRY '!FK2:FK67,"v")))</f>
        <v/>
      </c>
      <c r="EX12" s="36" t="str">
        <f>IF(COUNTIF('ENTRY '!FL2:FL67,"v")=0,"",(COUNTIF('ENTRY '!FL2:FL67,"v")))</f>
        <v/>
      </c>
      <c r="EY12" s="36" t="str">
        <f>IF(COUNTIF('ENTRY '!FM2:FM67,"v")=0,"",(COUNTIF('ENTRY '!FM2:FM67,"v")))</f>
        <v/>
      </c>
    </row>
    <row r="13" spans="1:156" s="64" customFormat="1">
      <c r="B13" s="65" t="s">
        <v>35</v>
      </c>
      <c r="C13" s="63"/>
      <c r="D13" s="18" t="str">
        <f t="shared" ref="D13:AI13" si="16">IF((OR(D11&lt;&gt;"",D12&lt;&gt;"")),"present","")</f>
        <v/>
      </c>
      <c r="E13" s="18" t="str">
        <f t="shared" si="16"/>
        <v>present</v>
      </c>
      <c r="F13" s="18" t="str">
        <f t="shared" si="16"/>
        <v/>
      </c>
      <c r="G13" s="18" t="str">
        <f t="shared" si="16"/>
        <v/>
      </c>
      <c r="H13" s="18" t="str">
        <f t="shared" si="16"/>
        <v/>
      </c>
      <c r="I13" s="18" t="str">
        <f t="shared" si="16"/>
        <v/>
      </c>
      <c r="J13" s="18" t="str">
        <f t="shared" si="16"/>
        <v/>
      </c>
      <c r="K13" s="18" t="str">
        <f t="shared" si="16"/>
        <v/>
      </c>
      <c r="L13" s="18" t="str">
        <f t="shared" si="16"/>
        <v/>
      </c>
      <c r="M13" s="18" t="str">
        <f t="shared" si="16"/>
        <v/>
      </c>
      <c r="N13" s="18" t="str">
        <f t="shared" si="16"/>
        <v/>
      </c>
      <c r="O13" s="18" t="str">
        <f t="shared" si="16"/>
        <v/>
      </c>
      <c r="P13" s="18" t="str">
        <f t="shared" si="16"/>
        <v/>
      </c>
      <c r="Q13" s="18" t="str">
        <f t="shared" si="16"/>
        <v>present</v>
      </c>
      <c r="R13" s="18" t="str">
        <f t="shared" si="16"/>
        <v/>
      </c>
      <c r="S13" s="18" t="str">
        <f t="shared" si="16"/>
        <v/>
      </c>
      <c r="T13" s="18" t="str">
        <f t="shared" si="16"/>
        <v/>
      </c>
      <c r="U13" s="18" t="str">
        <f t="shared" si="16"/>
        <v/>
      </c>
      <c r="V13" s="18" t="str">
        <f t="shared" si="16"/>
        <v/>
      </c>
      <c r="W13" s="18" t="str">
        <f t="shared" si="16"/>
        <v/>
      </c>
      <c r="X13" s="18" t="str">
        <f t="shared" si="16"/>
        <v/>
      </c>
      <c r="Y13" s="18" t="str">
        <f t="shared" si="16"/>
        <v/>
      </c>
      <c r="Z13" s="18" t="str">
        <f t="shared" si="16"/>
        <v/>
      </c>
      <c r="AA13" s="18" t="str">
        <f t="shared" si="16"/>
        <v/>
      </c>
      <c r="AB13" s="18" t="str">
        <f t="shared" si="16"/>
        <v/>
      </c>
      <c r="AC13" s="18" t="str">
        <f t="shared" si="16"/>
        <v/>
      </c>
      <c r="AD13" s="18" t="str">
        <f t="shared" si="16"/>
        <v/>
      </c>
      <c r="AE13" s="18" t="str">
        <f t="shared" si="16"/>
        <v/>
      </c>
      <c r="AF13" s="18" t="str">
        <f t="shared" si="16"/>
        <v/>
      </c>
      <c r="AG13" s="18" t="str">
        <f t="shared" si="16"/>
        <v/>
      </c>
      <c r="AH13" s="18" t="str">
        <f t="shared" si="16"/>
        <v/>
      </c>
      <c r="AI13" s="18" t="str">
        <f t="shared" si="16"/>
        <v/>
      </c>
      <c r="AJ13" s="18" t="str">
        <f t="shared" ref="AJ13:BO13" si="17">IF((OR(AJ11&lt;&gt;"",AJ12&lt;&gt;"")),"present","")</f>
        <v/>
      </c>
      <c r="AK13" s="18" t="str">
        <f t="shared" si="17"/>
        <v/>
      </c>
      <c r="AL13" s="18" t="str">
        <f t="shared" si="17"/>
        <v/>
      </c>
      <c r="AM13" s="18" t="str">
        <f t="shared" si="17"/>
        <v/>
      </c>
      <c r="AN13" s="18" t="str">
        <f t="shared" si="17"/>
        <v/>
      </c>
      <c r="AO13" s="18" t="str">
        <f t="shared" si="17"/>
        <v/>
      </c>
      <c r="AP13" s="18" t="str">
        <f t="shared" si="17"/>
        <v/>
      </c>
      <c r="AQ13" s="18" t="str">
        <f t="shared" si="17"/>
        <v/>
      </c>
      <c r="AR13" s="18" t="str">
        <f t="shared" si="17"/>
        <v/>
      </c>
      <c r="AS13" s="18" t="str">
        <f t="shared" si="17"/>
        <v/>
      </c>
      <c r="AT13" s="18" t="str">
        <f t="shared" si="17"/>
        <v/>
      </c>
      <c r="AU13" s="18" t="str">
        <f t="shared" si="17"/>
        <v/>
      </c>
      <c r="AV13" s="18" t="str">
        <f t="shared" si="17"/>
        <v/>
      </c>
      <c r="AW13" s="18" t="str">
        <f t="shared" si="17"/>
        <v/>
      </c>
      <c r="AX13" s="18" t="str">
        <f t="shared" si="17"/>
        <v/>
      </c>
      <c r="AY13" s="18" t="str">
        <f t="shared" si="17"/>
        <v/>
      </c>
      <c r="AZ13" s="18" t="str">
        <f t="shared" si="17"/>
        <v/>
      </c>
      <c r="BA13" s="18" t="str">
        <f t="shared" si="17"/>
        <v/>
      </c>
      <c r="BB13" s="18" t="str">
        <f t="shared" si="17"/>
        <v/>
      </c>
      <c r="BC13" s="18" t="str">
        <f t="shared" si="17"/>
        <v/>
      </c>
      <c r="BD13" s="18" t="str">
        <f t="shared" si="17"/>
        <v/>
      </c>
      <c r="BE13" s="18" t="str">
        <f t="shared" si="17"/>
        <v/>
      </c>
      <c r="BF13" s="18" t="str">
        <f t="shared" si="17"/>
        <v/>
      </c>
      <c r="BG13" s="18" t="str">
        <f t="shared" si="17"/>
        <v/>
      </c>
      <c r="BH13" s="18" t="str">
        <f t="shared" si="17"/>
        <v/>
      </c>
      <c r="BI13" s="18" t="str">
        <f t="shared" si="17"/>
        <v/>
      </c>
      <c r="BJ13" s="18" t="str">
        <f t="shared" si="17"/>
        <v/>
      </c>
      <c r="BK13" s="18" t="str">
        <f t="shared" si="17"/>
        <v/>
      </c>
      <c r="BL13" s="18" t="str">
        <f t="shared" si="17"/>
        <v/>
      </c>
      <c r="BM13" s="18" t="str">
        <f t="shared" si="17"/>
        <v>present</v>
      </c>
      <c r="BN13" s="18" t="str">
        <f t="shared" si="17"/>
        <v>present</v>
      </c>
      <c r="BO13" s="18" t="str">
        <f t="shared" si="17"/>
        <v/>
      </c>
      <c r="BP13" s="18" t="str">
        <f t="shared" ref="BP13:CU13" si="18">IF((OR(BP11&lt;&gt;"",BP12&lt;&gt;"")),"present","")</f>
        <v/>
      </c>
      <c r="BQ13" s="18" t="str">
        <f t="shared" si="18"/>
        <v/>
      </c>
      <c r="BR13" s="18" t="str">
        <f t="shared" si="18"/>
        <v/>
      </c>
      <c r="BS13" s="18" t="str">
        <f t="shared" si="18"/>
        <v/>
      </c>
      <c r="BT13" s="18" t="str">
        <f t="shared" si="18"/>
        <v/>
      </c>
      <c r="BU13" s="18" t="str">
        <f t="shared" si="18"/>
        <v/>
      </c>
      <c r="BV13" s="18" t="str">
        <f t="shared" si="18"/>
        <v/>
      </c>
      <c r="BW13" s="18" t="str">
        <f t="shared" si="18"/>
        <v/>
      </c>
      <c r="BX13" s="18" t="str">
        <f t="shared" si="18"/>
        <v/>
      </c>
      <c r="BY13" s="18" t="str">
        <f t="shared" si="18"/>
        <v/>
      </c>
      <c r="BZ13" s="18" t="str">
        <f t="shared" si="18"/>
        <v/>
      </c>
      <c r="CA13" s="18" t="str">
        <f t="shared" si="18"/>
        <v>present</v>
      </c>
      <c r="CB13" s="18" t="str">
        <f t="shared" si="18"/>
        <v/>
      </c>
      <c r="CC13" s="18" t="str">
        <f t="shared" si="18"/>
        <v/>
      </c>
      <c r="CD13" s="18" t="str">
        <f t="shared" si="18"/>
        <v/>
      </c>
      <c r="CE13" s="18" t="str">
        <f t="shared" si="18"/>
        <v/>
      </c>
      <c r="CF13" s="18" t="str">
        <f t="shared" si="18"/>
        <v/>
      </c>
      <c r="CG13" s="18" t="str">
        <f t="shared" si="18"/>
        <v/>
      </c>
      <c r="CH13" s="18" t="str">
        <f t="shared" si="18"/>
        <v/>
      </c>
      <c r="CI13" s="18" t="str">
        <f t="shared" si="18"/>
        <v>present</v>
      </c>
      <c r="CJ13" s="18" t="str">
        <f t="shared" si="18"/>
        <v/>
      </c>
      <c r="CK13" s="18" t="str">
        <f t="shared" si="18"/>
        <v/>
      </c>
      <c r="CL13" s="18" t="str">
        <f t="shared" si="18"/>
        <v/>
      </c>
      <c r="CM13" s="18" t="str">
        <f t="shared" si="18"/>
        <v/>
      </c>
      <c r="CN13" s="18" t="str">
        <f t="shared" si="18"/>
        <v/>
      </c>
      <c r="CO13" s="18" t="str">
        <f t="shared" si="18"/>
        <v/>
      </c>
      <c r="CP13" s="18" t="str">
        <f t="shared" si="18"/>
        <v/>
      </c>
      <c r="CQ13" s="18" t="str">
        <f t="shared" si="18"/>
        <v/>
      </c>
      <c r="CR13" s="18" t="str">
        <f t="shared" si="18"/>
        <v/>
      </c>
      <c r="CS13" s="18" t="str">
        <f t="shared" si="18"/>
        <v/>
      </c>
      <c r="CT13" s="18" t="str">
        <f t="shared" si="18"/>
        <v/>
      </c>
      <c r="CU13" s="18" t="str">
        <f t="shared" si="18"/>
        <v/>
      </c>
      <c r="CV13" s="18" t="str">
        <f t="shared" ref="CV13:EA13" si="19">IF((OR(CV11&lt;&gt;"",CV12&lt;&gt;"")),"present","")</f>
        <v/>
      </c>
      <c r="CW13" s="18" t="str">
        <f t="shared" si="19"/>
        <v/>
      </c>
      <c r="CX13" s="18" t="str">
        <f t="shared" si="19"/>
        <v/>
      </c>
      <c r="CY13" s="18" t="str">
        <f t="shared" si="19"/>
        <v/>
      </c>
      <c r="CZ13" s="18" t="str">
        <f t="shared" si="19"/>
        <v/>
      </c>
      <c r="DA13" s="18" t="str">
        <f t="shared" si="19"/>
        <v/>
      </c>
      <c r="DB13" s="18" t="str">
        <f t="shared" si="19"/>
        <v/>
      </c>
      <c r="DC13" s="18" t="str">
        <f t="shared" si="19"/>
        <v/>
      </c>
      <c r="DD13" s="18" t="str">
        <f t="shared" si="19"/>
        <v/>
      </c>
      <c r="DE13" s="18" t="str">
        <f t="shared" si="19"/>
        <v/>
      </c>
      <c r="DF13" s="18" t="str">
        <f t="shared" si="19"/>
        <v/>
      </c>
      <c r="DG13" s="18" t="str">
        <f t="shared" si="19"/>
        <v/>
      </c>
      <c r="DH13" s="18" t="str">
        <f t="shared" si="19"/>
        <v/>
      </c>
      <c r="DI13" s="18" t="str">
        <f t="shared" si="19"/>
        <v/>
      </c>
      <c r="DJ13" s="18" t="str">
        <f t="shared" si="19"/>
        <v/>
      </c>
      <c r="DK13" s="18" t="str">
        <f t="shared" si="19"/>
        <v/>
      </c>
      <c r="DL13" s="18" t="str">
        <f t="shared" si="19"/>
        <v/>
      </c>
      <c r="DM13" s="18" t="str">
        <f t="shared" si="19"/>
        <v/>
      </c>
      <c r="DN13" s="18" t="str">
        <f t="shared" si="19"/>
        <v/>
      </c>
      <c r="DO13" s="18" t="str">
        <f t="shared" si="19"/>
        <v/>
      </c>
      <c r="DP13" s="18" t="str">
        <f t="shared" si="19"/>
        <v/>
      </c>
      <c r="DQ13" s="18" t="str">
        <f t="shared" si="19"/>
        <v/>
      </c>
      <c r="DR13" s="18" t="str">
        <f t="shared" si="19"/>
        <v>present</v>
      </c>
      <c r="DS13" s="18" t="str">
        <f t="shared" si="19"/>
        <v/>
      </c>
      <c r="DT13" s="18" t="str">
        <f t="shared" si="19"/>
        <v/>
      </c>
      <c r="DU13" s="18" t="str">
        <f t="shared" si="19"/>
        <v/>
      </c>
      <c r="DV13" s="18" t="str">
        <f t="shared" si="19"/>
        <v/>
      </c>
      <c r="DW13" s="18" t="str">
        <f t="shared" si="19"/>
        <v/>
      </c>
      <c r="DX13" s="18" t="str">
        <f t="shared" si="19"/>
        <v/>
      </c>
      <c r="DY13" s="18" t="str">
        <f t="shared" si="19"/>
        <v/>
      </c>
      <c r="DZ13" s="18" t="str">
        <f t="shared" si="19"/>
        <v/>
      </c>
      <c r="EA13" s="18" t="str">
        <f t="shared" si="19"/>
        <v/>
      </c>
      <c r="EB13" s="18" t="str">
        <f t="shared" ref="EB13:EY13" si="20">IF((OR(EB11&lt;&gt;"",EB12&lt;&gt;"")),"present","")</f>
        <v/>
      </c>
      <c r="EC13" s="18" t="str">
        <f t="shared" si="20"/>
        <v/>
      </c>
      <c r="ED13" s="18" t="str">
        <f t="shared" si="20"/>
        <v/>
      </c>
      <c r="EE13" s="18" t="str">
        <f t="shared" si="20"/>
        <v/>
      </c>
      <c r="EF13" s="18" t="str">
        <f t="shared" si="20"/>
        <v/>
      </c>
      <c r="EG13" s="18" t="str">
        <f t="shared" si="20"/>
        <v/>
      </c>
      <c r="EH13" s="18" t="str">
        <f t="shared" si="20"/>
        <v/>
      </c>
      <c r="EI13" s="18" t="str">
        <f t="shared" si="20"/>
        <v/>
      </c>
      <c r="EJ13" s="18" t="str">
        <f t="shared" si="20"/>
        <v/>
      </c>
      <c r="EK13" s="18" t="str">
        <f t="shared" si="20"/>
        <v/>
      </c>
      <c r="EL13" s="18" t="str">
        <f t="shared" si="20"/>
        <v/>
      </c>
      <c r="EM13" s="18" t="str">
        <f t="shared" si="20"/>
        <v/>
      </c>
      <c r="EN13" s="18" t="str">
        <f t="shared" si="20"/>
        <v>present</v>
      </c>
      <c r="EO13" s="18" t="str">
        <f t="shared" si="20"/>
        <v/>
      </c>
      <c r="EP13" s="18" t="str">
        <f t="shared" si="20"/>
        <v/>
      </c>
      <c r="EQ13" s="18" t="str">
        <f t="shared" si="20"/>
        <v/>
      </c>
      <c r="ER13" s="18" t="str">
        <f t="shared" si="20"/>
        <v/>
      </c>
      <c r="ES13" s="18" t="str">
        <f t="shared" si="20"/>
        <v/>
      </c>
      <c r="ET13" s="18" t="str">
        <f t="shared" si="20"/>
        <v/>
      </c>
      <c r="EU13" s="18" t="str">
        <f t="shared" si="20"/>
        <v/>
      </c>
      <c r="EV13" s="18" t="str">
        <f t="shared" si="20"/>
        <v/>
      </c>
      <c r="EW13" s="18" t="str">
        <f t="shared" si="20"/>
        <v/>
      </c>
      <c r="EX13" s="18" t="str">
        <f t="shared" si="20"/>
        <v/>
      </c>
      <c r="EY13" s="18" t="str">
        <f t="shared" si="20"/>
        <v/>
      </c>
    </row>
    <row r="14" spans="1:156" s="69" customFormat="1">
      <c r="A14" s="17"/>
      <c r="B14" s="17" t="s">
        <v>2</v>
      </c>
      <c r="C14" s="13">
        <f>IF(SUM(D14:EY14)&gt;0,SUM(D14:EY14),"")</f>
        <v>0.24376731301939059</v>
      </c>
      <c r="D14" s="18" t="str">
        <f t="shared" ref="D14:AI14" si="21">IF(D8="","",(D8*D8)/10000)</f>
        <v/>
      </c>
      <c r="E14" s="18">
        <f t="shared" si="21"/>
        <v>8.3795013850415503E-2</v>
      </c>
      <c r="F14" s="18" t="str">
        <f t="shared" si="21"/>
        <v/>
      </c>
      <c r="G14" s="18" t="str">
        <f t="shared" si="21"/>
        <v/>
      </c>
      <c r="H14" s="18" t="str">
        <f t="shared" si="21"/>
        <v/>
      </c>
      <c r="I14" s="18" t="str">
        <f t="shared" si="21"/>
        <v/>
      </c>
      <c r="J14" s="18" t="str">
        <f t="shared" si="21"/>
        <v/>
      </c>
      <c r="K14" s="18" t="str">
        <f t="shared" si="21"/>
        <v/>
      </c>
      <c r="L14" s="18" t="str">
        <f t="shared" si="21"/>
        <v/>
      </c>
      <c r="M14" s="18" t="str">
        <f t="shared" si="21"/>
        <v/>
      </c>
      <c r="N14" s="18" t="str">
        <f t="shared" si="21"/>
        <v/>
      </c>
      <c r="O14" s="18" t="str">
        <f t="shared" si="21"/>
        <v/>
      </c>
      <c r="P14" s="18" t="str">
        <f t="shared" si="21"/>
        <v/>
      </c>
      <c r="Q14" s="18">
        <f t="shared" si="21"/>
        <v>0.1357340720221607</v>
      </c>
      <c r="R14" s="18" t="str">
        <f t="shared" si="21"/>
        <v/>
      </c>
      <c r="S14" s="18" t="str">
        <f t="shared" si="21"/>
        <v/>
      </c>
      <c r="T14" s="18" t="str">
        <f t="shared" si="21"/>
        <v/>
      </c>
      <c r="U14" s="18" t="str">
        <f t="shared" si="21"/>
        <v/>
      </c>
      <c r="V14" s="18" t="str">
        <f t="shared" si="21"/>
        <v/>
      </c>
      <c r="W14" s="18" t="str">
        <f t="shared" si="21"/>
        <v/>
      </c>
      <c r="X14" s="18" t="str">
        <f t="shared" si="21"/>
        <v/>
      </c>
      <c r="Y14" s="18" t="str">
        <f t="shared" si="21"/>
        <v/>
      </c>
      <c r="Z14" s="18" t="str">
        <f t="shared" si="21"/>
        <v/>
      </c>
      <c r="AA14" s="18" t="str">
        <f t="shared" si="21"/>
        <v/>
      </c>
      <c r="AB14" s="18" t="str">
        <f t="shared" si="21"/>
        <v/>
      </c>
      <c r="AC14" s="18" t="str">
        <f t="shared" si="21"/>
        <v/>
      </c>
      <c r="AD14" s="18" t="str">
        <f t="shared" si="21"/>
        <v/>
      </c>
      <c r="AE14" s="18" t="str">
        <f t="shared" si="21"/>
        <v/>
      </c>
      <c r="AF14" s="18" t="str">
        <f t="shared" si="21"/>
        <v/>
      </c>
      <c r="AG14" s="18" t="str">
        <f t="shared" si="21"/>
        <v/>
      </c>
      <c r="AH14" s="18" t="str">
        <f t="shared" si="21"/>
        <v/>
      </c>
      <c r="AI14" s="18" t="str">
        <f t="shared" si="21"/>
        <v/>
      </c>
      <c r="AJ14" s="18" t="str">
        <f t="shared" ref="AJ14:BO14" si="22">IF(AJ8="","",(AJ8*AJ8)/10000)</f>
        <v/>
      </c>
      <c r="AK14" s="18" t="str">
        <f t="shared" si="22"/>
        <v/>
      </c>
      <c r="AL14" s="18" t="str">
        <f t="shared" si="22"/>
        <v/>
      </c>
      <c r="AM14" s="18" t="str">
        <f t="shared" si="22"/>
        <v/>
      </c>
      <c r="AN14" s="18" t="str">
        <f t="shared" si="22"/>
        <v/>
      </c>
      <c r="AO14" s="18" t="str">
        <f t="shared" si="22"/>
        <v/>
      </c>
      <c r="AP14" s="18" t="str">
        <f t="shared" si="22"/>
        <v/>
      </c>
      <c r="AQ14" s="18" t="str">
        <f t="shared" si="22"/>
        <v/>
      </c>
      <c r="AR14" s="18" t="str">
        <f t="shared" si="22"/>
        <v/>
      </c>
      <c r="AS14" s="18" t="str">
        <f t="shared" si="22"/>
        <v/>
      </c>
      <c r="AT14" s="18" t="str">
        <f t="shared" si="22"/>
        <v/>
      </c>
      <c r="AU14" s="18" t="str">
        <f t="shared" si="22"/>
        <v/>
      </c>
      <c r="AV14" s="18" t="str">
        <f t="shared" si="22"/>
        <v/>
      </c>
      <c r="AW14" s="18" t="str">
        <f t="shared" si="22"/>
        <v/>
      </c>
      <c r="AX14" s="18" t="str">
        <f t="shared" si="22"/>
        <v/>
      </c>
      <c r="AY14" s="18" t="str">
        <f t="shared" si="22"/>
        <v/>
      </c>
      <c r="AZ14" s="18" t="str">
        <f t="shared" si="22"/>
        <v/>
      </c>
      <c r="BA14" s="18" t="str">
        <f t="shared" si="22"/>
        <v/>
      </c>
      <c r="BB14" s="18" t="str">
        <f t="shared" si="22"/>
        <v/>
      </c>
      <c r="BC14" s="18" t="str">
        <f t="shared" si="22"/>
        <v/>
      </c>
      <c r="BD14" s="18" t="str">
        <f t="shared" si="22"/>
        <v/>
      </c>
      <c r="BE14" s="18" t="str">
        <f t="shared" si="22"/>
        <v/>
      </c>
      <c r="BF14" s="18" t="str">
        <f t="shared" si="22"/>
        <v/>
      </c>
      <c r="BG14" s="18" t="str">
        <f t="shared" si="22"/>
        <v/>
      </c>
      <c r="BH14" s="18" t="str">
        <f t="shared" si="22"/>
        <v/>
      </c>
      <c r="BI14" s="18" t="str">
        <f t="shared" si="22"/>
        <v/>
      </c>
      <c r="BJ14" s="18" t="str">
        <f t="shared" si="22"/>
        <v/>
      </c>
      <c r="BK14" s="18" t="str">
        <f t="shared" si="22"/>
        <v/>
      </c>
      <c r="BL14" s="18" t="str">
        <f t="shared" si="22"/>
        <v/>
      </c>
      <c r="BM14" s="18">
        <f t="shared" si="22"/>
        <v>6.2326869806094178E-3</v>
      </c>
      <c r="BN14" s="18">
        <f t="shared" si="22"/>
        <v>2.7700831024930752E-3</v>
      </c>
      <c r="BO14" s="18" t="str">
        <f t="shared" si="22"/>
        <v/>
      </c>
      <c r="BP14" s="18" t="str">
        <f t="shared" ref="BP14:CU14" si="23">IF(BP8="","",(BP8*BP8)/10000)</f>
        <v/>
      </c>
      <c r="BQ14" s="18" t="str">
        <f t="shared" si="23"/>
        <v/>
      </c>
      <c r="BR14" s="18" t="str">
        <f t="shared" si="23"/>
        <v/>
      </c>
      <c r="BS14" s="18" t="str">
        <f t="shared" si="23"/>
        <v/>
      </c>
      <c r="BT14" s="18" t="str">
        <f t="shared" si="23"/>
        <v/>
      </c>
      <c r="BU14" s="18" t="str">
        <f t="shared" si="23"/>
        <v/>
      </c>
      <c r="BV14" s="18" t="str">
        <f t="shared" si="23"/>
        <v/>
      </c>
      <c r="BW14" s="18" t="str">
        <f t="shared" si="23"/>
        <v/>
      </c>
      <c r="BX14" s="18" t="str">
        <f t="shared" si="23"/>
        <v/>
      </c>
      <c r="BY14" s="18" t="str">
        <f t="shared" si="23"/>
        <v/>
      </c>
      <c r="BZ14" s="18" t="str">
        <f t="shared" si="23"/>
        <v/>
      </c>
      <c r="CA14" s="18">
        <f t="shared" si="23"/>
        <v>6.2326869806094178E-3</v>
      </c>
      <c r="CB14" s="18" t="str">
        <f t="shared" si="23"/>
        <v/>
      </c>
      <c r="CC14" s="18" t="str">
        <f t="shared" si="23"/>
        <v/>
      </c>
      <c r="CD14" s="18" t="str">
        <f t="shared" si="23"/>
        <v/>
      </c>
      <c r="CE14" s="18" t="str">
        <f t="shared" si="23"/>
        <v/>
      </c>
      <c r="CF14" s="18" t="str">
        <f t="shared" si="23"/>
        <v/>
      </c>
      <c r="CG14" s="18" t="str">
        <f t="shared" si="23"/>
        <v/>
      </c>
      <c r="CH14" s="18" t="str">
        <f t="shared" si="23"/>
        <v/>
      </c>
      <c r="CI14" s="18">
        <f t="shared" si="23"/>
        <v>2.7700831024930752E-3</v>
      </c>
      <c r="CJ14" s="18" t="str">
        <f t="shared" si="23"/>
        <v/>
      </c>
      <c r="CK14" s="18" t="str">
        <f t="shared" si="23"/>
        <v/>
      </c>
      <c r="CL14" s="18" t="str">
        <f t="shared" si="23"/>
        <v/>
      </c>
      <c r="CM14" s="18" t="str">
        <f t="shared" si="23"/>
        <v/>
      </c>
      <c r="CN14" s="18" t="str">
        <f t="shared" si="23"/>
        <v/>
      </c>
      <c r="CO14" s="18" t="str">
        <f t="shared" si="23"/>
        <v/>
      </c>
      <c r="CP14" s="18" t="str">
        <f t="shared" si="23"/>
        <v/>
      </c>
      <c r="CQ14" s="18" t="str">
        <f t="shared" si="23"/>
        <v/>
      </c>
      <c r="CR14" s="18" t="str">
        <f t="shared" si="23"/>
        <v/>
      </c>
      <c r="CS14" s="18" t="str">
        <f t="shared" si="23"/>
        <v/>
      </c>
      <c r="CT14" s="18" t="str">
        <f t="shared" si="23"/>
        <v/>
      </c>
      <c r="CU14" s="18" t="str">
        <f t="shared" si="23"/>
        <v/>
      </c>
      <c r="CV14" s="18" t="str">
        <f t="shared" ref="CV14:EA14" si="24">IF(CV8="","",(CV8*CV8)/10000)</f>
        <v/>
      </c>
      <c r="CW14" s="18" t="str">
        <f t="shared" si="24"/>
        <v/>
      </c>
      <c r="CX14" s="18" t="str">
        <f t="shared" si="24"/>
        <v/>
      </c>
      <c r="CY14" s="18" t="str">
        <f t="shared" si="24"/>
        <v/>
      </c>
      <c r="CZ14" s="18" t="str">
        <f t="shared" si="24"/>
        <v/>
      </c>
      <c r="DA14" s="18" t="str">
        <f t="shared" si="24"/>
        <v/>
      </c>
      <c r="DB14" s="18" t="str">
        <f t="shared" si="24"/>
        <v/>
      </c>
      <c r="DC14" s="18" t="str">
        <f t="shared" si="24"/>
        <v/>
      </c>
      <c r="DD14" s="18" t="str">
        <f t="shared" si="24"/>
        <v/>
      </c>
      <c r="DE14" s="18" t="str">
        <f t="shared" si="24"/>
        <v/>
      </c>
      <c r="DF14" s="18" t="str">
        <f t="shared" si="24"/>
        <v/>
      </c>
      <c r="DG14" s="18" t="str">
        <f t="shared" si="24"/>
        <v/>
      </c>
      <c r="DH14" s="18" t="str">
        <f t="shared" si="24"/>
        <v/>
      </c>
      <c r="DI14" s="18" t="str">
        <f t="shared" si="24"/>
        <v/>
      </c>
      <c r="DJ14" s="18" t="str">
        <f t="shared" si="24"/>
        <v/>
      </c>
      <c r="DK14" s="18" t="str">
        <f t="shared" si="24"/>
        <v/>
      </c>
      <c r="DL14" s="18" t="str">
        <f t="shared" si="24"/>
        <v/>
      </c>
      <c r="DM14" s="18" t="str">
        <f t="shared" si="24"/>
        <v/>
      </c>
      <c r="DN14" s="18" t="str">
        <f t="shared" si="24"/>
        <v/>
      </c>
      <c r="DO14" s="18" t="str">
        <f t="shared" si="24"/>
        <v/>
      </c>
      <c r="DP14" s="18" t="str">
        <f t="shared" si="24"/>
        <v/>
      </c>
      <c r="DQ14" s="18" t="str">
        <f t="shared" si="24"/>
        <v/>
      </c>
      <c r="DR14" s="18">
        <f t="shared" si="24"/>
        <v>6.2326869806094178E-3</v>
      </c>
      <c r="DS14" s="18" t="str">
        <f t="shared" si="24"/>
        <v/>
      </c>
      <c r="DT14" s="18" t="str">
        <f t="shared" si="24"/>
        <v/>
      </c>
      <c r="DU14" s="18" t="str">
        <f t="shared" si="24"/>
        <v/>
      </c>
      <c r="DV14" s="18" t="str">
        <f t="shared" si="24"/>
        <v/>
      </c>
      <c r="DW14" s="18" t="str">
        <f t="shared" si="24"/>
        <v/>
      </c>
      <c r="DX14" s="18" t="str">
        <f t="shared" si="24"/>
        <v/>
      </c>
      <c r="DY14" s="18" t="str">
        <f t="shared" si="24"/>
        <v/>
      </c>
      <c r="DZ14" s="18" t="str">
        <f t="shared" si="24"/>
        <v/>
      </c>
      <c r="EA14" s="18" t="str">
        <f t="shared" si="24"/>
        <v/>
      </c>
      <c r="EB14" s="18" t="str">
        <f t="shared" ref="EB14:EK14" si="25">IF(EB8="","",(EB8*EB8)/10000)</f>
        <v/>
      </c>
      <c r="EC14" s="18" t="str">
        <f t="shared" si="25"/>
        <v/>
      </c>
      <c r="ED14" s="18" t="str">
        <f t="shared" si="25"/>
        <v/>
      </c>
      <c r="EE14" s="18" t="str">
        <f t="shared" si="25"/>
        <v/>
      </c>
      <c r="EF14" s="18" t="str">
        <f t="shared" si="25"/>
        <v/>
      </c>
      <c r="EG14" s="18" t="str">
        <f t="shared" si="25"/>
        <v/>
      </c>
      <c r="EH14" s="18" t="str">
        <f t="shared" si="25"/>
        <v/>
      </c>
      <c r="EI14" s="18" t="str">
        <f t="shared" si="25"/>
        <v/>
      </c>
      <c r="EJ14" s="18" t="str">
        <f t="shared" si="25"/>
        <v/>
      </c>
      <c r="EK14" s="18" t="str">
        <f t="shared" si="25"/>
        <v/>
      </c>
      <c r="EL14" s="18"/>
      <c r="EM14" s="18"/>
      <c r="EN14" s="18"/>
      <c r="EO14" s="18"/>
      <c r="EP14" s="18"/>
      <c r="EQ14" s="18" t="str">
        <f t="shared" ref="EQ14:EY14" si="26">IF(EQ8="","",(EQ8*EQ8)/10000)</f>
        <v/>
      </c>
      <c r="ER14" s="18" t="str">
        <f t="shared" si="26"/>
        <v/>
      </c>
      <c r="ES14" s="18" t="str">
        <f t="shared" si="26"/>
        <v/>
      </c>
      <c r="ET14" s="18" t="str">
        <f t="shared" si="26"/>
        <v/>
      </c>
      <c r="EU14" s="18" t="str">
        <f t="shared" si="26"/>
        <v/>
      </c>
      <c r="EV14" s="18" t="str">
        <f t="shared" si="26"/>
        <v/>
      </c>
      <c r="EW14" s="18" t="str">
        <f t="shared" si="26"/>
        <v/>
      </c>
      <c r="EX14" s="18" t="str">
        <f t="shared" si="26"/>
        <v/>
      </c>
      <c r="EY14" s="18" t="str">
        <f t="shared" si="26"/>
        <v/>
      </c>
    </row>
    <row r="15" spans="1:156" s="60" customFormat="1">
      <c r="B15" s="61"/>
      <c r="C15" s="62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30"/>
      <c r="DK15" s="30"/>
      <c r="DL15" s="30"/>
      <c r="DM15" s="30"/>
      <c r="DN15" s="30"/>
      <c r="DO15" s="30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</row>
    <row r="16" spans="1:156" ht="18">
      <c r="B16" s="14" t="s">
        <v>23</v>
      </c>
      <c r="C16" s="70"/>
      <c r="D16" s="29"/>
      <c r="E16" s="30"/>
      <c r="F16" s="24"/>
      <c r="G16" s="24"/>
      <c r="H16" s="24"/>
      <c r="I16" s="24"/>
      <c r="J16" s="54"/>
      <c r="K16" s="54"/>
      <c r="L16" s="54"/>
      <c r="M16" s="54"/>
      <c r="N16" s="5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</row>
    <row r="17" spans="2:153">
      <c r="B17" s="10" t="s">
        <v>316</v>
      </c>
      <c r="C17" s="40">
        <f>IF(SUM('ENTRY '!M2:M67)=0,"",COUNT('ENTRY '!M2:M67))</f>
        <v>66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</row>
    <row r="18" spans="2:153">
      <c r="B18" s="1" t="s">
        <v>48</v>
      </c>
      <c r="C18" s="40">
        <f>IF(SUM('ENTRY '!G2:G67)=0,"",COUNT('ENTRY '!G2:G67))</f>
        <v>31</v>
      </c>
      <c r="D18" s="32"/>
      <c r="E18" s="32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</row>
    <row r="19" spans="2:153">
      <c r="B19" s="1" t="s">
        <v>49</v>
      </c>
      <c r="C19" s="40">
        <f>IF(SUM('ENTRY '!H2:H67)=0,"",SUM('ENTRY '!H2:H67))</f>
        <v>64</v>
      </c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</row>
    <row r="20" spans="2:153">
      <c r="B20" s="8" t="s">
        <v>19</v>
      </c>
      <c r="C20" s="41">
        <f>IF(C19="","",(C18/C19)*100)</f>
        <v>48.4375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</row>
    <row r="21" spans="2:153">
      <c r="B21" s="1" t="s">
        <v>3</v>
      </c>
      <c r="C21" s="41">
        <f>IF(C14="","",(1-C14))</f>
        <v>0.75623268698060941</v>
      </c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</row>
    <row r="22" spans="2:153" ht="15" customHeight="1">
      <c r="B22" s="1" t="s">
        <v>265</v>
      </c>
      <c r="C22" s="41">
        <f>IF(SUM('ENTRY '!G2:G67)=0,"",MAX('ENTRY '!G2:G67))</f>
        <v>13.5</v>
      </c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</row>
    <row r="23" spans="2:153">
      <c r="B23" s="1" t="s">
        <v>50</v>
      </c>
      <c r="C23" s="42">
        <f>IF($C$17="","",COUNTIF('ENTRY '!O2:O67,"R"))</f>
        <v>0</v>
      </c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</row>
    <row r="24" spans="2:153">
      <c r="B24" s="1" t="s">
        <v>26</v>
      </c>
      <c r="C24" s="42">
        <f>IF($C$17="","",COUNTIF('ENTRY '!O2:O67,"P"))</f>
        <v>66</v>
      </c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</row>
    <row r="25" spans="2:153">
      <c r="B25" s="1" t="s">
        <v>31</v>
      </c>
      <c r="C25" s="43">
        <f>IF($C$17="","",(IF(SUM('ENTRY '!E2:E67)=0,"",AVERAGE('ENTRY '!E2:E67))))</f>
        <v>0.59375</v>
      </c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</row>
    <row r="26" spans="2:153">
      <c r="B26" s="1" t="s">
        <v>51</v>
      </c>
      <c r="C26" s="43">
        <f>IF(SUM('ENTRY '!C2:C67)=0,"",AVERAGE('ENTRY '!C2:C67))</f>
        <v>1.2258064516129032</v>
      </c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</row>
    <row r="27" spans="2:153">
      <c r="B27" s="1" t="s">
        <v>27</v>
      </c>
      <c r="C27" s="43">
        <f>IF(SUM('ENTRY '!F2:F67)=0,"",AVERAGE('ENTRY '!F2:F67))</f>
        <v>0.421875</v>
      </c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</row>
    <row r="28" spans="2:153">
      <c r="B28" s="1" t="s">
        <v>52</v>
      </c>
      <c r="C28" s="43">
        <f>IF(SUM('ENTRY '!D2:D67)=0,"",AVERAGE('ENTRY '!D2:D67))</f>
        <v>1.2857142857142858</v>
      </c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</row>
    <row r="29" spans="2:153">
      <c r="B29" s="1" t="s">
        <v>33</v>
      </c>
      <c r="C29" s="40">
        <f>IF(SUM(D9:EK9,EQ9:EY9)=0,"",COUNT(D9:EK9,EQ9:EY9))</f>
        <v>7</v>
      </c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</row>
    <row r="30" spans="2:153">
      <c r="B30" s="1" t="s">
        <v>32</v>
      </c>
      <c r="C30" s="40">
        <f>IF($C$17="","",SUM((COUNTIF(D13:EK13,"present")),(COUNTIF(EQ13:EY13,"present"))))</f>
        <v>7</v>
      </c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  <c r="CY30" s="31"/>
      <c r="CZ30" s="31"/>
      <c r="DA30" s="31"/>
      <c r="DB30" s="31"/>
      <c r="DC30" s="31"/>
      <c r="DD30" s="31"/>
      <c r="DE30" s="31"/>
      <c r="DF30" s="31"/>
      <c r="DG30" s="31"/>
      <c r="DH30" s="31"/>
      <c r="DI30" s="31"/>
      <c r="DJ30" s="31"/>
      <c r="DK30" s="31"/>
      <c r="DL30" s="31"/>
      <c r="DM30" s="31"/>
      <c r="DN30" s="31"/>
      <c r="DO30" s="31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</row>
    <row r="31" spans="2:153">
      <c r="B31" s="1" t="s">
        <v>467</v>
      </c>
      <c r="C31" s="40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  <c r="CI31" s="31"/>
      <c r="CJ31" s="31"/>
      <c r="CK31" s="31"/>
      <c r="CL31" s="31"/>
      <c r="CM31" s="31"/>
      <c r="CN31" s="31"/>
      <c r="CO31" s="31"/>
      <c r="CP31" s="31"/>
      <c r="CQ31" s="31"/>
      <c r="CR31" s="31"/>
      <c r="CS31" s="31"/>
      <c r="CT31" s="31"/>
      <c r="CU31" s="31"/>
      <c r="CV31" s="31"/>
      <c r="CW31" s="31"/>
      <c r="CX31" s="31"/>
      <c r="CY31" s="31"/>
      <c r="CZ31" s="31"/>
      <c r="DA31" s="31"/>
      <c r="DB31" s="31"/>
      <c r="DC31" s="31"/>
      <c r="DD31" s="31"/>
      <c r="DE31" s="31"/>
      <c r="DF31" s="31"/>
      <c r="DG31" s="31"/>
      <c r="DH31" s="31"/>
      <c r="DI31" s="31"/>
      <c r="DJ31" s="31"/>
      <c r="DK31" s="31"/>
      <c r="DL31" s="31"/>
      <c r="DM31" s="31"/>
      <c r="DN31" s="31"/>
      <c r="DO31" s="31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</row>
    <row r="32" spans="2:153" ht="15" customHeight="1">
      <c r="B32" s="1" t="s">
        <v>465</v>
      </c>
      <c r="C32" s="41">
        <f>IF(SUM('ENTRY '!G2:G67)=0,"",AVERAGE('ENTRY '!G2:G67))</f>
        <v>5.5483870967741939</v>
      </c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  <c r="EP32" s="24"/>
      <c r="EQ32" s="24"/>
      <c r="ER32" s="24"/>
      <c r="ES32" s="24"/>
      <c r="ET32" s="24"/>
      <c r="EU32" s="24"/>
      <c r="EV32" s="24"/>
      <c r="EW32" s="24"/>
    </row>
    <row r="33" spans="2:153" ht="15" customHeight="1">
      <c r="B33" s="1" t="s">
        <v>466</v>
      </c>
      <c r="C33" s="41">
        <f>IF(SUM('ENTRY '!G2:G67)=0,"",MEDIAN('ENTRY '!G2:G67))</f>
        <v>5</v>
      </c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</row>
    <row r="34" spans="2:153">
      <c r="B34" s="44" t="s">
        <v>36</v>
      </c>
      <c r="C34" s="41">
        <f>IF(C17="","",AVERAGE('ENTRY '!Q2:Q67))</f>
        <v>1.2258064516129032</v>
      </c>
    </row>
    <row r="36" spans="2:153" ht="15.75">
      <c r="B36" s="79" t="s">
        <v>264</v>
      </c>
    </row>
  </sheetData>
  <sheetProtection selectLockedCells="1" selectUnlockedCells="1"/>
  <phoneticPr fontId="10" type="noConversion"/>
  <dataValidations count="1">
    <dataValidation type="whole" allowBlank="1" showInputMessage="1" showErrorMessage="1" errorTitle="Presence/Absence Data" error="Enter 1 if present" sqref="D1:E6 F6:EP6">
      <formula1>1</formula1>
      <formula2>1</formula2>
    </dataValidation>
  </dataValidations>
  <printOptions headings="1" gridLines="1"/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M36"/>
  <sheetViews>
    <sheetView zoomScale="85" workbookViewId="0">
      <pane xSplit="2" ySplit="1" topLeftCell="C17" activePane="bottomRight" state="frozen"/>
      <selection pane="topRight" activeCell="B1" sqref="B1"/>
      <selection pane="bottomLeft" activeCell="A2" sqref="A2"/>
      <selection pane="bottomRight" activeCell="C32" sqref="C32"/>
    </sheetView>
  </sheetViews>
  <sheetFormatPr defaultColWidth="5.7109375" defaultRowHeight="12.75"/>
  <cols>
    <col min="1" max="1" width="13.140625" customWidth="1"/>
    <col min="2" max="2" width="77.140625" bestFit="1" customWidth="1"/>
    <col min="3" max="3" width="10.28515625" style="39" bestFit="1" customWidth="1"/>
    <col min="4" max="4" width="6.7109375" style="31" customWidth="1"/>
    <col min="5" max="11" width="6.7109375" customWidth="1"/>
    <col min="12" max="16384" width="5.7109375" style="24"/>
  </cols>
  <sheetData>
    <row r="1" spans="1:13" s="12" customFormat="1" ht="138.6" customHeight="1">
      <c r="A1" s="49"/>
      <c r="B1" s="38" t="s">
        <v>14</v>
      </c>
      <c r="C1" s="98" t="s">
        <v>12</v>
      </c>
      <c r="D1" s="100" t="s">
        <v>320</v>
      </c>
      <c r="E1" s="101" t="s">
        <v>336</v>
      </c>
      <c r="F1" s="101" t="s">
        <v>384</v>
      </c>
      <c r="G1" s="101" t="s">
        <v>385</v>
      </c>
      <c r="H1" s="101" t="s">
        <v>398</v>
      </c>
      <c r="I1" s="101" t="s">
        <v>406</v>
      </c>
      <c r="J1" s="101" t="s">
        <v>441</v>
      </c>
      <c r="K1" s="101" t="s">
        <v>313</v>
      </c>
      <c r="L1" s="101"/>
      <c r="M1" s="22"/>
    </row>
    <row r="2" spans="1:13" s="12" customFormat="1" ht="12.75" customHeight="1">
      <c r="A2" s="50" t="s">
        <v>45</v>
      </c>
      <c r="B2" s="48" t="s">
        <v>479</v>
      </c>
      <c r="C2" s="37"/>
      <c r="D2" s="26"/>
      <c r="E2" s="22"/>
      <c r="F2" s="22"/>
      <c r="G2" s="22"/>
      <c r="H2" s="22"/>
      <c r="I2" s="22"/>
      <c r="J2" s="22"/>
      <c r="K2" s="22"/>
      <c r="L2" s="22"/>
    </row>
    <row r="3" spans="1:13" s="12" customFormat="1" ht="12.75" customHeight="1">
      <c r="A3" s="50" t="s">
        <v>24</v>
      </c>
      <c r="B3" s="48" t="s">
        <v>480</v>
      </c>
      <c r="C3" s="37"/>
      <c r="D3" s="26"/>
      <c r="E3" s="22"/>
      <c r="F3" s="22"/>
      <c r="G3" s="22"/>
      <c r="H3" s="22"/>
      <c r="I3" s="22"/>
      <c r="J3" s="22"/>
      <c r="K3" s="22"/>
      <c r="L3" s="22"/>
    </row>
    <row r="4" spans="1:13" s="12" customFormat="1" ht="12.75" customHeight="1">
      <c r="A4" s="50" t="s">
        <v>25</v>
      </c>
      <c r="B4" s="48">
        <v>2079800</v>
      </c>
      <c r="C4" s="37"/>
      <c r="D4" s="26"/>
      <c r="E4" s="22"/>
      <c r="F4" s="22"/>
      <c r="G4" s="22"/>
      <c r="H4" s="22"/>
      <c r="I4" s="22"/>
      <c r="J4" s="22"/>
      <c r="K4" s="22"/>
      <c r="L4" s="22"/>
    </row>
    <row r="5" spans="1:13" s="12" customFormat="1" ht="12.75" customHeight="1">
      <c r="A5" s="51" t="s">
        <v>37</v>
      </c>
      <c r="B5" s="55">
        <v>43269</v>
      </c>
      <c r="C5" s="37"/>
      <c r="D5" s="26"/>
      <c r="E5" s="22"/>
      <c r="F5" s="22"/>
      <c r="G5" s="22"/>
      <c r="H5" s="22"/>
      <c r="I5" s="22"/>
      <c r="J5" s="22"/>
      <c r="K5" s="22"/>
      <c r="L5" s="22"/>
    </row>
    <row r="6" spans="1:13" s="12" customFormat="1" ht="15" customHeight="1">
      <c r="B6" s="11" t="s">
        <v>22</v>
      </c>
      <c r="C6" s="37"/>
      <c r="D6" s="26"/>
      <c r="E6" s="26"/>
      <c r="F6" s="26"/>
      <c r="G6" s="27"/>
      <c r="H6" s="26"/>
      <c r="I6" s="26"/>
      <c r="J6" s="26"/>
      <c r="K6" s="26"/>
      <c r="L6" s="28"/>
    </row>
    <row r="7" spans="1:13">
      <c r="B7" s="1" t="s">
        <v>53</v>
      </c>
      <c r="C7" s="52"/>
      <c r="D7" s="34">
        <v>11</v>
      </c>
      <c r="E7" s="34">
        <v>14</v>
      </c>
      <c r="F7" s="34">
        <v>3</v>
      </c>
      <c r="G7" s="34">
        <v>2</v>
      </c>
      <c r="H7" s="34">
        <v>3</v>
      </c>
      <c r="I7" s="34">
        <v>2</v>
      </c>
      <c r="J7" s="34">
        <v>3</v>
      </c>
      <c r="K7" s="34">
        <v>55</v>
      </c>
      <c r="L7" s="34" t="s">
        <v>471</v>
      </c>
    </row>
    <row r="8" spans="1:13" s="68" customFormat="1" ht="12.75" customHeight="1">
      <c r="A8" s="9"/>
      <c r="B8" s="8" t="s">
        <v>1</v>
      </c>
      <c r="C8" s="41"/>
      <c r="D8" s="35">
        <v>28.94736842105263</v>
      </c>
      <c r="E8" s="35">
        <v>36.842105263157897</v>
      </c>
      <c r="F8" s="35">
        <v>7.8947368421052628</v>
      </c>
      <c r="G8" s="35">
        <v>5.2631578947368425</v>
      </c>
      <c r="H8" s="35">
        <v>7.8947368421052628</v>
      </c>
      <c r="I8" s="35">
        <v>5.2631578947368425</v>
      </c>
      <c r="J8" s="35">
        <v>7.8947368421052628</v>
      </c>
      <c r="K8" s="35"/>
      <c r="L8" s="35" t="s">
        <v>471</v>
      </c>
    </row>
    <row r="9" spans="1:13" s="67" customFormat="1" ht="12.75" customHeight="1">
      <c r="A9" s="44"/>
      <c r="B9" s="44" t="s">
        <v>13</v>
      </c>
      <c r="C9" s="41"/>
      <c r="D9" s="46">
        <v>35.483870967741936</v>
      </c>
      <c r="E9" s="46">
        <v>45.161290322580641</v>
      </c>
      <c r="F9" s="46">
        <v>9.67741935483871</v>
      </c>
      <c r="G9" s="46">
        <v>6.4516129032258061</v>
      </c>
      <c r="H9" s="46">
        <v>9.67741935483871</v>
      </c>
      <c r="I9" s="46">
        <v>6.4516129032258061</v>
      </c>
      <c r="J9" s="46">
        <v>9.67741935483871</v>
      </c>
      <c r="K9" s="46">
        <v>177.41935483870967</v>
      </c>
      <c r="L9" s="46" t="s">
        <v>471</v>
      </c>
    </row>
    <row r="10" spans="1:13" s="67" customFormat="1" ht="11.25" customHeight="1">
      <c r="A10" s="44"/>
      <c r="B10" s="44" t="s">
        <v>19</v>
      </c>
      <c r="C10" s="43"/>
      <c r="D10" s="46">
        <v>17.1875</v>
      </c>
      <c r="E10" s="46">
        <v>21.875</v>
      </c>
      <c r="F10" s="46">
        <v>4.6875</v>
      </c>
      <c r="G10" s="46">
        <v>3.125</v>
      </c>
      <c r="H10" s="46">
        <v>4.6875</v>
      </c>
      <c r="I10" s="46">
        <v>3.125</v>
      </c>
      <c r="J10" s="46">
        <v>4.6875</v>
      </c>
      <c r="K10" s="46">
        <v>85.9375</v>
      </c>
      <c r="L10" s="46" t="s">
        <v>471</v>
      </c>
    </row>
    <row r="11" spans="1:13" s="66" customFormat="1">
      <c r="A11" s="59"/>
      <c r="B11" s="44" t="s">
        <v>36</v>
      </c>
      <c r="C11" s="52">
        <v>1.2258064516129032</v>
      </c>
      <c r="D11" s="13">
        <v>1</v>
      </c>
      <c r="E11" s="13">
        <v>1.0714285714285714</v>
      </c>
      <c r="F11" s="13">
        <v>2.3333333333333335</v>
      </c>
      <c r="G11" s="13">
        <v>1.5</v>
      </c>
      <c r="H11" s="13">
        <v>1</v>
      </c>
      <c r="I11" s="13">
        <v>1</v>
      </c>
      <c r="J11" s="13">
        <v>1</v>
      </c>
      <c r="K11" s="13">
        <v>1.4363636363636363</v>
      </c>
      <c r="L11" s="13" t="s">
        <v>471</v>
      </c>
    </row>
    <row r="12" spans="1:13" s="64" customFormat="1">
      <c r="A12" s="25"/>
      <c r="B12" s="15" t="s">
        <v>34</v>
      </c>
      <c r="C12" s="53"/>
      <c r="D12" s="36" t="s">
        <v>471</v>
      </c>
      <c r="E12" s="36" t="s">
        <v>471</v>
      </c>
      <c r="F12" s="36" t="s">
        <v>471</v>
      </c>
      <c r="G12" s="36" t="s">
        <v>471</v>
      </c>
      <c r="H12" s="36" t="s">
        <v>471</v>
      </c>
      <c r="I12" s="36" t="s">
        <v>471</v>
      </c>
      <c r="J12" s="36" t="s">
        <v>471</v>
      </c>
      <c r="K12" s="36" t="s">
        <v>471</v>
      </c>
      <c r="L12" s="36" t="s">
        <v>471</v>
      </c>
    </row>
    <row r="13" spans="1:13" s="64" customFormat="1">
      <c r="B13" s="65" t="s">
        <v>35</v>
      </c>
      <c r="C13" s="63"/>
      <c r="D13" s="18" t="s">
        <v>481</v>
      </c>
      <c r="E13" s="18" t="s">
        <v>481</v>
      </c>
      <c r="F13" s="18" t="s">
        <v>481</v>
      </c>
      <c r="G13" s="18" t="s">
        <v>481</v>
      </c>
      <c r="H13" s="18" t="s">
        <v>481</v>
      </c>
      <c r="I13" s="18" t="s">
        <v>481</v>
      </c>
      <c r="J13" s="18" t="s">
        <v>481</v>
      </c>
      <c r="K13" s="18" t="s">
        <v>481</v>
      </c>
      <c r="L13" s="18" t="s">
        <v>471</v>
      </c>
    </row>
    <row r="14" spans="1:13" s="69" customFormat="1">
      <c r="A14" s="17"/>
      <c r="B14" s="17" t="s">
        <v>2</v>
      </c>
      <c r="C14" s="13">
        <v>0.24376731301939059</v>
      </c>
      <c r="D14" s="18">
        <v>8.3795013850415503E-2</v>
      </c>
      <c r="E14" s="18">
        <v>0.1357340720221607</v>
      </c>
      <c r="F14" s="18">
        <v>6.2326869806094178E-3</v>
      </c>
      <c r="G14" s="18">
        <v>2.7700831024930752E-3</v>
      </c>
      <c r="H14" s="18">
        <v>6.2326869806094178E-3</v>
      </c>
      <c r="I14" s="18">
        <v>2.7700831024930752E-3</v>
      </c>
      <c r="J14" s="18">
        <v>6.2326869806094178E-3</v>
      </c>
      <c r="K14" s="18"/>
      <c r="L14" s="18" t="s">
        <v>471</v>
      </c>
    </row>
    <row r="15" spans="1:13" s="60" customFormat="1">
      <c r="B15" s="61"/>
      <c r="C15" s="62"/>
      <c r="D15" s="30"/>
      <c r="E15" s="30"/>
      <c r="F15" s="30"/>
      <c r="G15" s="30"/>
      <c r="H15" s="30"/>
      <c r="I15" s="30"/>
      <c r="J15" s="30"/>
      <c r="K15" s="30"/>
    </row>
    <row r="16" spans="1:13" ht="18">
      <c r="B16" s="14" t="s">
        <v>23</v>
      </c>
      <c r="C16" s="70"/>
      <c r="D16" s="30"/>
      <c r="E16" s="24"/>
      <c r="F16" s="24"/>
      <c r="G16" s="24" t="s">
        <v>53</v>
      </c>
      <c r="H16" s="24" t="s">
        <v>1</v>
      </c>
      <c r="I16" s="24" t="s">
        <v>13</v>
      </c>
      <c r="J16" s="24" t="s">
        <v>19</v>
      </c>
      <c r="K16" s="24" t="s">
        <v>36</v>
      </c>
    </row>
    <row r="17" spans="2:11">
      <c r="B17" s="10" t="s">
        <v>316</v>
      </c>
      <c r="C17" s="40">
        <v>66</v>
      </c>
      <c r="F17" s="24" t="s">
        <v>313</v>
      </c>
      <c r="G17" s="24">
        <v>55</v>
      </c>
      <c r="H17" s="173" t="s">
        <v>483</v>
      </c>
      <c r="I17" s="24">
        <v>177.41935483870967</v>
      </c>
      <c r="J17" s="66">
        <v>85.9375</v>
      </c>
      <c r="K17" s="66">
        <v>1.4363636363636363</v>
      </c>
    </row>
    <row r="18" spans="2:11">
      <c r="B18" s="1" t="s">
        <v>48</v>
      </c>
      <c r="C18" s="40">
        <v>31</v>
      </c>
      <c r="D18" s="32"/>
      <c r="E18" s="106" t="s">
        <v>71</v>
      </c>
      <c r="F18" s="24" t="s">
        <v>72</v>
      </c>
      <c r="G18" s="24">
        <v>14</v>
      </c>
      <c r="H18" s="66">
        <v>36.842105263157897</v>
      </c>
      <c r="I18" s="66">
        <v>45.161290322580641</v>
      </c>
      <c r="J18" s="66">
        <v>21.875</v>
      </c>
      <c r="K18" s="66">
        <v>1.0714285714285714</v>
      </c>
    </row>
    <row r="19" spans="2:11">
      <c r="B19" s="1" t="s">
        <v>49</v>
      </c>
      <c r="C19" s="40">
        <v>64</v>
      </c>
      <c r="E19" s="106" t="s">
        <v>472</v>
      </c>
      <c r="F19" s="24" t="s">
        <v>473</v>
      </c>
      <c r="G19" s="24">
        <v>11</v>
      </c>
      <c r="H19" s="66">
        <v>28.94736842105263</v>
      </c>
      <c r="I19" s="66">
        <v>35.483870967741936</v>
      </c>
      <c r="J19" s="66">
        <v>17.1875</v>
      </c>
      <c r="K19" s="66">
        <v>1</v>
      </c>
    </row>
    <row r="20" spans="2:11">
      <c r="B20" s="8" t="s">
        <v>19</v>
      </c>
      <c r="C20" s="41">
        <v>48.4375</v>
      </c>
      <c r="E20" s="106" t="s">
        <v>134</v>
      </c>
      <c r="F20" s="24" t="s">
        <v>135</v>
      </c>
      <c r="G20" s="24">
        <v>3</v>
      </c>
      <c r="H20" s="66">
        <v>7.8947368421052628</v>
      </c>
      <c r="I20" s="66">
        <v>9.67741935483871</v>
      </c>
      <c r="J20" s="66">
        <v>4.6875</v>
      </c>
      <c r="K20" s="66">
        <v>2.3333333333333335</v>
      </c>
    </row>
    <row r="21" spans="2:11">
      <c r="B21" s="1" t="s">
        <v>3</v>
      </c>
      <c r="C21" s="41">
        <v>0.75623268698060941</v>
      </c>
      <c r="E21" s="106" t="s">
        <v>157</v>
      </c>
      <c r="F21" s="24" t="s">
        <v>298</v>
      </c>
      <c r="G21" s="24">
        <v>3</v>
      </c>
      <c r="H21" s="66">
        <v>7.8947368421052628</v>
      </c>
      <c r="I21" s="66">
        <v>9.67741935483871</v>
      </c>
      <c r="J21" s="66">
        <v>4.6875</v>
      </c>
      <c r="K21" s="66">
        <v>1</v>
      </c>
    </row>
    <row r="22" spans="2:11" ht="15" customHeight="1">
      <c r="B22" s="1" t="s">
        <v>265</v>
      </c>
      <c r="C22" s="41">
        <v>13.5</v>
      </c>
      <c r="E22" s="106" t="s">
        <v>223</v>
      </c>
      <c r="F22" s="24" t="s">
        <v>257</v>
      </c>
      <c r="G22" s="24">
        <v>3</v>
      </c>
      <c r="H22" s="66">
        <v>7.8947368421052628</v>
      </c>
      <c r="I22" s="66">
        <v>9.67741935483871</v>
      </c>
      <c r="J22" s="66">
        <v>4.6875</v>
      </c>
      <c r="K22" s="66">
        <v>1</v>
      </c>
    </row>
    <row r="23" spans="2:11">
      <c r="B23" s="1" t="s">
        <v>50</v>
      </c>
      <c r="C23" s="42">
        <v>0</v>
      </c>
      <c r="E23" s="106" t="s">
        <v>136</v>
      </c>
      <c r="F23" s="24" t="s">
        <v>137</v>
      </c>
      <c r="G23" s="24">
        <v>2</v>
      </c>
      <c r="H23" s="66">
        <v>5.2631578947368425</v>
      </c>
      <c r="I23" s="66">
        <v>6.4516129032258061</v>
      </c>
      <c r="J23" s="66">
        <v>3.125</v>
      </c>
      <c r="K23" s="66">
        <v>1.5</v>
      </c>
    </row>
    <row r="24" spans="2:11">
      <c r="B24" s="1" t="s">
        <v>26</v>
      </c>
      <c r="C24" s="42">
        <v>66</v>
      </c>
      <c r="E24" s="106" t="s">
        <v>258</v>
      </c>
      <c r="F24" s="24" t="s">
        <v>169</v>
      </c>
      <c r="G24" s="24">
        <v>2</v>
      </c>
      <c r="H24" s="66">
        <v>5.2631578947368425</v>
      </c>
      <c r="I24" s="66">
        <v>6.4516129032258061</v>
      </c>
      <c r="J24" s="66">
        <v>3.125</v>
      </c>
      <c r="K24" s="66">
        <v>1</v>
      </c>
    </row>
    <row r="25" spans="2:11">
      <c r="B25" s="1" t="s">
        <v>31</v>
      </c>
      <c r="C25" s="43">
        <v>0.59375</v>
      </c>
      <c r="E25" s="24"/>
      <c r="F25" s="24"/>
      <c r="G25" s="24"/>
      <c r="H25" s="24"/>
      <c r="I25" s="24"/>
      <c r="J25" s="24"/>
      <c r="K25" s="24"/>
    </row>
    <row r="26" spans="2:11">
      <c r="B26" s="1" t="s">
        <v>51</v>
      </c>
      <c r="C26" s="43">
        <v>1.2258064516129032</v>
      </c>
      <c r="E26" s="24"/>
      <c r="F26" s="24"/>
      <c r="G26" s="24"/>
      <c r="H26" s="24" t="s">
        <v>484</v>
      </c>
      <c r="I26" s="24"/>
      <c r="J26" s="24"/>
      <c r="K26" s="24"/>
    </row>
    <row r="27" spans="2:11">
      <c r="B27" s="1" t="s">
        <v>27</v>
      </c>
      <c r="C27" s="43">
        <v>0.421875</v>
      </c>
      <c r="E27" s="24"/>
      <c r="F27" s="24"/>
      <c r="G27" s="24"/>
      <c r="H27" s="24"/>
      <c r="I27" s="24"/>
      <c r="J27" s="24"/>
      <c r="K27" s="24"/>
    </row>
    <row r="28" spans="2:11">
      <c r="B28" s="1" t="s">
        <v>52</v>
      </c>
      <c r="C28" s="43">
        <v>1.2857142857142858</v>
      </c>
      <c r="E28" s="24"/>
      <c r="F28" s="24"/>
      <c r="G28" s="24"/>
      <c r="H28" s="24"/>
      <c r="I28" s="24"/>
      <c r="J28" s="24"/>
      <c r="K28" s="24"/>
    </row>
    <row r="29" spans="2:11">
      <c r="B29" s="1" t="s">
        <v>33</v>
      </c>
      <c r="C29" s="40">
        <v>7</v>
      </c>
      <c r="E29" s="24"/>
      <c r="F29" s="24"/>
      <c r="G29" s="24"/>
      <c r="H29" s="24"/>
      <c r="I29" s="24"/>
      <c r="J29" s="24"/>
      <c r="K29" s="24"/>
    </row>
    <row r="30" spans="2:11">
      <c r="B30" s="1" t="s">
        <v>32</v>
      </c>
      <c r="C30" s="40">
        <v>7</v>
      </c>
      <c r="E30" s="31"/>
      <c r="F30" s="31"/>
      <c r="G30" s="31"/>
      <c r="H30" s="31"/>
      <c r="I30" s="31"/>
      <c r="J30" s="31"/>
      <c r="K30" s="31"/>
    </row>
    <row r="31" spans="2:11">
      <c r="B31" s="1" t="s">
        <v>467</v>
      </c>
      <c r="C31" s="40"/>
      <c r="E31" s="31"/>
      <c r="F31" s="31"/>
      <c r="G31" s="31"/>
      <c r="H31" s="31"/>
      <c r="I31" s="31"/>
      <c r="J31" s="31"/>
      <c r="K31" s="31"/>
    </row>
    <row r="32" spans="2:11" ht="15" customHeight="1">
      <c r="B32" s="1" t="s">
        <v>465</v>
      </c>
      <c r="C32" s="41">
        <v>5.5483870967741939</v>
      </c>
      <c r="E32" s="24"/>
      <c r="F32" s="24"/>
      <c r="G32" s="24"/>
      <c r="H32" s="24"/>
      <c r="I32" s="24"/>
      <c r="J32" s="24"/>
      <c r="K32" s="24"/>
    </row>
    <row r="33" spans="2:11" ht="15" customHeight="1">
      <c r="B33" s="1" t="s">
        <v>466</v>
      </c>
      <c r="C33" s="41">
        <v>5</v>
      </c>
      <c r="E33" s="24"/>
      <c r="F33" s="24"/>
      <c r="G33" s="24"/>
      <c r="H33" s="24"/>
      <c r="I33" s="24"/>
      <c r="J33" s="24"/>
      <c r="K33" s="24"/>
    </row>
    <row r="34" spans="2:11">
      <c r="B34" s="44" t="s">
        <v>36</v>
      </c>
      <c r="C34" s="41">
        <v>1.2258064516129032</v>
      </c>
    </row>
    <row r="36" spans="2:11" ht="15.75">
      <c r="B36" s="79" t="s">
        <v>264</v>
      </c>
    </row>
  </sheetData>
  <sheetProtection selectLockedCells="1" selectUnlockedCells="1"/>
  <sortState ref="E17:K24">
    <sortCondition descending="1" ref="G17:G24"/>
    <sortCondition ref="E17:E24"/>
  </sortState>
  <dataValidations count="1">
    <dataValidation type="whole" allowBlank="1" showInputMessage="1" showErrorMessage="1" errorTitle="Presence/Absence Data" error="Enter 1 if present" sqref="D1:D6 E6:K6">
      <formula1>1</formula1>
      <formula2>1</formula2>
    </dataValidation>
  </dataValidations>
  <printOptions headings="1" gridLines="1"/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5"/>
  <sheetViews>
    <sheetView tabSelected="1" zoomScale="85" workbookViewId="0">
      <pane xSplit="2" ySplit="1" topLeftCell="C7" activePane="bottomRight" state="frozen"/>
      <selection pane="topRight" activeCell="B1" sqref="B1"/>
      <selection pane="bottomLeft" activeCell="A2" sqref="A2"/>
      <selection pane="bottomRight" activeCell="R25" sqref="R25"/>
    </sheetView>
  </sheetViews>
  <sheetFormatPr defaultColWidth="5.7109375" defaultRowHeight="12.75"/>
  <cols>
    <col min="1" max="1" width="13.140625" customWidth="1"/>
    <col min="2" max="2" width="77.140625" bestFit="1" customWidth="1"/>
    <col min="3" max="3" width="10.28515625" style="39" bestFit="1" customWidth="1"/>
    <col min="4" max="4" width="6.7109375" style="31" customWidth="1"/>
    <col min="5" max="11" width="6.7109375" customWidth="1"/>
    <col min="12" max="16384" width="5.7109375" style="24"/>
  </cols>
  <sheetData>
    <row r="1" spans="1:12" s="12" customFormat="1" ht="138.6" customHeight="1">
      <c r="A1" s="49"/>
      <c r="B1" s="38" t="s">
        <v>14</v>
      </c>
      <c r="C1" s="98" t="s">
        <v>12</v>
      </c>
      <c r="D1" s="100" t="s">
        <v>320</v>
      </c>
      <c r="E1" s="101" t="s">
        <v>336</v>
      </c>
      <c r="F1" s="101" t="s">
        <v>384</v>
      </c>
      <c r="G1" s="101" t="s">
        <v>398</v>
      </c>
      <c r="H1" s="101" t="s">
        <v>406</v>
      </c>
      <c r="I1" s="101" t="s">
        <v>408</v>
      </c>
      <c r="J1" s="101" t="s">
        <v>414</v>
      </c>
      <c r="K1" s="101" t="s">
        <v>313</v>
      </c>
      <c r="L1" s="22"/>
    </row>
    <row r="2" spans="1:12" s="12" customFormat="1" ht="12.75" customHeight="1">
      <c r="A2" s="50" t="s">
        <v>45</v>
      </c>
      <c r="B2" s="48" t="s">
        <v>479</v>
      </c>
      <c r="C2" s="37"/>
      <c r="D2" s="26"/>
      <c r="E2" s="22"/>
      <c r="F2" s="22"/>
      <c r="G2" s="22"/>
      <c r="H2" s="22"/>
      <c r="I2" s="22"/>
      <c r="J2" s="22"/>
      <c r="K2" s="22"/>
    </row>
    <row r="3" spans="1:12" s="12" customFormat="1" ht="12.75" customHeight="1">
      <c r="A3" s="50" t="s">
        <v>24</v>
      </c>
      <c r="B3" s="48" t="s">
        <v>480</v>
      </c>
      <c r="C3" s="37"/>
      <c r="D3" s="26"/>
      <c r="E3" s="22"/>
      <c r="F3" s="22"/>
      <c r="G3" s="22"/>
      <c r="H3" s="22"/>
      <c r="I3" s="22"/>
      <c r="J3" s="22"/>
      <c r="K3" s="22"/>
    </row>
    <row r="4" spans="1:12" s="12" customFormat="1" ht="12.75" customHeight="1">
      <c r="A4" s="50" t="s">
        <v>25</v>
      </c>
      <c r="B4" s="48">
        <v>2079800</v>
      </c>
      <c r="C4" s="37"/>
      <c r="D4" s="26"/>
      <c r="E4" s="22"/>
      <c r="F4" s="22"/>
      <c r="G4" s="22"/>
      <c r="H4" s="22"/>
      <c r="I4" s="22"/>
      <c r="J4" s="22"/>
      <c r="K4" s="22"/>
    </row>
    <row r="5" spans="1:12" s="12" customFormat="1" ht="12.75" customHeight="1">
      <c r="A5" s="51" t="s">
        <v>37</v>
      </c>
      <c r="B5" s="55">
        <v>43232</v>
      </c>
      <c r="C5" s="37"/>
      <c r="D5" s="26"/>
      <c r="E5" s="22"/>
      <c r="F5" s="22"/>
      <c r="G5" s="22"/>
      <c r="H5" s="22"/>
      <c r="I5" s="22"/>
      <c r="J5" s="22"/>
      <c r="K5" s="22"/>
    </row>
    <row r="6" spans="1:12" s="12" customFormat="1" ht="15" customHeight="1">
      <c r="B6" s="11" t="s">
        <v>22</v>
      </c>
      <c r="C6" s="37"/>
      <c r="D6" s="26"/>
      <c r="E6" s="26"/>
      <c r="F6" s="26"/>
      <c r="G6" s="26"/>
      <c r="H6" s="26"/>
      <c r="I6" s="26"/>
      <c r="J6" s="26"/>
      <c r="K6" s="26"/>
    </row>
    <row r="7" spans="1:12">
      <c r="B7" s="1" t="s">
        <v>53</v>
      </c>
      <c r="C7" s="52"/>
      <c r="D7" s="34">
        <v>55</v>
      </c>
      <c r="E7" s="34">
        <v>21</v>
      </c>
      <c r="F7" s="34">
        <v>2</v>
      </c>
      <c r="G7" s="34">
        <v>5</v>
      </c>
      <c r="H7" s="34">
        <v>1</v>
      </c>
      <c r="I7" s="34">
        <v>8</v>
      </c>
      <c r="J7" s="34">
        <v>1</v>
      </c>
      <c r="K7" s="34">
        <v>48</v>
      </c>
    </row>
    <row r="8" spans="1:12" s="68" customFormat="1" ht="12.75" customHeight="1">
      <c r="A8" s="9"/>
      <c r="B8" s="8" t="s">
        <v>1</v>
      </c>
      <c r="C8" s="41"/>
      <c r="D8" s="35">
        <v>59.13978494623656</v>
      </c>
      <c r="E8" s="35">
        <v>22.58064516129032</v>
      </c>
      <c r="F8" s="35">
        <v>2.150537634408602</v>
      </c>
      <c r="G8" s="35">
        <v>5.376344086021505</v>
      </c>
      <c r="H8" s="35">
        <v>1.075268817204301</v>
      </c>
      <c r="I8" s="35">
        <v>8.6021505376344081</v>
      </c>
      <c r="J8" s="35">
        <v>1.075268817204301</v>
      </c>
      <c r="K8" s="35"/>
    </row>
    <row r="9" spans="1:12" s="67" customFormat="1" ht="12.75" customHeight="1">
      <c r="A9" s="44"/>
      <c r="B9" s="44" t="s">
        <v>13</v>
      </c>
      <c r="C9" s="41"/>
      <c r="D9" s="46">
        <v>90.163934426229503</v>
      </c>
      <c r="E9" s="46">
        <v>34.42622950819672</v>
      </c>
      <c r="F9" s="46">
        <v>3.278688524590164</v>
      </c>
      <c r="G9" s="46">
        <v>8.1967213114754092</v>
      </c>
      <c r="H9" s="46">
        <v>1.639344262295082</v>
      </c>
      <c r="I9" s="46">
        <v>13.114754098360656</v>
      </c>
      <c r="J9" s="46">
        <v>1.639344262295082</v>
      </c>
      <c r="K9" s="46">
        <v>78.688524590163937</v>
      </c>
    </row>
    <row r="10" spans="1:12" s="67" customFormat="1" ht="11.25" customHeight="1">
      <c r="A10" s="44"/>
      <c r="B10" s="44" t="s">
        <v>19</v>
      </c>
      <c r="C10" s="43"/>
      <c r="D10" s="46">
        <v>83.333333333333343</v>
      </c>
      <c r="E10" s="46">
        <v>31.818181818181817</v>
      </c>
      <c r="F10" s="46">
        <v>3.0303030303030303</v>
      </c>
      <c r="G10" s="46">
        <v>7.5757575757575761</v>
      </c>
      <c r="H10" s="46">
        <v>1.5151515151515151</v>
      </c>
      <c r="I10" s="46">
        <v>12.121212121212121</v>
      </c>
      <c r="J10" s="46">
        <v>1.5151515151515151</v>
      </c>
      <c r="K10" s="46">
        <v>72.727272727272734</v>
      </c>
    </row>
    <row r="11" spans="1:12" s="66" customFormat="1">
      <c r="A11" s="59"/>
      <c r="B11" s="44" t="s">
        <v>36</v>
      </c>
      <c r="C11" s="52">
        <v>1.7868852459016393</v>
      </c>
      <c r="D11" s="13">
        <v>1.7818181818181817</v>
      </c>
      <c r="E11" s="13">
        <v>1.1904761904761905</v>
      </c>
      <c r="F11" s="13">
        <v>1.5</v>
      </c>
      <c r="G11" s="13">
        <v>1.2</v>
      </c>
      <c r="H11" s="13">
        <v>1</v>
      </c>
      <c r="I11" s="13">
        <v>1.125</v>
      </c>
      <c r="J11" s="13">
        <v>2</v>
      </c>
      <c r="K11" s="13">
        <v>1.5416666666666667</v>
      </c>
    </row>
    <row r="12" spans="1:12" s="64" customFormat="1">
      <c r="A12" s="25"/>
      <c r="B12" s="15" t="s">
        <v>34</v>
      </c>
      <c r="C12" s="53"/>
      <c r="D12" s="36" t="s">
        <v>471</v>
      </c>
      <c r="E12" s="36" t="s">
        <v>471</v>
      </c>
      <c r="F12" s="36" t="s">
        <v>471</v>
      </c>
      <c r="G12" s="36" t="s">
        <v>471</v>
      </c>
      <c r="H12" s="36" t="s">
        <v>471</v>
      </c>
      <c r="I12" s="36" t="s">
        <v>471</v>
      </c>
      <c r="J12" s="36" t="s">
        <v>471</v>
      </c>
      <c r="K12" s="36" t="s">
        <v>471</v>
      </c>
    </row>
    <row r="13" spans="1:12" s="64" customFormat="1">
      <c r="B13" s="65" t="s">
        <v>35</v>
      </c>
      <c r="C13" s="63"/>
      <c r="D13" s="18" t="s">
        <v>481</v>
      </c>
      <c r="E13" s="18" t="s">
        <v>481</v>
      </c>
      <c r="F13" s="18" t="s">
        <v>481</v>
      </c>
      <c r="G13" s="18" t="s">
        <v>481</v>
      </c>
      <c r="H13" s="18" t="s">
        <v>481</v>
      </c>
      <c r="I13" s="18" t="s">
        <v>481</v>
      </c>
      <c r="J13" s="18" t="s">
        <v>481</v>
      </c>
      <c r="K13" s="18" t="s">
        <v>481</v>
      </c>
    </row>
    <row r="14" spans="1:12" s="69" customFormat="1">
      <c r="A14" s="17"/>
      <c r="B14" s="17" t="s">
        <v>2</v>
      </c>
      <c r="C14" s="13">
        <v>0.41172389871661458</v>
      </c>
      <c r="D14" s="18">
        <v>0.34975141634871082</v>
      </c>
      <c r="E14" s="18">
        <v>5.0988553590010394E-2</v>
      </c>
      <c r="F14" s="18">
        <v>4.6248121170077463E-4</v>
      </c>
      <c r="G14" s="18">
        <v>2.8905075731298414E-3</v>
      </c>
      <c r="H14" s="18">
        <v>1.1562030292519366E-4</v>
      </c>
      <c r="I14" s="18">
        <v>7.3996993872123941E-3</v>
      </c>
      <c r="J14" s="18">
        <v>1.1562030292519366E-4</v>
      </c>
      <c r="K14" s="18"/>
    </row>
    <row r="15" spans="1:12" s="60" customFormat="1">
      <c r="B15" s="61"/>
      <c r="C15" s="62"/>
      <c r="D15" s="30"/>
      <c r="E15" s="30"/>
      <c r="F15" s="30"/>
      <c r="G15" s="30"/>
      <c r="H15" s="30"/>
      <c r="I15" s="30"/>
      <c r="J15" s="30"/>
      <c r="K15" s="30"/>
    </row>
    <row r="16" spans="1:12" ht="18">
      <c r="B16" s="14" t="s">
        <v>23</v>
      </c>
      <c r="C16" s="70"/>
      <c r="D16" s="30"/>
      <c r="E16" s="24"/>
      <c r="F16" s="24"/>
      <c r="G16" s="24" t="s">
        <v>53</v>
      </c>
      <c r="H16" s="24" t="s">
        <v>1</v>
      </c>
      <c r="I16" s="24" t="s">
        <v>13</v>
      </c>
      <c r="J16" s="24" t="s">
        <v>19</v>
      </c>
      <c r="K16" s="24" t="s">
        <v>36</v>
      </c>
    </row>
    <row r="17" spans="2:11">
      <c r="B17" s="10" t="s">
        <v>316</v>
      </c>
      <c r="C17" s="40">
        <v>66</v>
      </c>
      <c r="E17" s="106" t="s">
        <v>472</v>
      </c>
      <c r="F17" s="24" t="s">
        <v>473</v>
      </c>
      <c r="G17" s="24">
        <v>55</v>
      </c>
      <c r="H17" s="66">
        <v>59.13978494623656</v>
      </c>
      <c r="I17" s="66">
        <v>90.163934426229503</v>
      </c>
      <c r="J17" s="66">
        <v>83.333333333333343</v>
      </c>
      <c r="K17" s="66">
        <v>1.7818181818181817</v>
      </c>
    </row>
    <row r="18" spans="2:11">
      <c r="B18" s="1" t="s">
        <v>48</v>
      </c>
      <c r="C18" s="40">
        <v>61</v>
      </c>
      <c r="D18" s="32"/>
      <c r="F18" s="188" t="s">
        <v>313</v>
      </c>
      <c r="G18" s="24">
        <v>48</v>
      </c>
      <c r="H18" s="169" t="s">
        <v>483</v>
      </c>
      <c r="I18" s="66">
        <v>78.688524590163937</v>
      </c>
      <c r="J18" s="66">
        <v>72.727272727272734</v>
      </c>
      <c r="K18" s="66">
        <v>1.5416666666666667</v>
      </c>
    </row>
    <row r="19" spans="2:11">
      <c r="B19" s="1" t="s">
        <v>49</v>
      </c>
      <c r="C19" s="40">
        <v>66</v>
      </c>
      <c r="E19" s="106" t="s">
        <v>71</v>
      </c>
      <c r="F19" s="24" t="s">
        <v>72</v>
      </c>
      <c r="G19" s="24">
        <v>21</v>
      </c>
      <c r="H19" s="66">
        <v>22.58064516129032</v>
      </c>
      <c r="I19" s="66">
        <v>34.42622950819672</v>
      </c>
      <c r="J19" s="66">
        <v>31.818181818181817</v>
      </c>
      <c r="K19" s="66">
        <v>1.1904761904761905</v>
      </c>
    </row>
    <row r="20" spans="2:11">
      <c r="B20" s="8" t="s">
        <v>19</v>
      </c>
      <c r="C20" s="41">
        <v>92.424242424242422</v>
      </c>
      <c r="E20" s="106" t="s">
        <v>172</v>
      </c>
      <c r="F20" s="24" t="s">
        <v>173</v>
      </c>
      <c r="G20" s="24">
        <v>8</v>
      </c>
      <c r="H20" s="66">
        <v>8.6021505376344081</v>
      </c>
      <c r="I20" s="66">
        <v>13.114754098360656</v>
      </c>
      <c r="J20" s="66">
        <v>12.121212121212121</v>
      </c>
      <c r="K20" s="66">
        <v>1.125</v>
      </c>
    </row>
    <row r="21" spans="2:11">
      <c r="B21" s="1" t="s">
        <v>3</v>
      </c>
      <c r="C21" s="41">
        <v>0.58827610128338548</v>
      </c>
      <c r="E21" s="106" t="s">
        <v>157</v>
      </c>
      <c r="F21" s="24" t="s">
        <v>298</v>
      </c>
      <c r="G21" s="24">
        <v>5</v>
      </c>
      <c r="H21" s="66">
        <v>5.376344086021505</v>
      </c>
      <c r="I21" s="66">
        <v>8.1967213114754092</v>
      </c>
      <c r="J21" s="66">
        <v>7.5757575757575761</v>
      </c>
      <c r="K21" s="66">
        <v>1.2</v>
      </c>
    </row>
    <row r="22" spans="2:11" ht="15" customHeight="1">
      <c r="B22" s="1" t="s">
        <v>265</v>
      </c>
      <c r="C22" s="41">
        <v>14</v>
      </c>
      <c r="E22" s="106" t="s">
        <v>134</v>
      </c>
      <c r="F22" s="24" t="s">
        <v>135</v>
      </c>
      <c r="G22" s="24">
        <v>2</v>
      </c>
      <c r="H22" s="66">
        <v>2.150537634408602</v>
      </c>
      <c r="I22" s="66">
        <v>3.278688524590164</v>
      </c>
      <c r="J22" s="66">
        <v>3.0303030303030303</v>
      </c>
      <c r="K22" s="66">
        <v>1.5</v>
      </c>
    </row>
    <row r="23" spans="2:11">
      <c r="B23" s="1" t="s">
        <v>50</v>
      </c>
      <c r="C23" s="42">
        <v>0</v>
      </c>
      <c r="E23" s="106" t="s">
        <v>258</v>
      </c>
      <c r="F23" s="24" t="s">
        <v>169</v>
      </c>
      <c r="G23" s="24">
        <v>1</v>
      </c>
      <c r="H23" s="66">
        <v>1.075268817204301</v>
      </c>
      <c r="I23" s="66">
        <v>1.639344262295082</v>
      </c>
      <c r="J23" s="66">
        <v>1.5151515151515151</v>
      </c>
      <c r="K23" s="66">
        <v>1</v>
      </c>
    </row>
    <row r="24" spans="2:11">
      <c r="B24" s="1" t="s">
        <v>26</v>
      </c>
      <c r="C24" s="42">
        <v>66</v>
      </c>
      <c r="E24" s="106" t="s">
        <v>183</v>
      </c>
      <c r="F24" s="24" t="s">
        <v>184</v>
      </c>
      <c r="G24" s="24">
        <v>1</v>
      </c>
      <c r="H24" s="66">
        <v>1.075268817204301</v>
      </c>
      <c r="I24" s="66">
        <v>1.639344262295082</v>
      </c>
      <c r="J24" s="66">
        <v>1.5151515151515151</v>
      </c>
      <c r="K24" s="66">
        <v>2</v>
      </c>
    </row>
    <row r="25" spans="2:11">
      <c r="B25" s="1" t="s">
        <v>31</v>
      </c>
      <c r="C25" s="43">
        <v>1.4090909090909092</v>
      </c>
      <c r="E25" s="24"/>
      <c r="F25" s="24"/>
      <c r="G25" s="24"/>
      <c r="H25" s="24"/>
      <c r="I25" s="24"/>
      <c r="J25" s="24"/>
      <c r="K25" s="24"/>
    </row>
    <row r="26" spans="2:11">
      <c r="B26" s="1" t="s">
        <v>51</v>
      </c>
      <c r="C26" s="43">
        <v>1.5245901639344261</v>
      </c>
      <c r="E26" s="24"/>
      <c r="F26" s="24" t="s">
        <v>484</v>
      </c>
      <c r="G26" s="24"/>
      <c r="H26" s="24"/>
      <c r="I26" s="24"/>
      <c r="J26" s="24"/>
      <c r="K26" s="24"/>
    </row>
    <row r="27" spans="2:11">
      <c r="B27" s="1" t="s">
        <v>27</v>
      </c>
      <c r="C27" s="43">
        <v>0.5757575757575758</v>
      </c>
      <c r="E27" s="24"/>
      <c r="F27" s="24"/>
      <c r="G27" s="24"/>
      <c r="H27" s="24"/>
      <c r="I27" s="24"/>
      <c r="J27" s="24"/>
      <c r="K27" s="24"/>
    </row>
    <row r="28" spans="2:11">
      <c r="B28" s="1" t="s">
        <v>52</v>
      </c>
      <c r="C28" s="43">
        <v>1.2666666666666666</v>
      </c>
      <c r="E28" s="24"/>
      <c r="F28" s="24"/>
      <c r="G28" s="24"/>
      <c r="H28" s="24"/>
      <c r="I28" s="24"/>
      <c r="J28" s="24"/>
      <c r="K28" s="24"/>
    </row>
    <row r="29" spans="2:11">
      <c r="B29" s="1" t="s">
        <v>33</v>
      </c>
      <c r="C29" s="40">
        <v>7</v>
      </c>
      <c r="E29" s="24"/>
      <c r="F29" s="24"/>
      <c r="G29" s="24"/>
      <c r="H29" s="24"/>
      <c r="I29" s="24"/>
      <c r="J29" s="24"/>
      <c r="K29" s="24"/>
    </row>
    <row r="30" spans="2:11">
      <c r="B30" s="1" t="s">
        <v>32</v>
      </c>
      <c r="C30" s="40">
        <v>7</v>
      </c>
      <c r="E30" s="31"/>
      <c r="F30" s="31"/>
      <c r="G30" s="31"/>
      <c r="H30" s="31"/>
      <c r="I30" s="31"/>
      <c r="J30" s="31"/>
      <c r="K30" s="31"/>
    </row>
    <row r="31" spans="2:11">
      <c r="B31" s="1" t="s">
        <v>467</v>
      </c>
      <c r="C31" s="40"/>
      <c r="E31" s="31"/>
      <c r="F31" s="31"/>
      <c r="G31" s="31"/>
      <c r="H31" s="31"/>
      <c r="I31" s="31"/>
      <c r="J31" s="31"/>
      <c r="K31" s="31"/>
    </row>
    <row r="32" spans="2:11" ht="15" customHeight="1">
      <c r="B32" s="1" t="s">
        <v>465</v>
      </c>
      <c r="C32" s="41">
        <v>7.0655737704918034</v>
      </c>
      <c r="E32" s="24"/>
      <c r="F32" s="24"/>
      <c r="G32" s="24"/>
      <c r="H32" s="24"/>
      <c r="I32" s="24"/>
      <c r="J32" s="24"/>
      <c r="K32" s="24"/>
    </row>
    <row r="33" spans="2:11" ht="15" customHeight="1">
      <c r="B33" s="1" t="s">
        <v>466</v>
      </c>
      <c r="C33" s="41">
        <v>7</v>
      </c>
      <c r="E33" s="24"/>
      <c r="F33" s="24"/>
      <c r="G33" s="24"/>
      <c r="H33" s="24"/>
      <c r="I33" s="24"/>
      <c r="J33" s="24"/>
      <c r="K33" s="24"/>
    </row>
    <row r="35" spans="2:11" ht="15.75">
      <c r="B35" s="79" t="s">
        <v>264</v>
      </c>
    </row>
  </sheetData>
  <sheetProtection selectLockedCells="1" selectUnlockedCells="1"/>
  <sortState ref="E17:K24">
    <sortCondition descending="1" ref="G17:G24"/>
    <sortCondition ref="E17:E24"/>
  </sortState>
  <dataValidations count="1">
    <dataValidation type="whole" allowBlank="1" showInputMessage="1" showErrorMessage="1" errorTitle="Presence/Absence Data" error="Enter 1 if present" sqref="D1:D6 E6:K6">
      <formula1>1</formula1>
      <formula2>1</formula2>
    </dataValidation>
  </dataValidations>
  <printOptions headings="1" gridLines="1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G45"/>
  <sheetViews>
    <sheetView workbookViewId="0">
      <selection activeCell="B21" sqref="B21"/>
    </sheetView>
  </sheetViews>
  <sheetFormatPr defaultRowHeight="12.75"/>
  <cols>
    <col min="1" max="1" width="14.7109375" bestFit="1" customWidth="1"/>
    <col min="2" max="2" width="19.28515625" bestFit="1" customWidth="1"/>
  </cols>
  <sheetData>
    <row r="1" spans="1:2">
      <c r="A1" s="1" t="s">
        <v>261</v>
      </c>
      <c r="B1" s="1" t="s">
        <v>262</v>
      </c>
    </row>
    <row r="2" spans="1:2">
      <c r="A2">
        <v>1</v>
      </c>
      <c r="B2">
        <f>COUNTIF('ENTRY '!G2:G67,"&lt;=1")</f>
        <v>0</v>
      </c>
    </row>
    <row r="3" spans="1:2">
      <c r="A3">
        <v>2</v>
      </c>
      <c r="B3">
        <f>COUNTIF('ENTRY '!G2:G67,"&lt;=2")-(B2)</f>
        <v>0</v>
      </c>
    </row>
    <row r="4" spans="1:2">
      <c r="A4">
        <v>3</v>
      </c>
      <c r="B4">
        <f>COUNTIF('ENTRY '!G2:G67,"&lt;=3")-(B2+B3)</f>
        <v>5</v>
      </c>
    </row>
    <row r="5" spans="1:2">
      <c r="A5">
        <v>4</v>
      </c>
      <c r="B5">
        <f>COUNTIF('ENTRY '!G2:G67,"&lt;=4")-(SUM(B2:B4))</f>
        <v>8</v>
      </c>
    </row>
    <row r="6" spans="1:2">
      <c r="A6">
        <v>5</v>
      </c>
      <c r="B6">
        <f>COUNTIF('ENTRY '!G2:G67,"&lt;=5")-(SUM(B2:B5))</f>
        <v>3</v>
      </c>
    </row>
    <row r="7" spans="1:2">
      <c r="A7">
        <v>6</v>
      </c>
      <c r="B7">
        <f>COUNTIF('ENTRY '!G2:G67,"&lt;=6")-(SUM(B2:B6))</f>
        <v>3</v>
      </c>
    </row>
    <row r="8" spans="1:2">
      <c r="A8">
        <v>7</v>
      </c>
      <c r="B8">
        <f>COUNTIF('ENTRY '!G2:G67,"&lt;=7")-(SUM(B2:B7))</f>
        <v>7</v>
      </c>
    </row>
    <row r="9" spans="1:2">
      <c r="A9">
        <v>8</v>
      </c>
      <c r="B9">
        <f>COUNTIF('ENTRY '!G2:G67,"&lt;=8")-(SUM(B2:B8))</f>
        <v>3</v>
      </c>
    </row>
    <row r="10" spans="1:2">
      <c r="A10">
        <v>9</v>
      </c>
      <c r="B10">
        <f>COUNTIF('ENTRY '!G2:G67,"&lt;=9")-(SUM(B2:B9))</f>
        <v>0</v>
      </c>
    </row>
    <row r="11" spans="1:2">
      <c r="A11">
        <v>10</v>
      </c>
      <c r="B11">
        <f>COUNTIF('ENTRY '!G2:G67,"&lt;=10")-(SUM(B2:B10))</f>
        <v>0</v>
      </c>
    </row>
    <row r="12" spans="1:2">
      <c r="A12">
        <v>11</v>
      </c>
      <c r="B12">
        <f>COUNTIF('ENTRY '!G2:G67,"&lt;=11")-(SUM(B2:B11))</f>
        <v>0</v>
      </c>
    </row>
    <row r="13" spans="1:2">
      <c r="A13">
        <v>12</v>
      </c>
      <c r="B13">
        <f>COUNTIF('ENTRY '!G2:G67,"&lt;=12")-(SUM(B2:B12))</f>
        <v>1</v>
      </c>
    </row>
    <row r="14" spans="1:2">
      <c r="A14">
        <v>13</v>
      </c>
      <c r="B14">
        <f>COUNTIF('ENTRY '!G2:G67,"&lt;=13")-(SUM(B2:B13))</f>
        <v>0</v>
      </c>
    </row>
    <row r="15" spans="1:2">
      <c r="A15">
        <v>14</v>
      </c>
      <c r="B15">
        <f>COUNTIF('ENTRY '!G2:G67,"&lt;=14")-(SUM(B2:B14))</f>
        <v>1</v>
      </c>
    </row>
    <row r="16" spans="1:2">
      <c r="A16">
        <v>15</v>
      </c>
      <c r="B16">
        <f>COUNTIF('ENTRY '!G2:G67,"&lt;=15")-(SUM(B2:B15))</f>
        <v>0</v>
      </c>
    </row>
    <row r="17" spans="1:2">
      <c r="A17">
        <v>16</v>
      </c>
      <c r="B17">
        <f>COUNTIF('ENTRY '!G2:G67,"&lt;=16")-(SUM(B2:B16))</f>
        <v>0</v>
      </c>
    </row>
    <row r="18" spans="1:2">
      <c r="A18">
        <v>17</v>
      </c>
      <c r="B18">
        <f>COUNTIF('ENTRY '!G2:G67,"&lt;=17")-(SUM(B2:B17))</f>
        <v>0</v>
      </c>
    </row>
    <row r="19" spans="1:2">
      <c r="A19">
        <v>18</v>
      </c>
      <c r="B19">
        <f>COUNTIF('ENTRY '!G2:G67,"&lt;=18")-(SUM(B2:B18))</f>
        <v>0</v>
      </c>
    </row>
    <row r="20" spans="1:2">
      <c r="A20">
        <v>19</v>
      </c>
      <c r="B20">
        <f>COUNTIF('ENTRY '!G2:G67,"&lt;=19")-(SUM(B2:B19))</f>
        <v>0</v>
      </c>
    </row>
    <row r="21" spans="1:2">
      <c r="A21">
        <v>20</v>
      </c>
      <c r="B21">
        <f>COUNTIF('ENTRY '!G2:G67,"&lt;=20")-(SUM(B2:B20))</f>
        <v>0</v>
      </c>
    </row>
    <row r="22" spans="1:2">
      <c r="A22">
        <v>21</v>
      </c>
      <c r="B22">
        <f>COUNTIF('ENTRY '!G2:G67,"&lt;=21")-(SUM(B2:B21))</f>
        <v>0</v>
      </c>
    </row>
    <row r="23" spans="1:2">
      <c r="A23">
        <v>22</v>
      </c>
      <c r="B23">
        <f>COUNTIF('ENTRY '!G2:G67,"&lt;=22")-(SUM(B2:B22))</f>
        <v>0</v>
      </c>
    </row>
    <row r="24" spans="1:2">
      <c r="A24">
        <v>23</v>
      </c>
      <c r="B24">
        <f>COUNTIF('ENTRY '!G2:G67,"&lt;=23")-(SUM(B2:B23))</f>
        <v>0</v>
      </c>
    </row>
    <row r="25" spans="1:2">
      <c r="A25">
        <v>24</v>
      </c>
      <c r="B25">
        <f>COUNTIF('ENTRY '!G2:G67,"&lt;=24")-(SUM(B2:B24))</f>
        <v>0</v>
      </c>
    </row>
    <row r="26" spans="1:2">
      <c r="A26">
        <v>25</v>
      </c>
      <c r="B26">
        <f>COUNTIF('ENTRY '!G2:G67,"&lt;=25")-(SUM(B2:B25))</f>
        <v>0</v>
      </c>
    </row>
    <row r="27" spans="1:2">
      <c r="A27">
        <v>26</v>
      </c>
      <c r="B27">
        <f>COUNTIF('ENTRY '!G2:G67,"&lt;=26")-(SUM(B2:B26))</f>
        <v>0</v>
      </c>
    </row>
    <row r="28" spans="1:2">
      <c r="A28">
        <v>27</v>
      </c>
      <c r="B28">
        <f>COUNTIF('ENTRY '!G2:G67,"&lt;=27")-(SUM(B2:B27))</f>
        <v>0</v>
      </c>
    </row>
    <row r="29" spans="1:2">
      <c r="A29">
        <v>28</v>
      </c>
      <c r="B29">
        <f>COUNTIF('ENTRY '!G2:G67,"&lt;=28")-(SUM(B2:B28))</f>
        <v>0</v>
      </c>
    </row>
    <row r="30" spans="1:2">
      <c r="A30">
        <v>29</v>
      </c>
      <c r="B30">
        <f>COUNTIF('ENTRY '!G2:G67,"&lt;=29")-(SUM(B2:B29))</f>
        <v>0</v>
      </c>
    </row>
    <row r="31" spans="1:2">
      <c r="A31">
        <v>30</v>
      </c>
      <c r="B31">
        <f>COUNTIF('ENTRY '!G2:G67,"&lt;=30")-(SUM(B2:B30))</f>
        <v>0</v>
      </c>
    </row>
    <row r="32" spans="1:2">
      <c r="A32">
        <v>31</v>
      </c>
      <c r="B32">
        <f>COUNTIF('ENTRY '!G2:G67,"&lt;=31")-(SUM(B2:B31))</f>
        <v>0</v>
      </c>
    </row>
    <row r="33" spans="1:7">
      <c r="A33">
        <v>32</v>
      </c>
      <c r="B33">
        <f>COUNTIF('ENTRY '!G2:G67,"&lt;=32")-(SUM(B2:B32))</f>
        <v>0</v>
      </c>
    </row>
    <row r="34" spans="1:7">
      <c r="A34">
        <v>33</v>
      </c>
      <c r="B34">
        <f>COUNTIF('ENTRY '!G2:G67,"&lt;=33")-(SUM(B2:B33))</f>
        <v>0</v>
      </c>
    </row>
    <row r="35" spans="1:7">
      <c r="A35">
        <v>34</v>
      </c>
      <c r="B35">
        <f>COUNTIF('ENTRY '!G2:G67,"&lt;=34")-(SUM(B2:B34))</f>
        <v>0</v>
      </c>
    </row>
    <row r="36" spans="1:7">
      <c r="A36">
        <v>35</v>
      </c>
      <c r="B36">
        <f>COUNTIF('ENTRY '!G2:G67,"&lt;=35")-(SUM(B2:B35))</f>
        <v>0</v>
      </c>
    </row>
    <row r="37" spans="1:7">
      <c r="A37">
        <v>36</v>
      </c>
      <c r="B37">
        <f>COUNTIF('ENTRY '!G2:G67,"&lt;=36")-(SUM(B2:B36))</f>
        <v>0</v>
      </c>
    </row>
    <row r="38" spans="1:7">
      <c r="A38">
        <v>37</v>
      </c>
      <c r="B38">
        <f>COUNTIF('ENTRY '!G2:G67,"&lt;=37")-(SUM(B2:B37))</f>
        <v>0</v>
      </c>
    </row>
    <row r="39" spans="1:7">
      <c r="A39">
        <v>38</v>
      </c>
      <c r="B39">
        <f>COUNTIF('ENTRY '!G2:G67,"&lt;=38")-(SUM(B2:B38))</f>
        <v>0</v>
      </c>
    </row>
    <row r="40" spans="1:7">
      <c r="A40">
        <v>39</v>
      </c>
      <c r="B40">
        <f>COUNTIF('ENTRY '!G2:G67,"&lt;=39")-(SUM(B2:B39))</f>
        <v>0</v>
      </c>
    </row>
    <row r="41" spans="1:7">
      <c r="A41">
        <v>40</v>
      </c>
      <c r="B41">
        <f>COUNTIF('ENTRY '!G2:G67,"&lt;=40")-(SUM(B2:B40))</f>
        <v>0</v>
      </c>
    </row>
    <row r="43" spans="1:7" ht="13.5" thickBot="1">
      <c r="G43" s="78"/>
    </row>
    <row r="44" spans="1:7" ht="15">
      <c r="A44" s="81" t="s">
        <v>312</v>
      </c>
      <c r="B44" s="82"/>
      <c r="C44" s="82"/>
      <c r="D44" s="82"/>
      <c r="E44" s="82"/>
      <c r="F44" s="83"/>
      <c r="G44" s="87"/>
    </row>
    <row r="45" spans="1:7" ht="15" thickBot="1">
      <c r="A45" s="84" t="s">
        <v>311</v>
      </c>
      <c r="B45" s="85"/>
      <c r="C45" s="85"/>
      <c r="D45" s="85"/>
      <c r="E45" s="85"/>
      <c r="F45" s="86"/>
      <c r="G45" s="88"/>
    </row>
  </sheetData>
  <phoneticPr fontId="10" type="noConversion"/>
  <pageMargins left="0.75" right="0.75" top="1" bottom="1" header="0.5" footer="0.5"/>
  <pageSetup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K144"/>
  <sheetViews>
    <sheetView topLeftCell="A109" zoomScale="85" workbookViewId="0">
      <selection activeCell="D125" sqref="D125"/>
    </sheetView>
  </sheetViews>
  <sheetFormatPr defaultColWidth="23.7109375" defaultRowHeight="12.75"/>
  <cols>
    <col min="1" max="1" width="37.42578125" style="114" bestFit="1" customWidth="1"/>
    <col min="2" max="2" width="29.42578125" style="114" customWidth="1"/>
    <col min="3" max="3" width="14" style="114" bestFit="1" customWidth="1"/>
    <col min="4" max="4" width="20.140625" style="114" bestFit="1" customWidth="1"/>
    <col min="5" max="5" width="12" style="114" customWidth="1"/>
    <col min="6" max="9" width="23.7109375" style="114" customWidth="1"/>
    <col min="10" max="10" width="29.28515625" style="114" customWidth="1"/>
    <col min="11" max="16384" width="23.7109375" style="114"/>
  </cols>
  <sheetData>
    <row r="1" spans="1:11" ht="15">
      <c r="A1" s="108"/>
      <c r="B1" s="109"/>
      <c r="C1" s="110" t="s">
        <v>45</v>
      </c>
      <c r="D1" s="111" t="str">
        <f>IF('ENTRY '!I2="","",'ENTRY '!I2)</f>
        <v>Upper Turtle Lake</v>
      </c>
      <c r="E1" s="112"/>
      <c r="F1" s="113"/>
      <c r="G1" s="113"/>
      <c r="H1" s="113"/>
      <c r="I1" s="113"/>
      <c r="J1" s="113"/>
      <c r="K1" s="113"/>
    </row>
    <row r="2" spans="1:11" ht="15">
      <c r="A2" s="108"/>
      <c r="B2" s="109"/>
      <c r="C2" s="115" t="s">
        <v>24</v>
      </c>
      <c r="D2" s="116" t="str">
        <f>IF('ENTRY '!I3="","",'ENTRY '!I3)</f>
        <v>Barron Co.</v>
      </c>
      <c r="E2" s="112"/>
      <c r="F2" s="113"/>
      <c r="G2" s="113"/>
      <c r="H2" s="113"/>
      <c r="I2" s="113"/>
      <c r="J2" s="113"/>
      <c r="K2" s="113"/>
    </row>
    <row r="3" spans="1:11" ht="18.75">
      <c r="A3" s="108"/>
      <c r="B3" s="109"/>
      <c r="C3" s="115" t="s">
        <v>43</v>
      </c>
      <c r="D3" s="117">
        <f>IF('ENTRY '!I5="","",'ENTRY '!I5)</f>
        <v>43269</v>
      </c>
      <c r="E3" s="118"/>
      <c r="F3" s="119"/>
    </row>
    <row r="4" spans="1:11" ht="15.75" customHeight="1">
      <c r="A4" s="108"/>
      <c r="B4" s="109"/>
      <c r="C4" s="120" t="s">
        <v>317</v>
      </c>
      <c r="D4" s="121"/>
      <c r="E4" s="118"/>
    </row>
    <row r="5" spans="1:11" ht="15">
      <c r="A5" s="108"/>
      <c r="B5" s="109"/>
      <c r="C5" s="120" t="s">
        <v>318</v>
      </c>
      <c r="D5" s="121"/>
      <c r="E5" s="118"/>
    </row>
    <row r="6" spans="1:11" ht="15.75" thickBot="1">
      <c r="A6" s="108"/>
      <c r="B6" s="109"/>
      <c r="C6" s="122" t="s">
        <v>54</v>
      </c>
      <c r="D6" s="123"/>
      <c r="E6" s="118"/>
    </row>
    <row r="7" spans="1:11" ht="15.75" thickBot="1">
      <c r="A7" s="108"/>
      <c r="B7" s="109"/>
      <c r="C7" s="108"/>
      <c r="D7" s="108"/>
      <c r="E7" s="118"/>
    </row>
    <row r="8" spans="1:11" ht="15.75" thickBot="1">
      <c r="A8" s="124" t="s">
        <v>55</v>
      </c>
      <c r="B8" s="125" t="s">
        <v>56</v>
      </c>
      <c r="C8" s="126" t="s">
        <v>57</v>
      </c>
      <c r="D8" s="127" t="s">
        <v>58</v>
      </c>
      <c r="E8" s="128"/>
    </row>
    <row r="9" spans="1:11" ht="14.25" customHeight="1" thickBot="1">
      <c r="A9" s="129" t="s">
        <v>288</v>
      </c>
      <c r="B9" s="130" t="s">
        <v>287</v>
      </c>
      <c r="C9" s="131">
        <v>7</v>
      </c>
      <c r="D9" s="132">
        <f>IF(STATS!F7&lt;&gt;"",1,0)</f>
        <v>0</v>
      </c>
      <c r="E9" s="133">
        <f t="shared" ref="E9:E42" si="0">C9*D9</f>
        <v>0</v>
      </c>
    </row>
    <row r="10" spans="1:11" ht="14.25" customHeight="1">
      <c r="A10" s="134" t="s">
        <v>59</v>
      </c>
      <c r="B10" s="135" t="s">
        <v>269</v>
      </c>
      <c r="C10" s="136">
        <v>4</v>
      </c>
      <c r="D10" s="132">
        <f>IF(STATS!G7&lt;&gt;"",1,0)</f>
        <v>0</v>
      </c>
      <c r="E10" s="133">
        <f t="shared" si="0"/>
        <v>0</v>
      </c>
    </row>
    <row r="11" spans="1:11" ht="14.25" customHeight="1">
      <c r="A11" s="137" t="s">
        <v>310</v>
      </c>
      <c r="B11" s="135" t="s">
        <v>112</v>
      </c>
      <c r="C11" s="136">
        <v>8</v>
      </c>
      <c r="D11" s="138">
        <f>IF(STATS!H7&lt;&gt;"",1,0)</f>
        <v>0</v>
      </c>
      <c r="E11" s="133">
        <f t="shared" si="0"/>
        <v>0</v>
      </c>
    </row>
    <row r="12" spans="1:11" ht="14.25" customHeight="1">
      <c r="A12" s="134" t="s">
        <v>60</v>
      </c>
      <c r="B12" s="139" t="s">
        <v>270</v>
      </c>
      <c r="C12" s="136">
        <v>6</v>
      </c>
      <c r="D12" s="138">
        <f>IF(STATS!I7&lt;&gt;"",1,0)</f>
        <v>0</v>
      </c>
      <c r="E12" s="133">
        <f t="shared" si="0"/>
        <v>0</v>
      </c>
    </row>
    <row r="13" spans="1:11" ht="14.25" customHeight="1">
      <c r="A13" s="137" t="s">
        <v>61</v>
      </c>
      <c r="B13" s="135" t="s">
        <v>62</v>
      </c>
      <c r="C13" s="140">
        <v>6</v>
      </c>
      <c r="D13" s="138">
        <f>IF(STATS!J7&lt;&gt;"",1,0)</f>
        <v>0</v>
      </c>
      <c r="E13" s="133">
        <f t="shared" si="0"/>
        <v>0</v>
      </c>
    </row>
    <row r="14" spans="1:11" ht="14.25" customHeight="1">
      <c r="A14" s="137" t="s">
        <v>63</v>
      </c>
      <c r="B14" s="135" t="s">
        <v>271</v>
      </c>
      <c r="C14" s="140">
        <v>9</v>
      </c>
      <c r="D14" s="138">
        <f>IF(STATS!K7&lt;&gt;"",1,0)</f>
        <v>0</v>
      </c>
      <c r="E14" s="133">
        <f t="shared" si="0"/>
        <v>0</v>
      </c>
    </row>
    <row r="15" spans="1:11" ht="14.25" customHeight="1">
      <c r="A15" s="134" t="s">
        <v>64</v>
      </c>
      <c r="B15" s="135" t="s">
        <v>289</v>
      </c>
      <c r="C15" s="136">
        <v>9</v>
      </c>
      <c r="D15" s="138">
        <f>IF(STATS!L7&lt;&gt;"",1,0)</f>
        <v>0</v>
      </c>
      <c r="E15" s="133">
        <f t="shared" si="0"/>
        <v>0</v>
      </c>
    </row>
    <row r="16" spans="1:11" ht="14.25" customHeight="1">
      <c r="A16" s="134" t="s">
        <v>65</v>
      </c>
      <c r="B16" s="135" t="s">
        <v>290</v>
      </c>
      <c r="C16" s="136">
        <v>9</v>
      </c>
      <c r="D16" s="138">
        <f>IF(STATS!M7&lt;&gt;"",1,0)</f>
        <v>0</v>
      </c>
      <c r="E16" s="133">
        <f t="shared" si="0"/>
        <v>0</v>
      </c>
    </row>
    <row r="17" spans="1:5" ht="14.25" customHeight="1">
      <c r="A17" s="137" t="s">
        <v>66</v>
      </c>
      <c r="B17" s="135" t="s">
        <v>291</v>
      </c>
      <c r="C17" s="140">
        <v>8</v>
      </c>
      <c r="D17" s="138">
        <f>IF(STATS!N7&lt;&gt;"",1,0)</f>
        <v>0</v>
      </c>
      <c r="E17" s="133">
        <f t="shared" si="0"/>
        <v>0</v>
      </c>
    </row>
    <row r="18" spans="1:5" ht="14.25" customHeight="1">
      <c r="A18" s="137" t="s">
        <v>67</v>
      </c>
      <c r="B18" s="135" t="s">
        <v>68</v>
      </c>
      <c r="C18" s="140">
        <v>5</v>
      </c>
      <c r="D18" s="138">
        <f>IF(STATS!O7&lt;&gt;"",1,0)</f>
        <v>0</v>
      </c>
      <c r="E18" s="133">
        <f t="shared" si="0"/>
        <v>0</v>
      </c>
    </row>
    <row r="19" spans="1:5" ht="14.25" customHeight="1">
      <c r="A19" s="137" t="s">
        <v>69</v>
      </c>
      <c r="B19" s="141" t="s">
        <v>70</v>
      </c>
      <c r="C19" s="140">
        <v>10</v>
      </c>
      <c r="D19" s="138">
        <f>IF(STATS!P7&lt;&gt;"",1,0)</f>
        <v>0</v>
      </c>
      <c r="E19" s="133">
        <f t="shared" si="0"/>
        <v>0</v>
      </c>
    </row>
    <row r="20" spans="1:5" ht="14.25" customHeight="1">
      <c r="A20" s="137" t="s">
        <v>71</v>
      </c>
      <c r="B20" s="135" t="s">
        <v>72</v>
      </c>
      <c r="C20" s="140">
        <v>3</v>
      </c>
      <c r="D20" s="138">
        <f>IF(STATS!Q7&lt;&gt;"",1,0)</f>
        <v>1</v>
      </c>
      <c r="E20" s="133">
        <f t="shared" si="0"/>
        <v>3</v>
      </c>
    </row>
    <row r="21" spans="1:5" ht="14.25" customHeight="1">
      <c r="A21" s="134" t="s">
        <v>73</v>
      </c>
      <c r="B21" s="135" t="s">
        <v>268</v>
      </c>
      <c r="C21" s="136">
        <v>10</v>
      </c>
      <c r="D21" s="138">
        <f>IF(STATS!R7&lt;&gt;"",1,0)</f>
        <v>0</v>
      </c>
      <c r="E21" s="133">
        <f t="shared" si="0"/>
        <v>0</v>
      </c>
    </row>
    <row r="22" spans="1:5" ht="14.25" customHeight="1">
      <c r="A22" s="137" t="s">
        <v>505</v>
      </c>
      <c r="B22" s="135" t="s">
        <v>504</v>
      </c>
      <c r="C22" s="140">
        <v>7</v>
      </c>
      <c r="D22" s="138">
        <f>IF(STATS!S7&lt;&gt;"",1,0)</f>
        <v>0</v>
      </c>
      <c r="E22" s="133">
        <f t="shared" si="0"/>
        <v>0</v>
      </c>
    </row>
    <row r="23" spans="1:5" ht="14.25" customHeight="1">
      <c r="A23" s="137" t="s">
        <v>74</v>
      </c>
      <c r="B23" s="142" t="s">
        <v>75</v>
      </c>
      <c r="C23" s="140">
        <v>9</v>
      </c>
      <c r="D23" s="138">
        <f>IF(STATS!V7&lt;&gt;"",1,0)</f>
        <v>0</v>
      </c>
      <c r="E23" s="133">
        <f t="shared" si="0"/>
        <v>0</v>
      </c>
    </row>
    <row r="24" spans="1:5" ht="14.25" customHeight="1">
      <c r="A24" s="137" t="s">
        <v>76</v>
      </c>
      <c r="B24" s="135" t="s">
        <v>77</v>
      </c>
      <c r="C24" s="140">
        <v>9</v>
      </c>
      <c r="D24" s="138">
        <f>IF(STATS!W7&lt;&gt;"",1,0)</f>
        <v>0</v>
      </c>
      <c r="E24" s="133">
        <f t="shared" si="0"/>
        <v>0</v>
      </c>
    </row>
    <row r="25" spans="1:5" ht="14.25" customHeight="1">
      <c r="A25" s="134" t="s">
        <v>78</v>
      </c>
      <c r="B25" s="135" t="s">
        <v>272</v>
      </c>
      <c r="C25" s="136">
        <v>9</v>
      </c>
      <c r="D25" s="138">
        <f>IF(STATS!X7&lt;&gt;"",1,0)</f>
        <v>0</v>
      </c>
      <c r="E25" s="133">
        <f t="shared" si="0"/>
        <v>0</v>
      </c>
    </row>
    <row r="26" spans="1:5" ht="14.25" customHeight="1">
      <c r="A26" s="137" t="s">
        <v>79</v>
      </c>
      <c r="B26" s="135" t="s">
        <v>80</v>
      </c>
      <c r="C26" s="140">
        <v>5</v>
      </c>
      <c r="D26" s="138">
        <f>IF(STATS!Y7&lt;&gt;"",1,0)</f>
        <v>0</v>
      </c>
      <c r="E26" s="133">
        <f t="shared" si="0"/>
        <v>0</v>
      </c>
    </row>
    <row r="27" spans="1:5" ht="14.25" customHeight="1">
      <c r="A27" s="137" t="s">
        <v>81</v>
      </c>
      <c r="B27" s="141" t="s">
        <v>273</v>
      </c>
      <c r="C27" s="140">
        <v>3</v>
      </c>
      <c r="D27" s="138">
        <f>IF(STATS!Z7&lt;&gt;"",1,0)</f>
        <v>0</v>
      </c>
      <c r="E27" s="133">
        <f t="shared" si="0"/>
        <v>0</v>
      </c>
    </row>
    <row r="28" spans="1:5" ht="14.25" customHeight="1">
      <c r="A28" s="137" t="s">
        <v>82</v>
      </c>
      <c r="B28" s="135" t="s">
        <v>83</v>
      </c>
      <c r="C28" s="140">
        <v>6</v>
      </c>
      <c r="D28" s="138">
        <f>IF(STATS!AA7&lt;&gt;"",1,0)</f>
        <v>0</v>
      </c>
      <c r="E28" s="133">
        <f t="shared" si="0"/>
        <v>0</v>
      </c>
    </row>
    <row r="29" spans="1:5" ht="14.25" customHeight="1">
      <c r="A29" s="137" t="s">
        <v>84</v>
      </c>
      <c r="B29" s="135" t="s">
        <v>85</v>
      </c>
      <c r="C29" s="140">
        <v>3</v>
      </c>
      <c r="D29" s="138">
        <f>IF(STATS!AC7&lt;&gt;"",1,0)</f>
        <v>0</v>
      </c>
      <c r="E29" s="133">
        <f t="shared" si="0"/>
        <v>0</v>
      </c>
    </row>
    <row r="30" spans="1:5" ht="14.25" customHeight="1">
      <c r="A30" s="134" t="s">
        <v>86</v>
      </c>
      <c r="B30" s="135" t="s">
        <v>87</v>
      </c>
      <c r="C30" s="136">
        <v>7</v>
      </c>
      <c r="D30" s="138">
        <f>IF(STATS!AD7&lt;&gt;"",1,0)</f>
        <v>0</v>
      </c>
      <c r="E30" s="133">
        <f t="shared" si="0"/>
        <v>0</v>
      </c>
    </row>
    <row r="31" spans="1:5" ht="14.25" customHeight="1">
      <c r="A31" s="137" t="s">
        <v>88</v>
      </c>
      <c r="B31" s="135" t="s">
        <v>89</v>
      </c>
      <c r="C31" s="140">
        <v>7</v>
      </c>
      <c r="D31" s="138">
        <f>IF(STATS!AE7&lt;&gt;"",1,0)</f>
        <v>0</v>
      </c>
      <c r="E31" s="133">
        <f t="shared" si="0"/>
        <v>0</v>
      </c>
    </row>
    <row r="32" spans="1:5" ht="14.25" customHeight="1">
      <c r="A32" s="137" t="s">
        <v>90</v>
      </c>
      <c r="B32" s="135" t="s">
        <v>91</v>
      </c>
      <c r="C32" s="140">
        <v>9</v>
      </c>
      <c r="D32" s="138">
        <f>IF(STATS!AF7&lt;&gt;"",1,0)</f>
        <v>0</v>
      </c>
      <c r="E32" s="133">
        <f t="shared" si="0"/>
        <v>0</v>
      </c>
    </row>
    <row r="33" spans="1:5" ht="14.25" customHeight="1">
      <c r="A33" s="134" t="s">
        <v>92</v>
      </c>
      <c r="B33" s="135" t="s">
        <v>93</v>
      </c>
      <c r="C33" s="136">
        <v>8</v>
      </c>
      <c r="D33" s="138">
        <f>IF(STATS!AG7&lt;&gt;"",1,0)</f>
        <v>0</v>
      </c>
      <c r="E33" s="133">
        <f t="shared" si="0"/>
        <v>0</v>
      </c>
    </row>
    <row r="34" spans="1:5" ht="14.25" customHeight="1">
      <c r="A34" s="137" t="s">
        <v>94</v>
      </c>
      <c r="B34" s="135" t="s">
        <v>292</v>
      </c>
      <c r="C34" s="140">
        <v>10</v>
      </c>
      <c r="D34" s="138">
        <f>IF(STATS!AH7&lt;&gt;"",1,0)</f>
        <v>0</v>
      </c>
      <c r="E34" s="133">
        <f t="shared" si="0"/>
        <v>0</v>
      </c>
    </row>
    <row r="35" spans="1:5" ht="14.25" customHeight="1">
      <c r="A35" s="137" t="s">
        <v>95</v>
      </c>
      <c r="B35" s="135" t="s">
        <v>96</v>
      </c>
      <c r="C35" s="140">
        <v>6</v>
      </c>
      <c r="D35" s="138">
        <f>IF(STATS!AI7&lt;&gt;"",1,0)</f>
        <v>0</v>
      </c>
      <c r="E35" s="133">
        <f t="shared" si="0"/>
        <v>0</v>
      </c>
    </row>
    <row r="36" spans="1:5" ht="14.25" customHeight="1">
      <c r="A36" s="137" t="s">
        <v>97</v>
      </c>
      <c r="B36" s="135" t="s">
        <v>98</v>
      </c>
      <c r="C36" s="140">
        <v>8</v>
      </c>
      <c r="D36" s="138">
        <f>IF(STATS!AL7&lt;&gt;"",1,0)</f>
        <v>0</v>
      </c>
      <c r="E36" s="133">
        <f t="shared" si="0"/>
        <v>0</v>
      </c>
    </row>
    <row r="37" spans="1:5" ht="14.25" customHeight="1">
      <c r="A37" s="137" t="s">
        <v>99</v>
      </c>
      <c r="B37" s="135" t="s">
        <v>293</v>
      </c>
      <c r="C37" s="140">
        <v>8</v>
      </c>
      <c r="D37" s="138">
        <f>IF(STATS!AM7&lt;&gt;"",1,0)</f>
        <v>0</v>
      </c>
      <c r="E37" s="133">
        <f t="shared" si="0"/>
        <v>0</v>
      </c>
    </row>
    <row r="38" spans="1:5" ht="14.25" customHeight="1">
      <c r="A38" s="137" t="s">
        <v>497</v>
      </c>
      <c r="B38" s="135" t="s">
        <v>308</v>
      </c>
      <c r="C38" s="140">
        <v>8</v>
      </c>
      <c r="D38" s="138">
        <f>IF(STATS!AN7&lt;&gt;"",1,0)</f>
        <v>0</v>
      </c>
      <c r="E38" s="133">
        <f t="shared" si="0"/>
        <v>0</v>
      </c>
    </row>
    <row r="39" spans="1:5" ht="14.25" customHeight="1">
      <c r="A39" s="137" t="s">
        <v>259</v>
      </c>
      <c r="B39" s="135" t="s">
        <v>100</v>
      </c>
      <c r="C39" s="140">
        <v>8</v>
      </c>
      <c r="D39" s="138">
        <f>IF(STATS!AO7&lt;&gt;"",1,0)</f>
        <v>0</v>
      </c>
      <c r="E39" s="133">
        <f t="shared" si="0"/>
        <v>0</v>
      </c>
    </row>
    <row r="40" spans="1:5" ht="14.25" customHeight="1">
      <c r="A40" s="137" t="s">
        <v>101</v>
      </c>
      <c r="B40" s="141" t="s">
        <v>102</v>
      </c>
      <c r="C40" s="140">
        <v>4</v>
      </c>
      <c r="D40" s="138">
        <f>IF(STATS!AP7&lt;&gt;"",1,0)</f>
        <v>0</v>
      </c>
      <c r="E40" s="133">
        <f t="shared" si="0"/>
        <v>0</v>
      </c>
    </row>
    <row r="41" spans="1:5" ht="14.25" customHeight="1">
      <c r="A41" s="134" t="s">
        <v>103</v>
      </c>
      <c r="B41" s="135" t="s">
        <v>104</v>
      </c>
      <c r="C41" s="136">
        <v>4</v>
      </c>
      <c r="D41" s="138">
        <f>IF(STATS!AQ7&lt;&gt;"",1,0)</f>
        <v>0</v>
      </c>
      <c r="E41" s="133">
        <f t="shared" si="0"/>
        <v>0</v>
      </c>
    </row>
    <row r="42" spans="1:5" ht="14.25" customHeight="1">
      <c r="A42" s="134" t="s">
        <v>105</v>
      </c>
      <c r="B42" s="143" t="s">
        <v>106</v>
      </c>
      <c r="C42" s="136">
        <v>10</v>
      </c>
      <c r="D42" s="138">
        <f>IF(STATS!AR7&lt;&gt;"",1,0)</f>
        <v>0</v>
      </c>
      <c r="E42" s="133">
        <f t="shared" si="0"/>
        <v>0</v>
      </c>
    </row>
    <row r="43" spans="1:5" ht="14.25" customHeight="1">
      <c r="A43" s="134" t="s">
        <v>107</v>
      </c>
      <c r="B43" s="135" t="s">
        <v>276</v>
      </c>
      <c r="C43" s="136">
        <v>6</v>
      </c>
      <c r="D43" s="138">
        <f>IF(STATS!AS7&lt;&gt;"",1,0)</f>
        <v>0</v>
      </c>
      <c r="E43" s="133">
        <f t="shared" ref="E43:E74" si="1">C43*D43</f>
        <v>0</v>
      </c>
    </row>
    <row r="44" spans="1:5" ht="14.25" customHeight="1">
      <c r="A44" s="134" t="s">
        <v>294</v>
      </c>
      <c r="B44" s="135" t="s">
        <v>108</v>
      </c>
      <c r="C44" s="136">
        <v>10</v>
      </c>
      <c r="D44" s="138">
        <f>IF(STATS!AT7&lt;&gt;"",1,0)</f>
        <v>0</v>
      </c>
      <c r="E44" s="133">
        <f t="shared" si="1"/>
        <v>0</v>
      </c>
    </row>
    <row r="45" spans="1:5" ht="14.25" customHeight="1">
      <c r="A45" s="137" t="s">
        <v>109</v>
      </c>
      <c r="B45" s="135" t="s">
        <v>110</v>
      </c>
      <c r="C45" s="140">
        <v>10</v>
      </c>
      <c r="D45" s="138">
        <f>IF(STATS!AU7&lt;&gt;"",1,0)</f>
        <v>0</v>
      </c>
      <c r="E45" s="133">
        <f t="shared" si="1"/>
        <v>0</v>
      </c>
    </row>
    <row r="46" spans="1:5" ht="14.25" customHeight="1">
      <c r="A46" s="137" t="s">
        <v>111</v>
      </c>
      <c r="B46" s="143" t="s">
        <v>277</v>
      </c>
      <c r="C46" s="140">
        <v>4</v>
      </c>
      <c r="D46" s="138">
        <f>IF(STATS!AV7&lt;&gt;"",1,0)</f>
        <v>0</v>
      </c>
      <c r="E46" s="133">
        <f t="shared" si="1"/>
        <v>0</v>
      </c>
    </row>
    <row r="47" spans="1:5" ht="14.25" customHeight="1">
      <c r="A47" s="134" t="s">
        <v>113</v>
      </c>
      <c r="B47" s="135" t="s">
        <v>114</v>
      </c>
      <c r="C47" s="136">
        <v>10</v>
      </c>
      <c r="D47" s="138">
        <f>IF(STATS!AX7&lt;&gt;"",1,0)</f>
        <v>0</v>
      </c>
      <c r="E47" s="133">
        <f t="shared" si="1"/>
        <v>0</v>
      </c>
    </row>
    <row r="48" spans="1:5" ht="14.25" customHeight="1">
      <c r="A48" s="137" t="s">
        <v>115</v>
      </c>
      <c r="B48" s="135" t="s">
        <v>116</v>
      </c>
      <c r="C48" s="140">
        <v>8</v>
      </c>
      <c r="D48" s="138">
        <f>IF(STATS!AY7&lt;&gt;"",1,0)</f>
        <v>0</v>
      </c>
      <c r="E48" s="133">
        <f t="shared" si="1"/>
        <v>0</v>
      </c>
    </row>
    <row r="49" spans="1:5" ht="14.25" customHeight="1">
      <c r="A49" s="134" t="s">
        <v>117</v>
      </c>
      <c r="B49" s="135" t="s">
        <v>118</v>
      </c>
      <c r="C49" s="136">
        <v>7</v>
      </c>
      <c r="D49" s="138">
        <f>IF(STATS!AZ7&lt;&gt;"",1,0)</f>
        <v>0</v>
      </c>
      <c r="E49" s="133">
        <f t="shared" si="1"/>
        <v>0</v>
      </c>
    </row>
    <row r="50" spans="1:5" ht="14.25" customHeight="1">
      <c r="A50" s="134" t="s">
        <v>263</v>
      </c>
      <c r="B50" s="135" t="s">
        <v>119</v>
      </c>
      <c r="C50" s="136">
        <v>6</v>
      </c>
      <c r="D50" s="138">
        <f>IF(STATS!BA7&lt;&gt;"",1,0)</f>
        <v>0</v>
      </c>
      <c r="E50" s="133">
        <f t="shared" si="1"/>
        <v>0</v>
      </c>
    </row>
    <row r="51" spans="1:5" ht="14.25" customHeight="1">
      <c r="A51" s="137" t="s">
        <v>120</v>
      </c>
      <c r="B51" s="135" t="s">
        <v>121</v>
      </c>
      <c r="C51" s="140">
        <v>10</v>
      </c>
      <c r="D51" s="138">
        <f>IF(STATS!BB7&lt;&gt;"",1,0)</f>
        <v>0</v>
      </c>
      <c r="E51" s="133">
        <f t="shared" si="1"/>
        <v>0</v>
      </c>
    </row>
    <row r="52" spans="1:5" ht="14.25" customHeight="1">
      <c r="A52" s="137" t="s">
        <v>122</v>
      </c>
      <c r="B52" s="135" t="s">
        <v>123</v>
      </c>
      <c r="C52" s="140">
        <v>8</v>
      </c>
      <c r="D52" s="138">
        <f>IF(STATS!BC7&lt;&gt;"",1,0)</f>
        <v>0</v>
      </c>
      <c r="E52" s="133">
        <f t="shared" si="1"/>
        <v>0</v>
      </c>
    </row>
    <row r="53" spans="1:5" ht="14.25" customHeight="1">
      <c r="A53" s="137" t="s">
        <v>124</v>
      </c>
      <c r="B53" s="135" t="s">
        <v>297</v>
      </c>
      <c r="C53" s="140">
        <v>6</v>
      </c>
      <c r="D53" s="138">
        <f>IF(STATS!BD7&lt;&gt;"",1,0)</f>
        <v>0</v>
      </c>
      <c r="E53" s="133">
        <f t="shared" si="1"/>
        <v>0</v>
      </c>
    </row>
    <row r="54" spans="1:5" ht="14.25" customHeight="1">
      <c r="A54" s="137" t="s">
        <v>125</v>
      </c>
      <c r="B54" s="141" t="s">
        <v>296</v>
      </c>
      <c r="C54" s="140">
        <v>7</v>
      </c>
      <c r="D54" s="138">
        <f>IF(STATS!BE7&lt;&gt;"",1,0)</f>
        <v>0</v>
      </c>
      <c r="E54" s="133">
        <f t="shared" si="1"/>
        <v>0</v>
      </c>
    </row>
    <row r="55" spans="1:5" ht="14.25" customHeight="1">
      <c r="A55" s="137" t="s">
        <v>126</v>
      </c>
      <c r="B55" s="141" t="s">
        <v>295</v>
      </c>
      <c r="C55" s="140">
        <v>8</v>
      </c>
      <c r="D55" s="138">
        <f>IF(STATS!BF7&lt;&gt;"",1,0)</f>
        <v>0</v>
      </c>
      <c r="E55" s="133">
        <f t="shared" si="1"/>
        <v>0</v>
      </c>
    </row>
    <row r="56" spans="1:5" ht="14.25" customHeight="1">
      <c r="A56" s="134" t="s">
        <v>127</v>
      </c>
      <c r="B56" s="143" t="s">
        <v>278</v>
      </c>
      <c r="C56" s="136">
        <v>7</v>
      </c>
      <c r="D56" s="138">
        <f>IF(STATS!BH7&lt;&gt;"",1,0)</f>
        <v>0</v>
      </c>
      <c r="E56" s="133">
        <f t="shared" si="1"/>
        <v>0</v>
      </c>
    </row>
    <row r="57" spans="1:5" ht="14.25" customHeight="1">
      <c r="A57" s="137" t="s">
        <v>503</v>
      </c>
      <c r="B57" s="135" t="s">
        <v>128</v>
      </c>
      <c r="C57" s="140">
        <v>7</v>
      </c>
      <c r="D57" s="138">
        <f>IF(STATS!BI7&lt;&gt;"",1,0)</f>
        <v>0</v>
      </c>
      <c r="E57" s="133">
        <f t="shared" si="1"/>
        <v>0</v>
      </c>
    </row>
    <row r="58" spans="1:5" ht="14.25" customHeight="1">
      <c r="A58" s="134" t="s">
        <v>129</v>
      </c>
      <c r="B58" s="135" t="s">
        <v>130</v>
      </c>
      <c r="C58" s="136">
        <v>8</v>
      </c>
      <c r="D58" s="138">
        <f>IF(STATS!BJ7&lt;&gt;"",1,0)</f>
        <v>0</v>
      </c>
      <c r="E58" s="133">
        <f t="shared" si="1"/>
        <v>0</v>
      </c>
    </row>
    <row r="59" spans="1:5" ht="14.25" customHeight="1">
      <c r="A59" s="137" t="s">
        <v>131</v>
      </c>
      <c r="B59" s="135" t="s">
        <v>132</v>
      </c>
      <c r="C59" s="140">
        <v>9</v>
      </c>
      <c r="D59" s="138">
        <f>IF(STATS!BK7&lt;&gt;"",1,0)</f>
        <v>0</v>
      </c>
      <c r="E59" s="133">
        <f t="shared" si="1"/>
        <v>0</v>
      </c>
    </row>
    <row r="60" spans="1:5" ht="14.25" customHeight="1">
      <c r="A60" s="137" t="s">
        <v>498</v>
      </c>
      <c r="B60" s="135" t="s">
        <v>133</v>
      </c>
      <c r="C60" s="140">
        <v>9</v>
      </c>
      <c r="D60" s="138">
        <f>IF(STATS!BL7&lt;&gt;"",1,0)</f>
        <v>0</v>
      </c>
      <c r="E60" s="133">
        <f t="shared" si="1"/>
        <v>0</v>
      </c>
    </row>
    <row r="61" spans="1:5" ht="14.25" customHeight="1">
      <c r="A61" s="137" t="s">
        <v>134</v>
      </c>
      <c r="B61" s="135" t="s">
        <v>135</v>
      </c>
      <c r="C61" s="140">
        <v>6</v>
      </c>
      <c r="D61" s="138">
        <f>IF(STATS!BM7&lt;&gt;"",1,0)</f>
        <v>1</v>
      </c>
      <c r="E61" s="133">
        <f t="shared" si="1"/>
        <v>6</v>
      </c>
    </row>
    <row r="62" spans="1:5" ht="14.25" customHeight="1">
      <c r="A62" s="137" t="s">
        <v>136</v>
      </c>
      <c r="B62" s="135" t="s">
        <v>137</v>
      </c>
      <c r="C62" s="140">
        <v>6</v>
      </c>
      <c r="D62" s="138">
        <f>IF(STATS!BN7&lt;&gt;"",1,0)</f>
        <v>1</v>
      </c>
      <c r="E62" s="133">
        <f t="shared" si="1"/>
        <v>6</v>
      </c>
    </row>
    <row r="63" spans="1:5" ht="14.25" customHeight="1">
      <c r="A63" s="134" t="s">
        <v>138</v>
      </c>
      <c r="B63" s="135" t="s">
        <v>139</v>
      </c>
      <c r="C63" s="136">
        <v>1</v>
      </c>
      <c r="D63" s="138">
        <f>IF(STATS!BP7&lt;&gt;"",1,0)</f>
        <v>0</v>
      </c>
      <c r="E63" s="133">
        <f t="shared" si="1"/>
        <v>0</v>
      </c>
    </row>
    <row r="64" spans="1:5" ht="14.25" customHeight="1">
      <c r="A64" s="137" t="s">
        <v>140</v>
      </c>
      <c r="B64" s="135" t="s">
        <v>141</v>
      </c>
      <c r="C64" s="140">
        <v>5</v>
      </c>
      <c r="D64" s="138">
        <f>IF(STATS!BQ7&lt;&gt;"",1,0)</f>
        <v>0</v>
      </c>
      <c r="E64" s="133">
        <f t="shared" si="1"/>
        <v>0</v>
      </c>
    </row>
    <row r="65" spans="1:5" ht="14.25" customHeight="1">
      <c r="A65" s="137" t="s">
        <v>142</v>
      </c>
      <c r="B65" s="141" t="s">
        <v>143</v>
      </c>
      <c r="C65" s="140">
        <v>5</v>
      </c>
      <c r="D65" s="138">
        <f>IF(STATS!BR7&lt;&gt;"",1,0)</f>
        <v>0</v>
      </c>
      <c r="E65" s="133">
        <f t="shared" si="1"/>
        <v>0</v>
      </c>
    </row>
    <row r="66" spans="1:5" ht="14.25" customHeight="1">
      <c r="A66" s="137" t="s">
        <v>144</v>
      </c>
      <c r="B66" s="135" t="s">
        <v>145</v>
      </c>
      <c r="C66" s="140">
        <v>8</v>
      </c>
      <c r="D66" s="138">
        <f>IF(STATS!BS7&lt;&gt;"",1,0)</f>
        <v>0</v>
      </c>
      <c r="E66" s="133">
        <f t="shared" si="1"/>
        <v>0</v>
      </c>
    </row>
    <row r="67" spans="1:5" ht="14.25" customHeight="1">
      <c r="A67" s="137" t="s">
        <v>146</v>
      </c>
      <c r="B67" s="135" t="s">
        <v>147</v>
      </c>
      <c r="C67" s="140">
        <v>9</v>
      </c>
      <c r="D67" s="138">
        <f>IF(STATS!BT7&lt;&gt;"",1,0)</f>
        <v>0</v>
      </c>
      <c r="E67" s="133">
        <f t="shared" si="1"/>
        <v>0</v>
      </c>
    </row>
    <row r="68" spans="1:5" ht="14.25" customHeight="1">
      <c r="A68" s="137" t="s">
        <v>148</v>
      </c>
      <c r="B68" s="135" t="s">
        <v>149</v>
      </c>
      <c r="C68" s="140">
        <v>7</v>
      </c>
      <c r="D68" s="138">
        <f>IF(STATS!BU7&lt;&gt;"",1,0)</f>
        <v>0</v>
      </c>
      <c r="E68" s="133">
        <f t="shared" si="1"/>
        <v>0</v>
      </c>
    </row>
    <row r="69" spans="1:5" ht="14.25" customHeight="1">
      <c r="A69" s="137" t="s">
        <v>279</v>
      </c>
      <c r="B69" s="135" t="s">
        <v>280</v>
      </c>
      <c r="C69" s="140">
        <v>9</v>
      </c>
      <c r="D69" s="138">
        <f>IF(STATS!BV7&lt;&gt;"",1,0)</f>
        <v>0</v>
      </c>
      <c r="E69" s="133">
        <f t="shared" si="1"/>
        <v>0</v>
      </c>
    </row>
    <row r="70" spans="1:5" ht="14.25" customHeight="1">
      <c r="A70" s="137" t="s">
        <v>150</v>
      </c>
      <c r="B70" s="135" t="s">
        <v>151</v>
      </c>
      <c r="C70" s="140">
        <v>10</v>
      </c>
      <c r="D70" s="138">
        <f>IF(STATS!BW7&lt;&gt;"",1,0)</f>
        <v>0</v>
      </c>
      <c r="E70" s="133">
        <f t="shared" si="1"/>
        <v>0</v>
      </c>
    </row>
    <row r="71" spans="1:5" ht="14.25" customHeight="1">
      <c r="A71" s="134" t="s">
        <v>152</v>
      </c>
      <c r="B71" s="141" t="s">
        <v>281</v>
      </c>
      <c r="C71" s="136">
        <v>8</v>
      </c>
      <c r="D71" s="138">
        <f>IF(STATS!BX7&lt;&gt;"",1,0)</f>
        <v>0</v>
      </c>
      <c r="E71" s="133">
        <f t="shared" si="1"/>
        <v>0</v>
      </c>
    </row>
    <row r="72" spans="1:5" ht="14.25" customHeight="1">
      <c r="A72" s="137" t="s">
        <v>153</v>
      </c>
      <c r="B72" s="135" t="s">
        <v>154</v>
      </c>
      <c r="C72" s="140">
        <v>8</v>
      </c>
      <c r="D72" s="138">
        <f>IF(STATS!BY7&lt;&gt;"",1,0)</f>
        <v>0</v>
      </c>
      <c r="E72" s="133">
        <f t="shared" si="1"/>
        <v>0</v>
      </c>
    </row>
    <row r="73" spans="1:5" ht="14.25" customHeight="1">
      <c r="A73" s="134" t="s">
        <v>155</v>
      </c>
      <c r="B73" s="135" t="s">
        <v>156</v>
      </c>
      <c r="C73" s="136">
        <v>6</v>
      </c>
      <c r="D73" s="138">
        <f>IF(STATS!BZ7&lt;&gt;"",1,0)</f>
        <v>0</v>
      </c>
      <c r="E73" s="133">
        <f t="shared" si="1"/>
        <v>0</v>
      </c>
    </row>
    <row r="74" spans="1:5" ht="14.25" customHeight="1">
      <c r="A74" s="134" t="s">
        <v>157</v>
      </c>
      <c r="B74" s="135" t="s">
        <v>298</v>
      </c>
      <c r="C74" s="136">
        <v>8</v>
      </c>
      <c r="D74" s="138">
        <f>IF(STATS!CA7&lt;&gt;"",1,0)</f>
        <v>1</v>
      </c>
      <c r="E74" s="133">
        <f t="shared" si="1"/>
        <v>8</v>
      </c>
    </row>
    <row r="75" spans="1:5" ht="14.25" customHeight="1">
      <c r="A75" s="137" t="s">
        <v>158</v>
      </c>
      <c r="B75" s="135" t="s">
        <v>274</v>
      </c>
      <c r="C75" s="140">
        <v>7</v>
      </c>
      <c r="D75" s="138">
        <f>IF(STATS!CB7&lt;&gt;"",1,0)</f>
        <v>0</v>
      </c>
      <c r="E75" s="133">
        <f t="shared" ref="E75:E107" si="2">C75*D75</f>
        <v>0</v>
      </c>
    </row>
    <row r="76" spans="1:5" ht="14.25" customHeight="1">
      <c r="A76" s="134" t="s">
        <v>159</v>
      </c>
      <c r="B76" s="135" t="s">
        <v>160</v>
      </c>
      <c r="C76" s="136">
        <v>9</v>
      </c>
      <c r="D76" s="138">
        <f>IF(STATS!CC7&lt;&gt;"",1,0)</f>
        <v>0</v>
      </c>
      <c r="E76" s="133">
        <f t="shared" si="2"/>
        <v>0</v>
      </c>
    </row>
    <row r="77" spans="1:5" ht="14.25" customHeight="1">
      <c r="A77" s="134" t="s">
        <v>161</v>
      </c>
      <c r="B77" s="135" t="s">
        <v>162</v>
      </c>
      <c r="C77" s="136">
        <v>6</v>
      </c>
      <c r="D77" s="138">
        <f>IF(STATS!CD7&lt;&gt;"",1,0)</f>
        <v>0</v>
      </c>
      <c r="E77" s="133">
        <f t="shared" si="2"/>
        <v>0</v>
      </c>
    </row>
    <row r="78" spans="1:5" ht="14.25" customHeight="1">
      <c r="A78" s="137" t="s">
        <v>163</v>
      </c>
      <c r="B78" s="135" t="s">
        <v>282</v>
      </c>
      <c r="C78" s="140">
        <v>5</v>
      </c>
      <c r="D78" s="138">
        <f>IF(STATS!CE7&lt;&gt;"",1,0)</f>
        <v>0</v>
      </c>
      <c r="E78" s="133">
        <f t="shared" si="2"/>
        <v>0</v>
      </c>
    </row>
    <row r="79" spans="1:5" ht="14.25" customHeight="1">
      <c r="A79" s="134" t="s">
        <v>164</v>
      </c>
      <c r="B79" s="135" t="s">
        <v>165</v>
      </c>
      <c r="C79" s="136">
        <v>7</v>
      </c>
      <c r="D79" s="138">
        <f>IF(STATS!CF7&lt;&gt;"",1,0)</f>
        <v>0</v>
      </c>
      <c r="E79" s="133">
        <f t="shared" si="2"/>
        <v>0</v>
      </c>
    </row>
    <row r="80" spans="1:5" ht="14.25" customHeight="1">
      <c r="A80" s="137" t="s">
        <v>166</v>
      </c>
      <c r="B80" s="135" t="s">
        <v>299</v>
      </c>
      <c r="C80" s="140">
        <v>10</v>
      </c>
      <c r="D80" s="138">
        <f>IF(STATS!CG7&lt;&gt;"",1,0)</f>
        <v>0</v>
      </c>
      <c r="E80" s="133">
        <f t="shared" si="2"/>
        <v>0</v>
      </c>
    </row>
    <row r="81" spans="1:5" ht="14.25" customHeight="1">
      <c r="A81" s="134" t="s">
        <v>167</v>
      </c>
      <c r="B81" s="135" t="s">
        <v>168</v>
      </c>
      <c r="C81" s="136">
        <v>9</v>
      </c>
      <c r="D81" s="138">
        <f>IF(STATS!CH7&lt;&gt;"",1,0)</f>
        <v>0</v>
      </c>
      <c r="E81" s="133">
        <f t="shared" si="2"/>
        <v>0</v>
      </c>
    </row>
    <row r="82" spans="1:5" ht="14.25" customHeight="1">
      <c r="A82" s="137" t="s">
        <v>258</v>
      </c>
      <c r="B82" s="135" t="s">
        <v>169</v>
      </c>
      <c r="C82" s="140">
        <v>8</v>
      </c>
      <c r="D82" s="138">
        <f>IF(STATS!CI7&lt;&gt;"",1,0)</f>
        <v>1</v>
      </c>
      <c r="E82" s="133">
        <f t="shared" si="2"/>
        <v>8</v>
      </c>
    </row>
    <row r="83" spans="1:5" ht="14.25" customHeight="1">
      <c r="A83" s="134" t="s">
        <v>170</v>
      </c>
      <c r="B83" s="135" t="s">
        <v>171</v>
      </c>
      <c r="C83" s="136">
        <v>10</v>
      </c>
      <c r="D83" s="138">
        <f>IF(STATS!CJ7&lt;&gt;"",1,0)</f>
        <v>0</v>
      </c>
      <c r="E83" s="133">
        <f t="shared" si="2"/>
        <v>0</v>
      </c>
    </row>
    <row r="84" spans="1:5" ht="14.25" customHeight="1">
      <c r="A84" s="137" t="s">
        <v>172</v>
      </c>
      <c r="B84" s="135" t="s">
        <v>173</v>
      </c>
      <c r="C84" s="140">
        <v>7</v>
      </c>
      <c r="D84" s="138">
        <f>IF(STATS!CK7&lt;&gt;"",1,0)</f>
        <v>0</v>
      </c>
      <c r="E84" s="133">
        <f t="shared" si="2"/>
        <v>0</v>
      </c>
    </row>
    <row r="85" spans="1:5" ht="14.25" customHeight="1">
      <c r="A85" s="137" t="s">
        <v>174</v>
      </c>
      <c r="B85" s="135" t="s">
        <v>175</v>
      </c>
      <c r="C85" s="140">
        <v>5</v>
      </c>
      <c r="D85" s="138">
        <f>IF(STATS!CL7&lt;&gt;"",1,0)</f>
        <v>0</v>
      </c>
      <c r="E85" s="133">
        <f t="shared" si="2"/>
        <v>0</v>
      </c>
    </row>
    <row r="86" spans="1:5" ht="14.25" customHeight="1">
      <c r="A86" s="137" t="s">
        <v>176</v>
      </c>
      <c r="B86" s="135" t="s">
        <v>300</v>
      </c>
      <c r="C86" s="140">
        <v>8</v>
      </c>
      <c r="D86" s="138">
        <f>IF(STATS!CM7&lt;&gt;"",1,0)</f>
        <v>0</v>
      </c>
      <c r="E86" s="133">
        <f t="shared" si="2"/>
        <v>0</v>
      </c>
    </row>
    <row r="87" spans="1:5" ht="14.25" customHeight="1">
      <c r="A87" s="137" t="s">
        <v>177</v>
      </c>
      <c r="B87" s="135" t="s">
        <v>178</v>
      </c>
      <c r="C87" s="140">
        <v>8</v>
      </c>
      <c r="D87" s="138">
        <f>IF(STATS!CN7&lt;&gt;"",1,0)</f>
        <v>0</v>
      </c>
      <c r="E87" s="133">
        <f t="shared" si="2"/>
        <v>0</v>
      </c>
    </row>
    <row r="88" spans="1:5" ht="14.25" customHeight="1">
      <c r="A88" s="134" t="s">
        <v>179</v>
      </c>
      <c r="B88" s="135" t="s">
        <v>180</v>
      </c>
      <c r="C88" s="136">
        <v>8</v>
      </c>
      <c r="D88" s="138">
        <f>IF(STATS!CO7&lt;&gt;"",1,0)</f>
        <v>0</v>
      </c>
      <c r="E88" s="133">
        <f t="shared" si="2"/>
        <v>0</v>
      </c>
    </row>
    <row r="89" spans="1:5" ht="14.25" customHeight="1">
      <c r="A89" s="134" t="s">
        <v>181</v>
      </c>
      <c r="B89" s="135" t="s">
        <v>182</v>
      </c>
      <c r="C89" s="136">
        <v>10</v>
      </c>
      <c r="D89" s="138">
        <f>IF(STATS!CP7&lt;&gt;"",1,0)</f>
        <v>0</v>
      </c>
      <c r="E89" s="133">
        <f t="shared" si="2"/>
        <v>0</v>
      </c>
    </row>
    <row r="90" spans="1:5" ht="14.25" customHeight="1">
      <c r="A90" s="137" t="s">
        <v>183</v>
      </c>
      <c r="B90" s="135" t="s">
        <v>184</v>
      </c>
      <c r="C90" s="140">
        <v>6</v>
      </c>
      <c r="D90" s="138">
        <f>IF(STATS!CQ7&lt;&gt;"",1,0)</f>
        <v>0</v>
      </c>
      <c r="E90" s="133">
        <f t="shared" si="2"/>
        <v>0</v>
      </c>
    </row>
    <row r="91" spans="1:5" ht="14.25" customHeight="1">
      <c r="A91" s="137" t="s">
        <v>185</v>
      </c>
      <c r="B91" s="135" t="s">
        <v>301</v>
      </c>
      <c r="C91" s="140">
        <v>8</v>
      </c>
      <c r="D91" s="138">
        <f>IF(STATS!CR7&lt;&gt;"",1,0)</f>
        <v>0</v>
      </c>
      <c r="E91" s="133">
        <f t="shared" si="2"/>
        <v>0</v>
      </c>
    </row>
    <row r="92" spans="1:5" ht="14.25" customHeight="1">
      <c r="A92" s="137" t="s">
        <v>186</v>
      </c>
      <c r="B92" s="141" t="s">
        <v>302</v>
      </c>
      <c r="C92" s="140">
        <v>8</v>
      </c>
      <c r="D92" s="138">
        <f>IF(STATS!CS7&lt;&gt;"",1,0)</f>
        <v>0</v>
      </c>
      <c r="E92" s="133">
        <f t="shared" si="2"/>
        <v>0</v>
      </c>
    </row>
    <row r="93" spans="1:5" ht="14.25" customHeight="1">
      <c r="A93" s="137" t="s">
        <v>187</v>
      </c>
      <c r="B93" s="135" t="s">
        <v>188</v>
      </c>
      <c r="C93" s="140">
        <v>9</v>
      </c>
      <c r="D93" s="138">
        <f>IF(STATS!CT7&lt;&gt;"",1,0)</f>
        <v>0</v>
      </c>
      <c r="E93" s="133">
        <f t="shared" si="2"/>
        <v>0</v>
      </c>
    </row>
    <row r="94" spans="1:5" ht="14.25" customHeight="1">
      <c r="A94" s="134" t="s">
        <v>189</v>
      </c>
      <c r="B94" s="135" t="s">
        <v>190</v>
      </c>
      <c r="C94" s="136">
        <v>7</v>
      </c>
      <c r="D94" s="138">
        <f>IF(STATS!EO7&lt;&gt;"",1,0)</f>
        <v>0</v>
      </c>
      <c r="E94" s="133">
        <f t="shared" si="2"/>
        <v>0</v>
      </c>
    </row>
    <row r="95" spans="1:5" ht="14.25" customHeight="1">
      <c r="A95" s="134" t="s">
        <v>255</v>
      </c>
      <c r="B95" s="135" t="s">
        <v>191</v>
      </c>
      <c r="C95" s="136">
        <v>8</v>
      </c>
      <c r="D95" s="138">
        <f>IF(STATS!CU7&lt;&gt;"",1,0)</f>
        <v>0</v>
      </c>
      <c r="E95" s="133">
        <f t="shared" si="2"/>
        <v>0</v>
      </c>
    </row>
    <row r="96" spans="1:5" ht="14.25" customHeight="1">
      <c r="A96" s="134" t="s">
        <v>303</v>
      </c>
      <c r="B96" s="135" t="s">
        <v>194</v>
      </c>
      <c r="C96" s="136">
        <v>9</v>
      </c>
      <c r="D96" s="138">
        <f>IF(STATS!CV7&lt;&gt;"",1,0)</f>
        <v>0</v>
      </c>
      <c r="E96" s="133">
        <f t="shared" si="2"/>
        <v>0</v>
      </c>
    </row>
    <row r="97" spans="1:5" ht="14.25" customHeight="1">
      <c r="A97" s="134" t="s">
        <v>463</v>
      </c>
      <c r="B97" s="135" t="s">
        <v>464</v>
      </c>
      <c r="C97" s="136">
        <v>9</v>
      </c>
      <c r="D97" s="138">
        <f>IF(STATS!CW14&lt;&gt;"",1,0)</f>
        <v>0</v>
      </c>
      <c r="E97" s="133">
        <f t="shared" si="2"/>
        <v>0</v>
      </c>
    </row>
    <row r="98" spans="1:5" ht="14.25" customHeight="1">
      <c r="A98" s="134" t="s">
        <v>193</v>
      </c>
      <c r="B98" s="135" t="s">
        <v>192</v>
      </c>
      <c r="C98" s="136">
        <v>7</v>
      </c>
      <c r="D98" s="138">
        <f>IF(STATS!CX7&lt;&gt;"",1,0)</f>
        <v>0</v>
      </c>
      <c r="E98" s="133">
        <f t="shared" si="2"/>
        <v>0</v>
      </c>
    </row>
    <row r="99" spans="1:5" ht="14.25" customHeight="1">
      <c r="A99" s="137" t="s">
        <v>195</v>
      </c>
      <c r="B99" s="135" t="s">
        <v>285</v>
      </c>
      <c r="C99" s="140">
        <v>9</v>
      </c>
      <c r="D99" s="138">
        <f>IF(STATS!CY7&lt;&gt;"",1,0)</f>
        <v>0</v>
      </c>
      <c r="E99" s="133">
        <f t="shared" si="2"/>
        <v>0</v>
      </c>
    </row>
    <row r="100" spans="1:5" ht="14.25" customHeight="1">
      <c r="A100" s="137" t="s">
        <v>196</v>
      </c>
      <c r="B100" s="135" t="s">
        <v>197</v>
      </c>
      <c r="C100" s="140">
        <v>3</v>
      </c>
      <c r="D100" s="138">
        <f>IF(STATS!CZ7&lt;&gt;"",1,0)</f>
        <v>0</v>
      </c>
      <c r="E100" s="133">
        <f t="shared" si="2"/>
        <v>0</v>
      </c>
    </row>
    <row r="101" spans="1:5" ht="14.25" customHeight="1">
      <c r="A101" s="137" t="s">
        <v>198</v>
      </c>
      <c r="B101" s="135" t="s">
        <v>286</v>
      </c>
      <c r="C101" s="140">
        <v>8</v>
      </c>
      <c r="D101" s="138">
        <f>IF(STATS!DA7&lt;&gt;"",1,0)</f>
        <v>0</v>
      </c>
      <c r="E101" s="133">
        <f t="shared" si="2"/>
        <v>0</v>
      </c>
    </row>
    <row r="102" spans="1:5" ht="14.25" customHeight="1">
      <c r="A102" s="134" t="s">
        <v>199</v>
      </c>
      <c r="B102" s="135" t="s">
        <v>200</v>
      </c>
      <c r="C102" s="136">
        <v>6</v>
      </c>
      <c r="D102" s="138">
        <f>IF(STATS!DC7&lt;&gt;"",1,0)</f>
        <v>0</v>
      </c>
      <c r="E102" s="133">
        <f t="shared" si="2"/>
        <v>0</v>
      </c>
    </row>
    <row r="103" spans="1:5" ht="14.25" customHeight="1">
      <c r="A103" s="134" t="s">
        <v>201</v>
      </c>
      <c r="B103" s="141" t="s">
        <v>202</v>
      </c>
      <c r="C103" s="136">
        <v>10</v>
      </c>
      <c r="D103" s="138">
        <f>IF(STATS!DD7&lt;&gt;"",1,0)</f>
        <v>0</v>
      </c>
      <c r="E103" s="133">
        <f t="shared" si="2"/>
        <v>0</v>
      </c>
    </row>
    <row r="104" spans="1:5" ht="14.25" customHeight="1">
      <c r="A104" s="134" t="s">
        <v>203</v>
      </c>
      <c r="B104" s="135" t="s">
        <v>305</v>
      </c>
      <c r="C104" s="136">
        <v>5</v>
      </c>
      <c r="D104" s="138">
        <f>IF(STATS!DE7&lt;&gt;"",1,0)</f>
        <v>0</v>
      </c>
      <c r="E104" s="133">
        <f t="shared" si="2"/>
        <v>0</v>
      </c>
    </row>
    <row r="105" spans="1:5" ht="14.25" customHeight="1">
      <c r="A105" s="137" t="s">
        <v>204</v>
      </c>
      <c r="B105" s="135" t="s">
        <v>205</v>
      </c>
      <c r="C105" s="140">
        <v>9</v>
      </c>
      <c r="D105" s="138">
        <f>IF(STATS!DF7&lt;&gt;"",1,0)</f>
        <v>0</v>
      </c>
      <c r="E105" s="133">
        <f t="shared" si="2"/>
        <v>0</v>
      </c>
    </row>
    <row r="106" spans="1:5" ht="14.25" customHeight="1">
      <c r="A106" s="137" t="s">
        <v>206</v>
      </c>
      <c r="B106" s="135" t="s">
        <v>207</v>
      </c>
      <c r="C106" s="140">
        <v>4</v>
      </c>
      <c r="D106" s="138">
        <f>IF(STATS!DG7&lt;&gt;"",1,0)</f>
        <v>0</v>
      </c>
      <c r="E106" s="133">
        <f t="shared" si="2"/>
        <v>0</v>
      </c>
    </row>
    <row r="107" spans="1:5" ht="14.25" customHeight="1">
      <c r="A107" s="137" t="s">
        <v>208</v>
      </c>
      <c r="B107" s="143" t="s">
        <v>209</v>
      </c>
      <c r="C107" s="140">
        <v>8</v>
      </c>
      <c r="D107" s="138">
        <f>IF(STATS!DH7&lt;&gt;"",1,0)</f>
        <v>0</v>
      </c>
      <c r="E107" s="133">
        <f t="shared" si="2"/>
        <v>0</v>
      </c>
    </row>
    <row r="108" spans="1:5" ht="14.25" customHeight="1">
      <c r="A108" s="134" t="s">
        <v>210</v>
      </c>
      <c r="B108" s="143" t="s">
        <v>211</v>
      </c>
      <c r="C108" s="136">
        <v>8</v>
      </c>
      <c r="D108" s="138">
        <f>IF(STATS!DI7&lt;&gt;"",1,0)</f>
        <v>0</v>
      </c>
      <c r="E108" s="133">
        <f t="shared" ref="E108:E135" si="3">C108*D108</f>
        <v>0</v>
      </c>
    </row>
    <row r="109" spans="1:5" ht="14.25" customHeight="1">
      <c r="A109" s="137" t="s">
        <v>212</v>
      </c>
      <c r="B109" s="144" t="s">
        <v>213</v>
      </c>
      <c r="C109" s="140">
        <v>9</v>
      </c>
      <c r="D109" s="138">
        <f>IF(STATS!DJ7&lt;&gt;"",1,0)</f>
        <v>0</v>
      </c>
      <c r="E109" s="133">
        <f t="shared" si="3"/>
        <v>0</v>
      </c>
    </row>
    <row r="110" spans="1:5" ht="14.25" customHeight="1">
      <c r="A110" s="134" t="s">
        <v>214</v>
      </c>
      <c r="B110" s="143" t="s">
        <v>215</v>
      </c>
      <c r="C110" s="136">
        <v>8</v>
      </c>
      <c r="D110" s="138">
        <f>IF(STATS!DK7&lt;&gt;"",1,0)</f>
        <v>0</v>
      </c>
      <c r="E110" s="133">
        <f t="shared" si="3"/>
        <v>0</v>
      </c>
    </row>
    <row r="111" spans="1:5" ht="14.25" customHeight="1">
      <c r="A111" s="134" t="s">
        <v>216</v>
      </c>
      <c r="B111" s="135" t="s">
        <v>217</v>
      </c>
      <c r="C111" s="136">
        <v>5</v>
      </c>
      <c r="D111" s="138">
        <f>IF(STATS!DL7&lt;&gt;"",1,0)</f>
        <v>0</v>
      </c>
      <c r="E111" s="133">
        <f t="shared" si="3"/>
        <v>0</v>
      </c>
    </row>
    <row r="112" spans="1:5" ht="14.25" customHeight="1">
      <c r="A112" s="137" t="s">
        <v>218</v>
      </c>
      <c r="B112" s="142" t="s">
        <v>304</v>
      </c>
      <c r="C112" s="140">
        <v>10</v>
      </c>
      <c r="D112" s="138">
        <f>IF(STATS!DM7&lt;&gt;"",1,0)</f>
        <v>0</v>
      </c>
      <c r="E112" s="133">
        <f t="shared" si="3"/>
        <v>0</v>
      </c>
    </row>
    <row r="113" spans="1:5" s="148" customFormat="1" ht="14.25" customHeight="1">
      <c r="A113" s="145" t="s">
        <v>219</v>
      </c>
      <c r="B113" s="146" t="s">
        <v>220</v>
      </c>
      <c r="C113" s="147">
        <v>9</v>
      </c>
      <c r="D113" s="138">
        <f>IF(STATS!DN7&lt;&gt;"",1,0)</f>
        <v>0</v>
      </c>
      <c r="E113" s="133">
        <f t="shared" si="3"/>
        <v>0</v>
      </c>
    </row>
    <row r="114" spans="1:5" ht="14.25" customHeight="1">
      <c r="A114" s="137" t="s">
        <v>221</v>
      </c>
      <c r="B114" s="135" t="s">
        <v>284</v>
      </c>
      <c r="C114" s="140">
        <v>5</v>
      </c>
      <c r="D114" s="138">
        <f>IF(STATS!DP7&lt;&gt;"",1,0)</f>
        <v>0</v>
      </c>
      <c r="E114" s="133">
        <f t="shared" si="3"/>
        <v>0</v>
      </c>
    </row>
    <row r="115" spans="1:5" ht="14.25" customHeight="1">
      <c r="A115" s="134" t="s">
        <v>222</v>
      </c>
      <c r="B115" s="135" t="s">
        <v>283</v>
      </c>
      <c r="C115" s="136">
        <v>8</v>
      </c>
      <c r="D115" s="138">
        <f>IF(STATS!DQ7&lt;&gt;"",1,0)</f>
        <v>0</v>
      </c>
      <c r="E115" s="133">
        <f t="shared" si="3"/>
        <v>0</v>
      </c>
    </row>
    <row r="116" spans="1:5" ht="14.25" customHeight="1">
      <c r="A116" s="137" t="s">
        <v>223</v>
      </c>
      <c r="B116" s="135" t="s">
        <v>257</v>
      </c>
      <c r="C116" s="140">
        <v>3</v>
      </c>
      <c r="D116" s="138">
        <f>IF(STATS!DR7&lt;&gt;"",1,0)</f>
        <v>1</v>
      </c>
      <c r="E116" s="133">
        <f t="shared" si="3"/>
        <v>3</v>
      </c>
    </row>
    <row r="117" spans="1:5" ht="14.25" customHeight="1">
      <c r="A117" s="134" t="s">
        <v>224</v>
      </c>
      <c r="B117" s="135" t="s">
        <v>225</v>
      </c>
      <c r="C117" s="136">
        <v>9</v>
      </c>
      <c r="D117" s="138">
        <f>IF(STATS!DS7&lt;&gt;"",1,0)</f>
        <v>0</v>
      </c>
      <c r="E117" s="133">
        <f t="shared" si="3"/>
        <v>0</v>
      </c>
    </row>
    <row r="118" spans="1:5" ht="14.25" customHeight="1">
      <c r="A118" s="134" t="s">
        <v>226</v>
      </c>
      <c r="B118" s="135" t="s">
        <v>227</v>
      </c>
      <c r="C118" s="136">
        <v>1</v>
      </c>
      <c r="D118" s="138">
        <f>IF(STATS!DT7&lt;&gt;"",1,0)</f>
        <v>0</v>
      </c>
      <c r="E118" s="133">
        <f t="shared" si="3"/>
        <v>0</v>
      </c>
    </row>
    <row r="119" spans="1:5" ht="14.25" customHeight="1">
      <c r="A119" s="137" t="s">
        <v>228</v>
      </c>
      <c r="B119" s="135" t="s">
        <v>229</v>
      </c>
      <c r="C119" s="140">
        <v>1</v>
      </c>
      <c r="D119" s="138">
        <f>IF(STATS!DU7&lt;&gt;"",1,0)</f>
        <v>0</v>
      </c>
      <c r="E119" s="133">
        <f t="shared" si="3"/>
        <v>0</v>
      </c>
    </row>
    <row r="120" spans="1:5" ht="14.25" customHeight="1">
      <c r="A120" s="137" t="s">
        <v>499</v>
      </c>
      <c r="B120" s="135" t="s">
        <v>307</v>
      </c>
      <c r="C120" s="140">
        <v>1</v>
      </c>
      <c r="D120" s="138">
        <f>IF(STATS!DV7&lt;&gt;"",1,0)</f>
        <v>0</v>
      </c>
      <c r="E120" s="133">
        <f t="shared" si="3"/>
        <v>0</v>
      </c>
    </row>
    <row r="121" spans="1:5" ht="14.25" customHeight="1">
      <c r="A121" s="137" t="s">
        <v>230</v>
      </c>
      <c r="B121" s="135" t="s">
        <v>231</v>
      </c>
      <c r="C121" s="140">
        <v>10</v>
      </c>
      <c r="D121" s="138">
        <f>IF(STATS!DW7&lt;&gt;"",1,0)</f>
        <v>0</v>
      </c>
      <c r="E121" s="133">
        <f t="shared" si="3"/>
        <v>0</v>
      </c>
    </row>
    <row r="122" spans="1:5" ht="14.25" customHeight="1">
      <c r="A122" s="137" t="s">
        <v>232</v>
      </c>
      <c r="B122" s="135" t="s">
        <v>233</v>
      </c>
      <c r="C122" s="140">
        <v>9</v>
      </c>
      <c r="D122" s="138">
        <f>IF(STATS!DX7&lt;&gt;"",1,0)</f>
        <v>0</v>
      </c>
      <c r="E122" s="133">
        <f t="shared" si="3"/>
        <v>0</v>
      </c>
    </row>
    <row r="123" spans="1:5" ht="14.25" customHeight="1">
      <c r="A123" s="137" t="s">
        <v>234</v>
      </c>
      <c r="B123" s="135" t="s">
        <v>235</v>
      </c>
      <c r="C123" s="140">
        <v>9</v>
      </c>
      <c r="D123" s="138">
        <f>IF(STATS!DY7&lt;&gt;"",1,0)</f>
        <v>0</v>
      </c>
      <c r="E123" s="133">
        <f t="shared" si="3"/>
        <v>0</v>
      </c>
    </row>
    <row r="124" spans="1:5" ht="14.25" customHeight="1">
      <c r="A124" s="137" t="s">
        <v>236</v>
      </c>
      <c r="B124" s="135" t="s">
        <v>237</v>
      </c>
      <c r="C124" s="140">
        <v>9</v>
      </c>
      <c r="D124" s="138">
        <f>IF(STATS!DZ7&lt;&gt;"",1,0)</f>
        <v>0</v>
      </c>
      <c r="E124" s="133">
        <f t="shared" si="3"/>
        <v>0</v>
      </c>
    </row>
    <row r="125" spans="1:5" ht="14.25" customHeight="1">
      <c r="A125" s="134" t="s">
        <v>238</v>
      </c>
      <c r="B125" s="135" t="s">
        <v>275</v>
      </c>
      <c r="C125" s="136">
        <v>10</v>
      </c>
      <c r="D125" s="138">
        <f>IF(STATS!EA7&lt;&gt;"",1,0)</f>
        <v>0</v>
      </c>
      <c r="E125" s="133">
        <f t="shared" si="3"/>
        <v>0</v>
      </c>
    </row>
    <row r="126" spans="1:5" ht="14.25" customHeight="1">
      <c r="A126" s="137" t="s">
        <v>239</v>
      </c>
      <c r="B126" s="135" t="s">
        <v>240</v>
      </c>
      <c r="C126" s="140">
        <v>9</v>
      </c>
      <c r="D126" s="138">
        <f>IF(STATS!EB7&lt;&gt;"",1,0)</f>
        <v>0</v>
      </c>
      <c r="E126" s="133">
        <f t="shared" si="3"/>
        <v>0</v>
      </c>
    </row>
    <row r="127" spans="1:5" ht="14.25" customHeight="1">
      <c r="A127" s="137" t="s">
        <v>241</v>
      </c>
      <c r="B127" s="135" t="s">
        <v>242</v>
      </c>
      <c r="C127" s="140">
        <v>9</v>
      </c>
      <c r="D127" s="138">
        <f>IF(STATS!EC7&lt;&gt;"",1,0)</f>
        <v>0</v>
      </c>
      <c r="E127" s="133">
        <f t="shared" si="3"/>
        <v>0</v>
      </c>
    </row>
    <row r="128" spans="1:5" ht="14.25" customHeight="1">
      <c r="A128" s="137" t="s">
        <v>243</v>
      </c>
      <c r="B128" s="135" t="s">
        <v>244</v>
      </c>
      <c r="C128" s="140">
        <v>7</v>
      </c>
      <c r="D128" s="138">
        <f>IF(STATS!ED7&lt;&gt;"",1,0)</f>
        <v>0</v>
      </c>
      <c r="E128" s="133">
        <f t="shared" si="3"/>
        <v>0</v>
      </c>
    </row>
    <row r="129" spans="1:5" ht="14.25" customHeight="1">
      <c r="A129" s="137" t="s">
        <v>245</v>
      </c>
      <c r="B129" s="135" t="s">
        <v>246</v>
      </c>
      <c r="C129" s="140">
        <v>6</v>
      </c>
      <c r="D129" s="138">
        <f>IF(STATS!EE7&lt;&gt;"",1,0)</f>
        <v>0</v>
      </c>
      <c r="E129" s="133">
        <f t="shared" si="3"/>
        <v>0</v>
      </c>
    </row>
    <row r="130" spans="1:5" ht="14.25" customHeight="1">
      <c r="A130" s="134" t="s">
        <v>309</v>
      </c>
      <c r="B130" s="135" t="s">
        <v>267</v>
      </c>
      <c r="C130" s="136">
        <v>6</v>
      </c>
      <c r="D130" s="138">
        <f>IF(STATS!EF7&lt;&gt;"",1,0)</f>
        <v>0</v>
      </c>
      <c r="E130" s="133">
        <f t="shared" si="3"/>
        <v>0</v>
      </c>
    </row>
    <row r="131" spans="1:5" ht="14.25" customHeight="1">
      <c r="A131" s="134" t="s">
        <v>247</v>
      </c>
      <c r="B131" s="143" t="s">
        <v>248</v>
      </c>
      <c r="C131" s="136">
        <v>5</v>
      </c>
      <c r="D131" s="138">
        <f>IF(STATS!EG7&lt;&gt;"",1,0)</f>
        <v>0</v>
      </c>
      <c r="E131" s="133">
        <f t="shared" si="3"/>
        <v>0</v>
      </c>
    </row>
    <row r="132" spans="1:5" ht="14.25" customHeight="1">
      <c r="A132" s="134" t="s">
        <v>249</v>
      </c>
      <c r="B132" s="143" t="s">
        <v>256</v>
      </c>
      <c r="C132" s="136">
        <v>7</v>
      </c>
      <c r="D132" s="138">
        <f>IF(STATS!EH7&lt;&gt;"",1,0)</f>
        <v>0</v>
      </c>
      <c r="E132" s="133">
        <f t="shared" si="3"/>
        <v>0</v>
      </c>
    </row>
    <row r="133" spans="1:5" ht="14.25" customHeight="1">
      <c r="A133" s="137" t="s">
        <v>250</v>
      </c>
      <c r="B133" s="142" t="s">
        <v>260</v>
      </c>
      <c r="C133" s="136">
        <v>8</v>
      </c>
      <c r="D133" s="138">
        <f>IF(STATS!EI7&lt;&gt;"",1,0)</f>
        <v>0</v>
      </c>
      <c r="E133" s="133">
        <f t="shared" si="3"/>
        <v>0</v>
      </c>
    </row>
    <row r="134" spans="1:5" ht="14.25" customHeight="1">
      <c r="A134" s="137" t="s">
        <v>251</v>
      </c>
      <c r="B134" s="135" t="s">
        <v>252</v>
      </c>
      <c r="C134" s="140">
        <v>8</v>
      </c>
      <c r="D134" s="138">
        <f>IF(STATS!EJ7&lt;&gt;"",1,0)</f>
        <v>0</v>
      </c>
      <c r="E134" s="133">
        <f t="shared" si="3"/>
        <v>0</v>
      </c>
    </row>
    <row r="135" spans="1:5" ht="14.25" customHeight="1" thickBot="1">
      <c r="A135" s="149" t="s">
        <v>500</v>
      </c>
      <c r="B135" s="150" t="s">
        <v>306</v>
      </c>
      <c r="C135" s="151">
        <v>8</v>
      </c>
      <c r="D135" s="152">
        <f>IF(STATS!EK7&lt;&gt;"",1,0)</f>
        <v>0</v>
      </c>
      <c r="E135" s="133">
        <f t="shared" si="3"/>
        <v>0</v>
      </c>
    </row>
    <row r="136" spans="1:5" ht="15">
      <c r="A136" s="153"/>
      <c r="B136" s="153"/>
      <c r="C136" s="154"/>
      <c r="D136" s="155"/>
      <c r="E136" s="156"/>
    </row>
    <row r="137" spans="1:5" ht="15">
      <c r="A137" s="157" t="s">
        <v>253</v>
      </c>
      <c r="B137" s="153"/>
      <c r="C137" s="108"/>
      <c r="D137" s="158">
        <f>SUM(D9:D135)</f>
        <v>6</v>
      </c>
      <c r="E137" s="159"/>
    </row>
    <row r="138" spans="1:5" ht="15.75" thickBot="1">
      <c r="A138" s="157" t="s">
        <v>254</v>
      </c>
      <c r="B138" s="153"/>
      <c r="C138" s="160"/>
      <c r="D138" s="108"/>
      <c r="E138" s="161">
        <f>(SUM(E9:E135)/D137)</f>
        <v>5.666666666666667</v>
      </c>
    </row>
    <row r="139" spans="1:5" ht="15.75" thickBot="1">
      <c r="A139" s="162" t="s">
        <v>266</v>
      </c>
      <c r="B139" s="163"/>
      <c r="C139" s="164"/>
      <c r="D139" s="165"/>
      <c r="E139" s="166">
        <f>(SUM(E9:E135)/D137)*SQRT(D137)</f>
        <v>13.880441875771343</v>
      </c>
    </row>
    <row r="141" spans="1:5">
      <c r="A141" s="167"/>
      <c r="B141" s="167"/>
      <c r="C141" s="168"/>
    </row>
    <row r="142" spans="1:5" ht="51" customHeight="1">
      <c r="A142" s="189" t="s">
        <v>501</v>
      </c>
      <c r="B142" s="189"/>
      <c r="C142" s="189"/>
      <c r="D142" s="189"/>
      <c r="E142" s="189"/>
    </row>
    <row r="143" spans="1:5">
      <c r="A143" s="167"/>
      <c r="B143" s="167"/>
      <c r="C143" s="168"/>
    </row>
    <row r="144" spans="1:5" ht="51" customHeight="1">
      <c r="A144" s="189" t="s">
        <v>502</v>
      </c>
      <c r="B144" s="189"/>
      <c r="C144" s="189"/>
      <c r="D144" s="189"/>
      <c r="E144" s="189"/>
    </row>
  </sheetData>
  <protectedRanges>
    <protectedRange sqref="D8:D135" name="number of species"/>
  </protectedRanges>
  <mergeCells count="2">
    <mergeCell ref="A142:E142"/>
    <mergeCell ref="A144:E144"/>
  </mergeCells>
  <phoneticPr fontId="0" type="noConversion"/>
  <pageMargins left="0.75" right="0.75" top="1" bottom="1" header="0.5" footer="0.5"/>
  <pageSetup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18" baseType="lpstr">
      <vt:lpstr>2018 Posttreatment Mapping Data</vt:lpstr>
      <vt:lpstr>2018 Pretreatment Mapping Data</vt:lpstr>
      <vt:lpstr>BOAT SURVEY</vt:lpstr>
      <vt:lpstr>ENTRY </vt:lpstr>
      <vt:lpstr>STATS</vt:lpstr>
      <vt:lpstr>2018 Posttreat STATS Summary</vt:lpstr>
      <vt:lpstr>2018 Pretreatment STATS Summary</vt:lpstr>
      <vt:lpstr>MAX DEPTH GRAPH</vt:lpstr>
      <vt:lpstr>CALCULATE FQI</vt:lpstr>
      <vt:lpstr>2018 Posttreatment Edited FQI</vt:lpstr>
      <vt:lpstr>2018 Pretreatment Edited FQI</vt:lpstr>
      <vt:lpstr>'2018 Posttreat STATS Summary'!Print_Area</vt:lpstr>
      <vt:lpstr>'2018 Posttreatment Mapping Data'!Print_Area</vt:lpstr>
      <vt:lpstr>'2018 Pretreatment Mapping Data'!Print_Area</vt:lpstr>
      <vt:lpstr>'2018 Pretreatment STATS Summary'!Print_Area</vt:lpstr>
      <vt:lpstr>'BOAT SURVEY'!Print_Area</vt:lpstr>
      <vt:lpstr>'ENTRY '!Print_Area</vt:lpstr>
      <vt:lpstr>STATS!Print_Area</vt:lpstr>
    </vt:vector>
  </TitlesOfParts>
  <Company>University of Wisconsin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knight</dc:creator>
  <cp:lastModifiedBy>Matt</cp:lastModifiedBy>
  <cp:lastPrinted>2009-11-02T19:37:36Z</cp:lastPrinted>
  <dcterms:created xsi:type="dcterms:W3CDTF">2004-09-23T19:27:36Z</dcterms:created>
  <dcterms:modified xsi:type="dcterms:W3CDTF">2018-12-01T18:12:34Z</dcterms:modified>
</cp:coreProperties>
</file>