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minimized="1"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25" i="9" s="1"/>
  <c r="D91" i="4" s="1"/>
  <c r="C9" i="9"/>
  <c r="C11" i="9"/>
  <c r="C13" i="9"/>
  <c r="C17" i="9"/>
  <c r="D83" i="4" s="1"/>
  <c r="C24" i="9"/>
  <c r="D90" i="4" s="1"/>
  <c r="C22" i="9"/>
  <c r="C19" i="9"/>
  <c r="D85" i="4" s="1"/>
  <c r="C28" i="9"/>
  <c r="D94" i="4" s="1"/>
  <c r="C18" i="9" l="1"/>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D24" i="1"/>
  <c r="D25" i="1"/>
  <c r="D26" i="1"/>
  <c r="D27" i="1"/>
  <c r="M27" i="1" s="1"/>
  <c r="F27" i="1" s="1"/>
  <c r="D28" i="1"/>
  <c r="D29" i="1"/>
  <c r="D30" i="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C26" i="1"/>
  <c r="C27" i="1"/>
  <c r="C28" i="1"/>
  <c r="J28" i="1" s="1"/>
  <c r="C29" i="1"/>
  <c r="J29" i="1" s="1"/>
  <c r="C30" i="1"/>
  <c r="C31" i="1"/>
  <c r="C32" i="1"/>
  <c r="C33" i="1"/>
  <c r="C34" i="1"/>
  <c r="C38" i="1"/>
  <c r="C39" i="1"/>
  <c r="C40" i="1"/>
  <c r="C41" i="1"/>
  <c r="R41" i="1" s="1"/>
  <c r="C42" i="1"/>
  <c r="R42" i="1" s="1"/>
  <c r="C43" i="1"/>
  <c r="H43" i="1" s="1"/>
  <c r="C44" i="1"/>
  <c r="C45" i="1"/>
  <c r="C46" i="1"/>
  <c r="C47" i="1"/>
  <c r="H47" i="1" s="1"/>
  <c r="C48" i="1"/>
  <c r="C49" i="1"/>
  <c r="C50" i="1"/>
  <c r="C51" i="1"/>
  <c r="H51" i="1" s="1"/>
  <c r="C52" i="1"/>
  <c r="C20" i="1"/>
  <c r="R20" i="1" s="1"/>
  <c r="R46" i="1"/>
  <c r="R43" i="1"/>
  <c r="R32" i="1"/>
  <c r="R25" i="1"/>
  <c r="R38" i="1"/>
  <c r="R50" i="1"/>
  <c r="R35" i="1"/>
  <c r="R37" i="1"/>
  <c r="R47" i="1"/>
  <c r="R22" i="1"/>
  <c r="M51" i="1"/>
  <c r="F51" i="1" s="1"/>
  <c r="M47" i="1"/>
  <c r="F47" i="1" s="1"/>
  <c r="M43" i="1"/>
  <c r="F43" i="1" s="1"/>
  <c r="M39" i="1"/>
  <c r="F39" i="1" s="1"/>
  <c r="M35" i="1"/>
  <c r="F35" i="1" s="1"/>
  <c r="M23" i="1"/>
  <c r="F23" i="1" s="1"/>
  <c r="R45" i="1"/>
  <c r="R51" i="1"/>
  <c r="R49" i="1"/>
  <c r="R33" i="1"/>
  <c r="R31" i="1"/>
  <c r="M50" i="1"/>
  <c r="F50" i="1" s="1"/>
  <c r="M46" i="1"/>
  <c r="F46" i="1" s="1"/>
  <c r="M42" i="1"/>
  <c r="F42" i="1" s="1"/>
  <c r="M26" i="1"/>
  <c r="F26" i="1" s="1"/>
  <c r="R48" i="1"/>
  <c r="M49" i="1"/>
  <c r="F49" i="1" s="1"/>
  <c r="M37" i="1"/>
  <c r="F37" i="1" s="1"/>
  <c r="M25" i="1"/>
  <c r="F25" i="1" s="1"/>
  <c r="R34" i="1"/>
  <c r="M52" i="1"/>
  <c r="F52" i="1" s="1"/>
  <c r="M48" i="1"/>
  <c r="F48" i="1" s="1"/>
  <c r="M24" i="1"/>
  <c r="F24" i="1" s="1"/>
  <c r="R26" i="1"/>
  <c r="R30" i="1"/>
  <c r="G30" i="1"/>
  <c r="J30" i="1" s="1"/>
  <c r="K30" i="1"/>
  <c r="O30" i="1"/>
  <c r="Q30" i="1"/>
  <c r="M30" i="1"/>
  <c r="F30" i="1" s="1"/>
  <c r="H30" i="1"/>
  <c r="R29" i="1"/>
  <c r="M29" i="1"/>
  <c r="F29" i="1" s="1"/>
  <c r="N29" i="1"/>
  <c r="O29" i="1"/>
  <c r="P29" i="1"/>
  <c r="G29" i="1"/>
  <c r="Q29" i="1" s="1"/>
  <c r="H29" i="1"/>
  <c r="K29" i="1"/>
  <c r="G28" i="1"/>
  <c r="I28" i="1" s="1"/>
  <c r="Q28" i="1"/>
  <c r="R28" i="1"/>
  <c r="M28" i="1"/>
  <c r="H28" i="1"/>
  <c r="L28" i="1"/>
  <c r="P30" i="1"/>
  <c r="F28" i="1"/>
  <c r="I30" i="1" l="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J34" i="1"/>
  <c r="I34" i="1"/>
  <c r="H34" i="1"/>
  <c r="J32" i="1"/>
  <c r="I32" i="1"/>
  <c r="H32" i="1"/>
  <c r="J27" i="1"/>
  <c r="I25" i="1"/>
  <c r="M20" i="1"/>
  <c r="N20" i="1"/>
  <c r="L51" i="1"/>
  <c r="N51" i="1"/>
  <c r="K51" i="1"/>
  <c r="L49" i="1"/>
  <c r="N49" i="1"/>
  <c r="K49" i="1"/>
  <c r="L47" i="1"/>
  <c r="N47" i="1"/>
  <c r="K47" i="1"/>
  <c r="L45" i="1"/>
  <c r="N45" i="1"/>
  <c r="K45" i="1"/>
  <c r="L43" i="1"/>
  <c r="N43" i="1"/>
  <c r="K43" i="1"/>
  <c r="L41" i="1"/>
  <c r="N41" i="1"/>
  <c r="K41" i="1"/>
  <c r="L39" i="1"/>
  <c r="N39" i="1"/>
  <c r="K39" i="1"/>
  <c r="N34" i="1"/>
  <c r="K34" i="1"/>
  <c r="G34" i="1"/>
  <c r="L34" i="1"/>
  <c r="N32" i="1"/>
  <c r="L32" i="1"/>
  <c r="G32" i="1"/>
  <c r="K32" i="1"/>
  <c r="N26" i="1"/>
  <c r="K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Q27" i="1"/>
  <c r="O27" i="1"/>
  <c r="Q25" i="1"/>
  <c r="Q37" i="1"/>
  <c r="P37" i="1"/>
  <c r="O37" i="1"/>
  <c r="J37" i="1"/>
  <c r="I37" i="1"/>
  <c r="H37" i="1"/>
  <c r="Q36" i="1"/>
  <c r="P36" i="1"/>
  <c r="O36" i="1"/>
  <c r="Q35" i="1"/>
  <c r="P35" i="1"/>
  <c r="O35" i="1"/>
  <c r="J35" i="1"/>
  <c r="I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I26" i="1"/>
  <c r="H26" i="1"/>
  <c r="J24"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31" i="1"/>
  <c r="K31" i="1"/>
  <c r="N27" i="1"/>
  <c r="K27" i="1"/>
  <c r="G27" i="1"/>
  <c r="H27" i="1" s="1"/>
  <c r="L27" i="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O31" i="1"/>
  <c r="Q26" i="1"/>
  <c r="P26" i="1"/>
  <c r="O26" i="1"/>
  <c r="O24" i="1"/>
  <c r="Q22" i="1"/>
  <c r="P22" i="1"/>
  <c r="O22" i="1"/>
  <c r="L37" i="1"/>
  <c r="N37" i="1"/>
  <c r="K37" i="1"/>
  <c r="N36" i="1"/>
  <c r="L36" i="1"/>
  <c r="K36" i="1"/>
  <c r="G36" i="1"/>
  <c r="J36" i="1"/>
  <c r="I36" i="1"/>
  <c r="H36" i="1"/>
  <c r="N35" i="1"/>
  <c r="L35" i="1"/>
  <c r="K35" i="1"/>
  <c r="N21" i="1"/>
  <c r="G21" i="1"/>
  <c r="I21" i="1" s="1"/>
  <c r="G51" i="1"/>
  <c r="G47" i="1"/>
  <c r="G43" i="1"/>
  <c r="G39" i="1"/>
  <c r="G35" i="1"/>
  <c r="G31" i="1"/>
  <c r="J31" i="1" s="1"/>
  <c r="G24" i="1"/>
  <c r="L24" i="1" s="1"/>
  <c r="H20" i="1"/>
  <c r="H49" i="1"/>
  <c r="H45" i="1"/>
  <c r="N22" i="1"/>
  <c r="L22" i="1"/>
  <c r="K22" i="1"/>
  <c r="K21" i="1" l="1"/>
  <c r="Q21" i="1"/>
  <c r="K25" i="1"/>
  <c r="O25" i="1"/>
  <c r="P27" i="1"/>
  <c r="H25" i="1"/>
  <c r="I27" i="1"/>
  <c r="O20" i="1"/>
  <c r="K20" i="1"/>
  <c r="K23" i="1"/>
  <c r="Q23" i="1"/>
  <c r="K24" i="1"/>
  <c r="J23" i="1"/>
  <c r="J53" i="1" s="1"/>
  <c r="B33" i="4" s="1"/>
  <c r="Q20" i="1"/>
  <c r="Q24" i="1"/>
  <c r="H21" i="1"/>
  <c r="I24" i="1"/>
  <c r="H23" i="1"/>
  <c r="P21" i="1"/>
  <c r="P23" i="1"/>
  <c r="Q31" i="1"/>
  <c r="L31" i="1"/>
  <c r="N25" i="1"/>
  <c r="N53" i="1" s="1"/>
  <c r="D33" i="4" s="1"/>
  <c r="P25" i="1"/>
  <c r="L21" i="1"/>
  <c r="L23" i="1"/>
  <c r="O21" i="1"/>
  <c r="O53" i="1" s="1"/>
  <c r="F31" i="4" s="1"/>
  <c r="P20" i="1"/>
  <c r="I23" i="1"/>
  <c r="I53" i="1" s="1"/>
  <c r="B32" i="4" s="1"/>
  <c r="F20" i="1"/>
  <c r="F53" i="1" s="1"/>
  <c r="M53" i="1"/>
  <c r="P24" i="1"/>
  <c r="H24" i="1"/>
  <c r="K53" i="1" l="1"/>
  <c r="D31" i="4" s="1"/>
  <c r="Q53" i="1"/>
  <c r="F33" i="4" s="1"/>
  <c r="B46" i="4"/>
  <c r="H53" i="1"/>
  <c r="B31" i="4" s="1"/>
  <c r="B39" i="4" s="1"/>
  <c r="E39" i="4" s="1"/>
  <c r="L53" i="1"/>
  <c r="D32" i="4" s="1"/>
  <c r="B47" i="4" s="1"/>
  <c r="E47" i="4" s="1"/>
  <c r="P53" i="1"/>
  <c r="F32" i="4" s="1"/>
  <c r="B70" i="4" s="1"/>
  <c r="E70" i="4" s="1"/>
  <c r="B41" i="4"/>
  <c r="E41" i="4" s="1"/>
  <c r="B71" i="4"/>
  <c r="E71" i="4" s="1"/>
  <c r="B48" i="4"/>
  <c r="E48" i="4" s="1"/>
  <c r="B40" i="4"/>
  <c r="E40" i="4" s="1"/>
  <c r="B69" i="4"/>
  <c r="E69" i="4" s="1"/>
  <c r="E46" i="4"/>
</calcChain>
</file>

<file path=xl/sharedStrings.xml><?xml version="1.0" encoding="utf-8"?>
<sst xmlns="http://schemas.openxmlformats.org/spreadsheetml/2006/main" count="1908" uniqueCount="913">
  <si>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</si>
  <si>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</si>
  <si>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</si>
  <si>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</si>
  <si>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</si>
  <si>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</si>
  <si>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</si>
  <si>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</si>
  <si>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</si>
  <si>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</si>
  <si>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</si>
  <si>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</si>
  <si>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</si>
  <si>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</si>
  <si>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</si>
  <si>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</si>
  <si>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</si>
  <si>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</si>
  <si>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</si>
  <si>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</si>
  <si>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</si>
  <si>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</si>
  <si>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</si>
  <si>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</si>
  <si>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</si>
  <si>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</si>
  <si>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</si>
  <si>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</si>
  <si>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</si>
  <si>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</si>
  <si>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</si>
  <si>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</si>
  <si>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</si>
  <si>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</si>
  <si>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</si>
  <si>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</si>
  <si>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</si>
  <si>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</si>
  <si>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</si>
  <si>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</si>
  <si>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</si>
  <si>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</si>
  <si>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</si>
  <si>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</si>
  <si>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</si>
  <si>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</si>
  <si>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</si>
  <si>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</si>
  <si>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</si>
  <si>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</si>
  <si>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</si>
  <si>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</si>
  <si>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</si>
  <si>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</si>
  <si>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</si>
  <si>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</si>
  <si>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</si>
  <si>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</si>
  <si>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</si>
  <si>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</si>
  <si>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</si>
  <si>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</si>
  <si>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</si>
  <si>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</si>
  <si>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</si>
  <si>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</si>
  <si>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</si>
  <si>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</si>
  <si>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</si>
  <si>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</si>
  <si>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</si>
  <si>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</si>
  <si>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</si>
  <si>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</si>
  <si>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</si>
  <si>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</si>
  <si>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</si>
  <si>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</si>
  <si>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</si>
  <si>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</si>
  <si>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</si>
  <si>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</si>
  <si>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</si>
  <si>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</si>
  <si>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</si>
  <si>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</si>
  <si>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</si>
  <si>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</si>
  <si>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</si>
  <si>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</si>
  <si>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</si>
  <si>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</si>
  <si>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</si>
  <si>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</si>
  <si>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</si>
  <si>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</si>
  <si>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</si>
  <si>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</si>
  <si>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</si>
  <si>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</si>
  <si>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</si>
  <si>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</si>
  <si>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</si>
  <si>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</si>
  <si>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</si>
  <si>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</si>
  <si>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</si>
  <si>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</si>
  <si>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</si>
  <si>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</si>
  <si>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</si>
  <si>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</si>
  <si>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</si>
  <si>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</si>
  <si>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</si>
  <si>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</si>
  <si>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</si>
  <si>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</si>
  <si>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</si>
  <si>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</si>
  <si>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</si>
  <si>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</si>
  <si>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</si>
  <si>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</si>
  <si>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</si>
  <si>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</si>
  <si>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</si>
  <si>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</si>
  <si>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</si>
  <si>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</si>
  <si>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</si>
  <si>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</si>
  <si>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</si>
  <si>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</si>
  <si>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</si>
  <si>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</si>
  <si>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</si>
  <si>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</si>
  <si>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</si>
  <si>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</si>
  <si>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</si>
  <si>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</si>
  <si>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</si>
  <si>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</si>
  <si>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</si>
  <si>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</si>
  <si>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</si>
  <si>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</si>
  <si>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</si>
  <si>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</si>
  <si>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</si>
  <si>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</si>
  <si>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</si>
  <si>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</si>
  <si>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</si>
  <si>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</si>
  <si>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</si>
  <si>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</si>
  <si>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</si>
  <si>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</si>
  <si>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</si>
  <si>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</si>
  <si>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</si>
  <si>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</si>
  <si>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</si>
  <si>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</si>
  <si>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</si>
  <si>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</si>
  <si>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</si>
  <si>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</si>
  <si>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</si>
  <si>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</si>
  <si>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</si>
  <si>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</si>
  <si>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</si>
  <si>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</si>
  <si>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</si>
  <si>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</si>
  <si>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</si>
  <si>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</si>
  <si>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</si>
  <si>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</si>
  <si>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</si>
  <si>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</si>
  <si>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</si>
  <si>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</si>
  <si>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</si>
  <si>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</si>
  <si>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</si>
  <si>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</si>
  <si>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</si>
  <si>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</si>
  <si>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</si>
  <si>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</si>
  <si>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</si>
  <si>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</si>
  <si>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</si>
  <si>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</si>
  <si>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</si>
  <si>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</si>
  <si>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</si>
  <si>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</si>
  <si>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</si>
  <si>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</si>
  <si>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</si>
  <si>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</si>
  <si>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</si>
  <si>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</si>
  <si>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</si>
  <si>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</si>
  <si>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</si>
  <si>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</si>
  <si>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</si>
  <si>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</si>
  <si>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</si>
  <si>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</si>
  <si>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</si>
  <si>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</si>
  <si>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</si>
  <si>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</si>
  <si>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</si>
  <si>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</si>
  <si>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</si>
  <si>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</si>
  <si>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</si>
  <si>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</si>
  <si>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</si>
  <si>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</si>
  <si>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</si>
  <si>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</si>
  <si>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</si>
  <si>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</si>
  <si>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</si>
  <si>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</si>
  <si>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</si>
  <si>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</si>
  <si>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</si>
  <si>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</si>
  <si>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</si>
  <si>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</si>
  <si>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</si>
  <si>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</si>
  <si>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</si>
  <si>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</si>
  <si>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</si>
  <si>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</si>
  <si>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</si>
  <si>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</si>
  <si>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</si>
  <si>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</si>
  <si>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</si>
  <si>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</si>
  <si>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</si>
  <si>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</si>
  <si>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</si>
  <si>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</si>
  <si>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</si>
  <si>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</si>
  <si>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</si>
  <si>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</si>
  <si>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</si>
  <si>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</si>
  <si>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</si>
  <si>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</si>
  <si>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</si>
  <si>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</si>
  <si>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</si>
  <si>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</si>
  <si>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</si>
  <si>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</si>
  <si>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</si>
  <si>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</si>
  <si>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</si>
  <si>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</si>
  <si>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</si>
  <si>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</si>
  <si>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</si>
  <si>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</si>
  <si>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</si>
  <si>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</si>
  <si>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</si>
  <si>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</si>
  <si>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</si>
  <si>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</si>
  <si>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</si>
  <si>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</si>
  <si>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</si>
  <si>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</si>
  <si>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</si>
  <si>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</si>
  <si>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</si>
  <si>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</si>
  <si>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</si>
  <si>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</si>
  <si>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</si>
  <si>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</si>
  <si>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</si>
  <si>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</si>
  <si>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</si>
  <si>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</si>
  <si>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</si>
  <si>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</si>
  <si>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</si>
  <si>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</si>
  <si>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</si>
  <si>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</si>
  <si>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</si>
  <si>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</si>
  <si>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</si>
  <si>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</si>
  <si>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</si>
  <si>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</si>
  <si>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</si>
  <si>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</si>
  <si>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</si>
  <si>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</si>
  <si>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</si>
  <si>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</si>
  <si>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</si>
  <si>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</si>
  <si>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</si>
  <si>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</si>
  <si>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</si>
  <si>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</si>
  <si>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</si>
  <si>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</si>
  <si>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</si>
  <si>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</si>
  <si>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</si>
  <si>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</si>
  <si>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</si>
  <si>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</si>
  <si>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</si>
  <si>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</si>
  <si>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</si>
  <si>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</si>
  <si>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</si>
  <si>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</si>
  <si>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</si>
  <si>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</si>
  <si>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</si>
  <si>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</si>
  <si>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</si>
  <si>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</si>
  <si>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</si>
  <si>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</si>
  <si>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</si>
  <si>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</si>
  <si>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</si>
  <si>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</si>
  <si>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</si>
  <si>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</si>
  <si>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</si>
  <si>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</si>
  <si>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</si>
  <si>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</si>
  <si>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</si>
  <si>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</si>
  <si>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</si>
  <si>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</si>
  <si>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</si>
  <si>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</si>
  <si>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</si>
  <si>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</si>
  <si>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</si>
  <si>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</si>
  <si>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</si>
  <si>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</si>
  <si>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</si>
  <si>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</si>
  <si>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</si>
  <si>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</si>
  <si>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</si>
  <si>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</si>
  <si>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</si>
  <si>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</si>
  <si>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</si>
  <si>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</si>
  <si>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</si>
  <si>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</si>
  <si>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</si>
  <si>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</si>
  <si>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</si>
  <si>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</si>
  <si>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</si>
  <si>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</si>
  <si>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</si>
  <si>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</si>
  <si>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</si>
  <si>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</si>
  <si>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</si>
  <si>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</si>
  <si>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</si>
  <si>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</si>
  <si>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</si>
  <si>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</si>
  <si>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</si>
  <si>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</si>
  <si>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</si>
  <si>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</si>
  <si>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</si>
  <si>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</si>
  <si>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</si>
  <si>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</si>
  <si>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</si>
  <si>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</si>
  <si>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</si>
  <si>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</si>
  <si>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</si>
  <si>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</si>
  <si>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</si>
  <si>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</si>
  <si>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</si>
  <si>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</si>
  <si>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</si>
  <si>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</si>
  <si>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</si>
  <si>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</si>
  <si>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</si>
  <si>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</si>
  <si>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</si>
  <si>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</si>
  <si>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</si>
  <si>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</si>
  <si>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</si>
  <si>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</si>
  <si>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</si>
  <si>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</si>
  <si>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</si>
  <si>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</si>
  <si>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</si>
  <si>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</si>
  <si>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</si>
  <si>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</si>
  <si>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</si>
  <si>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</si>
  <si>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</si>
  <si>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</si>
  <si>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</si>
  <si>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</si>
  <si>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</si>
  <si>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</si>
  <si>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</si>
  <si>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</si>
  <si>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</si>
  <si>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</si>
  <si>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</si>
  <si>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</si>
  <si>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</si>
  <si>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</si>
  <si>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</si>
  <si>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</si>
  <si>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</si>
  <si>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</si>
  <si>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</si>
  <si>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</si>
  <si>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</si>
  <si>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</si>
  <si>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</si>
  <si>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</si>
  <si>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</si>
  <si>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</si>
  <si>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</si>
  <si>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</si>
  <si>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</si>
  <si>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</si>
  <si>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</si>
  <si>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</si>
  <si>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</si>
  <si>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</si>
  <si>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</si>
  <si>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</si>
  <si>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</si>
  <si>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</si>
  <si>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</si>
  <si>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</si>
  <si>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</si>
  <si>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</si>
  <si>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</si>
  <si>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</si>
  <si>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</si>
  <si>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</si>
  <si>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</si>
  <si>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</si>
  <si>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</si>
  <si>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</si>
  <si>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</si>
  <si>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</si>
  <si>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</si>
  <si>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</si>
  <si>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</si>
  <si>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</si>
  <si>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</si>
  <si>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</si>
  <si>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</si>
  <si>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</si>
  <si>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</si>
  <si>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</si>
  <si>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</si>
  <si>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</si>
  <si>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</si>
  <si>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</si>
  <si>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</si>
  <si>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</si>
  <si>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</si>
  <si>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</si>
  <si>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</si>
  <si>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</si>
  <si>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</si>
  <si>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</si>
  <si>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</si>
  <si>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</si>
  <si>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</si>
  <si>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</si>
  <si>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</si>
  <si>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</si>
  <si>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</si>
  <si>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</si>
  <si>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</si>
  <si>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</si>
  <si>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</si>
  <si>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</si>
  <si>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</si>
  <si>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</si>
  <si>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</si>
  <si>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</si>
  <si>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</si>
  <si>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</si>
  <si>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</si>
  <si>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</si>
  <si>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</si>
  <si>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</si>
  <si>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</si>
  <si>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</si>
  <si>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</si>
  <si>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</si>
  <si>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</si>
  <si>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</si>
  <si>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</si>
  <si>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</si>
  <si>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</si>
  <si>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</si>
  <si>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</si>
  <si>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</si>
  <si>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</si>
  <si>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</si>
  <si>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</si>
  <si>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</si>
  <si>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</si>
  <si>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</si>
  <si>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</si>
  <si>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</si>
  <si>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</si>
  <si>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</si>
  <si>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</si>
  <si>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</si>
  <si>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</si>
  <si>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</si>
  <si>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</si>
  <si>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</si>
  <si>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</si>
  <si>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</si>
  <si>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</si>
  <si>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</si>
  <si>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</si>
  <si>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</si>
  <si>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</si>
  <si>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</si>
  <si>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</si>
  <si>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</si>
  <si>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</si>
  <si>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</si>
  <si>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</si>
  <si>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</si>
  <si>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</si>
  <si>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</si>
  <si>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</si>
  <si>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</si>
  <si>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</si>
  <si>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</si>
  <si>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</si>
  <si>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</si>
  <si>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</si>
  <si>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</si>
  <si>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</si>
  <si>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</si>
  <si>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</si>
  <si>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</si>
  <si>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</si>
  <si>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</si>
  <si>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</si>
  <si>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</si>
  <si>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</si>
  <si>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</si>
  <si>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</si>
  <si>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</si>
  <si>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</si>
  <si>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</si>
  <si>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</si>
  <si>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</si>
  <si>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</si>
  <si>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</si>
  <si>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</si>
  <si>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</si>
  <si>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</si>
  <si>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</si>
  <si>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</si>
  <si>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</si>
  <si>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</si>
  <si>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</si>
  <si>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</si>
  <si>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</si>
  <si>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</si>
  <si>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</si>
  <si>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</si>
  <si>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</si>
  <si>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</si>
  <si>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</si>
  <si>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</si>
  <si>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</si>
  <si>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</si>
  <si>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</si>
  <si>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</si>
  <si>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</si>
  <si>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</si>
  <si>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</si>
  <si>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</si>
  <si>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</si>
  <si>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</si>
  <si>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</si>
  <si>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</si>
  <si>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</si>
  <si>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</si>
  <si>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</si>
  <si>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</si>
  <si>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</si>
  <si>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</si>
  <si>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</si>
  <si>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</si>
  <si>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</si>
  <si>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</si>
  <si>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</si>
  <si>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</si>
  <si>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</si>
  <si>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</si>
  <si>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</si>
  <si>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</si>
  <si>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</si>
  <si>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</si>
  <si>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</si>
  <si>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</si>
  <si>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</si>
  <si>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</si>
  <si>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</si>
  <si>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</si>
  <si>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</si>
  <si>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</si>
  <si>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</si>
  <si>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</si>
  <si>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</si>
  <si>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</si>
  <si>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</si>
  <si>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</si>
  <si>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</si>
  <si>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</si>
  <si>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</si>
  <si>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</si>
  <si>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</si>
  <si>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</si>
  <si>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</si>
  <si>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</si>
  <si>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</si>
  <si>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</si>
  <si>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</si>
  <si>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</si>
  <si>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</si>
  <si>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</si>
  <si>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</si>
  <si>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</si>
  <si>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</si>
  <si>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</si>
  <si>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</si>
  <si>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</si>
  <si>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</si>
  <si>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</si>
  <si>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</si>
  <si>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</si>
  <si>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</si>
  <si>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</si>
  <si>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</si>
  <si>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</si>
  <si>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</si>
  <si>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</si>
  <si>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</si>
  <si>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</si>
  <si>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</si>
  <si>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</si>
  <si>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</si>
  <si>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</si>
  <si>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</si>
  <si>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</si>
  <si>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</si>
  <si>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</si>
  <si>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</si>
  <si>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</si>
  <si>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</si>
  <si>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</si>
  <si>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</si>
  <si>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</si>
  <si>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</si>
  <si>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</si>
  <si>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</si>
  <si>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</si>
  <si>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</si>
  <si>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</si>
  <si>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</si>
  <si>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</si>
  <si>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</si>
  <si>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</si>
  <si>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</si>
  <si>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</si>
  <si>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</si>
  <si>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</si>
  <si>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</si>
  <si>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</si>
  <si>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</si>
  <si>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</si>
  <si>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</si>
  <si>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</si>
  <si>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</si>
  <si>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</si>
  <si>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</si>
  <si>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</si>
  <si>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</si>
  <si>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</si>
  <si>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</si>
  <si>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</si>
  <si>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</si>
  <si>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</si>
  <si>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</si>
  <si>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</si>
  <si>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</si>
  <si>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</si>
  <si>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</si>
  <si>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</si>
  <si>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</si>
  <si>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</si>
  <si>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</si>
  <si>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</si>
  <si>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</si>
  <si>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</si>
  <si>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</si>
  <si>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</si>
  <si>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</si>
  <si>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</si>
  <si>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</si>
  <si>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</si>
  <si>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</si>
  <si>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</si>
  <si>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</si>
  <si>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</si>
  <si>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</si>
  <si>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</si>
  <si>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</si>
  <si>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</si>
  <si>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</si>
  <si>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</si>
  <si>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</si>
  <si>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</si>
  <si>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</si>
  <si>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</si>
  <si>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</si>
  <si>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</si>
  <si>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</si>
  <si>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</si>
  <si>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</si>
  <si>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</si>
  <si>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</si>
  <si>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</si>
  <si>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</si>
  <si>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</si>
  <si>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</si>
  <si>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</si>
  <si>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</si>
  <si>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</si>
  <si>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</si>
  <si>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</si>
  <si>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</si>
  <si>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</si>
  <si>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</si>
  <si>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</si>
  <si>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</si>
  <si>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</si>
  <si>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</si>
  <si>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</si>
  <si>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</si>
  <si>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</si>
  <si>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</si>
  <si>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</si>
  <si>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</si>
  <si>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</si>
  <si>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</si>
  <si>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</si>
  <si>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</si>
  <si>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</si>
  <si>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</si>
  <si>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</si>
  <si>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</si>
  <si>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</si>
  <si>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</si>
  <si>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</si>
  <si>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</si>
  <si>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</si>
  <si>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</si>
  <si>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</si>
  <si>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</si>
  <si>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</si>
  <si>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</si>
  <si>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</si>
  <si>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</si>
  <si>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</si>
  <si>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</si>
  <si>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</si>
  <si>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</si>
  <si>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</si>
  <si>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</si>
  <si>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</si>
  <si>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</si>
  <si>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</si>
  <si>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</si>
  <si>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</si>
  <si>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</si>
  <si>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</si>
  <si>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</si>
  <si>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</si>
  <si>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</si>
  <si>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</si>
  <si>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</si>
  <si>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</si>
  <si>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</si>
  <si>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</si>
  <si>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</si>
  <si>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</si>
  <si>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</si>
  <si>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</si>
  <si>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</si>
  <si>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</si>
  <si>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</si>
  <si>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</si>
  <si>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</si>
  <si>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</si>
  <si>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</si>
  <si>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</si>
  <si>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</si>
  <si>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</si>
  <si>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</si>
  <si>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</si>
  <si>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</si>
  <si>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</si>
  <si>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</si>
  <si>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</si>
  <si>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</si>
  <si>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</si>
  <si>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</si>
  <si>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</si>
  <si>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</si>
  <si>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</si>
  <si>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</si>
  <si>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</si>
  <si>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</si>
  <si>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</si>
  <si>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</si>
  <si>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</si>
  <si>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</si>
  <si>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</si>
  <si>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</si>
  <si>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</si>
  <si>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</si>
  <si>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</si>
  <si>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</si>
  <si>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</si>
  <si>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</si>
  <si>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</si>
  <si>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</si>
  <si>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</si>
  <si>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</si>
  <si>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</si>
  <si>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</si>
  <si>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</si>
  <si>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</si>
  <si>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</si>
  <si>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</si>
  <si>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</si>
  <si>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</si>
  <si>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</si>
  <si>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</si>
  <si>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</si>
  <si>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</si>
  <si>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</si>
  <si>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</si>
  <si>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</si>
  <si>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</si>
  <si>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</si>
  <si>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</si>
  <si>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</si>
  <si>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</si>
  <si>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</si>
  <si>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</si>
  <si>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No.  If change to C-C HW, all ranges match.</t>
  </si>
  <si>
    <t>Dave Bolha</t>
  </si>
  <si>
    <t>Green Lake</t>
  </si>
  <si>
    <t>Roy Creek US Cty O</t>
  </si>
  <si>
    <t>Verified as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</si>
</sst>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C36" sqref="C3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909</v>
      </c>
      <c r="C4" s="151"/>
      <c r="D4" s="151"/>
      <c r="F4" s="2" t="s">
        <v>865</v>
      </c>
    </row>
    <row r="5" spans="1:19" ht="15" x14ac:dyDescent="0.25">
      <c r="A5" s="1" t="s">
        <v>860</v>
      </c>
      <c r="B5" s="50">
        <v>42018</v>
      </c>
      <c r="C5" s="51"/>
      <c r="D5" s="33"/>
      <c r="F5" s="29"/>
      <c r="G5" s="32"/>
      <c r="H5" s="32"/>
      <c r="I5" s="32"/>
      <c r="J5" s="32"/>
      <c r="K5" s="32"/>
      <c r="L5" s="32"/>
      <c r="M5" s="32"/>
      <c r="N5" s="32"/>
      <c r="O5" s="32"/>
      <c r="P5" s="32"/>
      <c r="Q5" s="32"/>
      <c r="R5" s="32" t="s">
        <v>400</v>
      </c>
    </row>
    <row r="6" spans="1:19" ht="15" x14ac:dyDescent="0.25">
      <c r="A6" s="1" t="s">
        <v>858</v>
      </c>
      <c r="B6" s="52">
        <v>41830</v>
      </c>
      <c r="C6" s="53"/>
      <c r="D6" s="54"/>
      <c r="F6" s="30"/>
      <c r="G6" s="32"/>
      <c r="H6" s="32"/>
      <c r="I6" s="32"/>
      <c r="J6" s="32"/>
      <c r="K6" s="32"/>
      <c r="L6" s="32"/>
      <c r="M6" s="32"/>
      <c r="N6" s="32"/>
      <c r="O6" s="32"/>
      <c r="P6" s="32"/>
      <c r="Q6" s="32"/>
      <c r="R6" s="32" t="s">
        <v>902</v>
      </c>
    </row>
    <row r="7" spans="1:19" s="32" customFormat="1" ht="15" x14ac:dyDescent="0.25">
      <c r="A7" s="32" t="s">
        <v>905</v>
      </c>
      <c r="B7" s="147">
        <v>10021317</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910</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148200</v>
      </c>
      <c r="C13" s="151"/>
      <c r="D13" s="151"/>
      <c r="F13" s="31"/>
      <c r="G13" s="31"/>
      <c r="H13" s="31"/>
      <c r="I13" s="31"/>
      <c r="J13" s="31"/>
      <c r="K13" s="31"/>
      <c r="L13" s="31"/>
      <c r="M13" s="31"/>
      <c r="N13" s="31"/>
      <c r="O13" s="31"/>
      <c r="P13" s="31"/>
      <c r="Q13" s="31"/>
      <c r="R13" s="31"/>
    </row>
    <row r="14" spans="1:19" s="32" customFormat="1" ht="15" x14ac:dyDescent="0.25">
      <c r="A14" s="32" t="s">
        <v>863</v>
      </c>
      <c r="B14" s="144" t="s">
        <v>516</v>
      </c>
      <c r="C14" s="48"/>
      <c r="D14" s="49"/>
      <c r="E14" s="11" t="s">
        <v>904</v>
      </c>
      <c r="F14" s="31"/>
    </row>
    <row r="16" spans="1:19" ht="15" x14ac:dyDescent="0.25">
      <c r="A16" s="1" t="s">
        <v>33</v>
      </c>
      <c r="B16" s="154" t="s">
        <v>6</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145" t="s">
        <v>277</v>
      </c>
      <c r="B20" s="146">
        <v>27</v>
      </c>
      <c r="C20" s="26" t="str">
        <f>IFERROR(VLOOKUP($A20,'Species guilds'!$A$3:$F$300,3,FALSE),0)</f>
        <v>C</v>
      </c>
      <c r="D20" s="26" t="str">
        <f>IFERROR(VLOOKUP($A20,'Species guilds'!$A$3:$F$300,4,FALSE),0)</f>
        <v>S</v>
      </c>
      <c r="E20" s="26" t="str">
        <f>IFERROR(VLOOKUP($A20,'Species guilds'!$A$3:$F$300,5,FALSE),0)</f>
        <v>IT</v>
      </c>
      <c r="F20" s="26">
        <f t="shared" ref="F20:F52" si="0">IF(AND(M20&gt;0,B20&gt;0)=FALSE,B20,0)</f>
        <v>27</v>
      </c>
      <c r="G20" s="26">
        <f>IF(D20="Lake",0,1)</f>
        <v>1</v>
      </c>
      <c r="H20" s="26">
        <f>IF($C20=H$19,$B20*G20,0)</f>
        <v>27</v>
      </c>
      <c r="I20" s="26">
        <f>IF($C20=I$19,$B20*G20,0)</f>
        <v>0</v>
      </c>
      <c r="J20" s="26">
        <f>IF($C20=J$19,$B20*G20,0)</f>
        <v>0</v>
      </c>
      <c r="K20" s="26">
        <f>IF($D20=K$19,$B20*G20,0)</f>
        <v>27</v>
      </c>
      <c r="L20" s="26">
        <f>IF($D20=L$19,$B20*G20,0)</f>
        <v>0</v>
      </c>
      <c r="M20" s="26">
        <f>IF($D20=M$19,$B20,0)</f>
        <v>0</v>
      </c>
      <c r="N20" s="26">
        <f>IF($D20=N$19,$B20*G20,0)</f>
        <v>0</v>
      </c>
      <c r="O20" s="26">
        <f>IF($E20=O$19,$B20*G20,0)</f>
        <v>27</v>
      </c>
      <c r="P20" s="26">
        <f>IF($E20=P$19,$B20*G20,0)</f>
        <v>0</v>
      </c>
      <c r="Q20" s="26">
        <f>IF($E20=Q$19,$B20*G20,0)</f>
        <v>0</v>
      </c>
      <c r="R20" s="27" t="str">
        <f t="shared" ref="R20:R52" si="1">IF(AND(B20&gt;0,C20=0)=TRUE,"SPECIES NOT FOUND, CHECK SPELLING","")</f>
        <v/>
      </c>
      <c r="T20" s="59"/>
      <c r="U20" s="60"/>
      <c r="V20" s="60"/>
      <c r="W20" s="60"/>
      <c r="X20" s="60"/>
      <c r="Y20" s="60"/>
    </row>
    <row r="21" spans="1:25" ht="15" x14ac:dyDescent="0.25">
      <c r="A21" s="145" t="s">
        <v>190</v>
      </c>
      <c r="B21" s="146">
        <v>3</v>
      </c>
      <c r="C21" s="26" t="str">
        <f>IFERROR(VLOOKUP($A21,'Species guilds'!$A$3:$F$300,3,FALSE),0)</f>
        <v>T</v>
      </c>
      <c r="D21" s="26" t="str">
        <f>IFERROR(VLOOKUP($A21,'Species guilds'!$A$3:$F$300,4,FALSE),0)</f>
        <v>S</v>
      </c>
      <c r="E21" s="26" t="str">
        <f>IFERROR(VLOOKUP($A21,'Species guilds'!$A$3:$F$300,5,FALSE),0)</f>
        <v>T</v>
      </c>
      <c r="F21" s="26">
        <f t="shared" si="0"/>
        <v>3</v>
      </c>
      <c r="G21" s="26">
        <f t="shared" ref="G21:G52" si="2">IF(D21="Lake",0,1)</f>
        <v>1</v>
      </c>
      <c r="H21" s="26">
        <f t="shared" ref="H21:H52" si="3">IF($C21=H$19,$B21*G21,0)</f>
        <v>0</v>
      </c>
      <c r="I21" s="26">
        <f t="shared" ref="I21:I52" si="4">IF($C21=I$19,$B21*G21,0)</f>
        <v>3</v>
      </c>
      <c r="J21" s="26">
        <f t="shared" ref="J21:J52" si="5">IF($C21=J$19,$B21*G21,0)</f>
        <v>0</v>
      </c>
      <c r="K21" s="26">
        <f t="shared" ref="K21:K52" si="6">IF($D21=K$19,$B21*G21,0)</f>
        <v>3</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3</v>
      </c>
      <c r="R21" s="27" t="str">
        <f t="shared" si="1"/>
        <v/>
      </c>
      <c r="T21" s="58"/>
      <c r="U21" s="58"/>
      <c r="V21" s="58"/>
      <c r="W21" s="58"/>
      <c r="X21" s="58"/>
      <c r="Y21" s="58"/>
    </row>
    <row r="22" spans="1:25" ht="15" x14ac:dyDescent="0.25">
      <c r="A22" s="145" t="s">
        <v>182</v>
      </c>
      <c r="B22" s="146">
        <v>21</v>
      </c>
      <c r="C22" s="26" t="str">
        <f>IFERROR(VLOOKUP($A22,'Species guilds'!$A$3:$F$300,3,FALSE),0)</f>
        <v>W</v>
      </c>
      <c r="D22" s="26" t="str">
        <f>IFERROR(VLOOKUP($A22,'Species guilds'!$A$3:$F$300,4,FALSE),0)</f>
        <v>S</v>
      </c>
      <c r="E22" s="26" t="str">
        <f>IFERROR(VLOOKUP($A22,'Species guilds'!$A$3:$F$300,5,FALSE),0)</f>
        <v>T</v>
      </c>
      <c r="F22" s="26">
        <f t="shared" si="0"/>
        <v>21</v>
      </c>
      <c r="G22" s="26">
        <f t="shared" si="2"/>
        <v>1</v>
      </c>
      <c r="H22" s="26">
        <f t="shared" si="3"/>
        <v>0</v>
      </c>
      <c r="I22" s="26">
        <f t="shared" si="4"/>
        <v>0</v>
      </c>
      <c r="J22" s="26">
        <f t="shared" si="5"/>
        <v>21</v>
      </c>
      <c r="K22" s="26">
        <f t="shared" si="6"/>
        <v>21</v>
      </c>
      <c r="L22" s="26">
        <f t="shared" si="7"/>
        <v>0</v>
      </c>
      <c r="M22" s="26">
        <f t="shared" si="8"/>
        <v>0</v>
      </c>
      <c r="N22" s="26">
        <f t="shared" si="9"/>
        <v>0</v>
      </c>
      <c r="O22" s="26">
        <f t="shared" si="10"/>
        <v>0</v>
      </c>
      <c r="P22" s="26">
        <f t="shared" si="11"/>
        <v>0</v>
      </c>
      <c r="Q22" s="26">
        <f t="shared" si="12"/>
        <v>21</v>
      </c>
      <c r="R22" s="27" t="str">
        <f t="shared" si="1"/>
        <v/>
      </c>
      <c r="T22" s="58"/>
      <c r="U22" s="58"/>
      <c r="V22" s="58"/>
      <c r="W22" s="58"/>
      <c r="X22" s="58"/>
      <c r="Y22" s="58"/>
    </row>
    <row r="23" spans="1:25" ht="15" x14ac:dyDescent="0.25">
      <c r="A23" s="145" t="s">
        <v>293</v>
      </c>
      <c r="B23" s="146">
        <v>1</v>
      </c>
      <c r="C23" s="26" t="str">
        <f>IFERROR(VLOOKUP($A23,'Species guilds'!$A$3:$F$300,3,FALSE),0)</f>
        <v>W</v>
      </c>
      <c r="D23" s="26" t="str">
        <f>IFERROR(VLOOKUP($A23,'Species guilds'!$A$3:$F$300,4,FALSE),0)</f>
        <v>S</v>
      </c>
      <c r="E23" s="26" t="str">
        <f>IFERROR(VLOOKUP($A23,'Species guilds'!$A$3:$F$300,5,FALSE),0)</f>
        <v>T</v>
      </c>
      <c r="F23" s="26">
        <f t="shared" si="0"/>
        <v>1</v>
      </c>
      <c r="G23" s="26">
        <f t="shared" si="2"/>
        <v>1</v>
      </c>
      <c r="H23" s="26">
        <f t="shared" si="3"/>
        <v>0</v>
      </c>
      <c r="I23" s="26">
        <f t="shared" si="4"/>
        <v>0</v>
      </c>
      <c r="J23" s="26">
        <f t="shared" si="5"/>
        <v>1</v>
      </c>
      <c r="K23" s="26">
        <f t="shared" si="6"/>
        <v>1</v>
      </c>
      <c r="L23" s="26">
        <f t="shared" si="7"/>
        <v>0</v>
      </c>
      <c r="M23" s="26">
        <f t="shared" si="8"/>
        <v>0</v>
      </c>
      <c r="N23" s="26">
        <f t="shared" si="9"/>
        <v>0</v>
      </c>
      <c r="O23" s="26">
        <f t="shared" si="10"/>
        <v>0</v>
      </c>
      <c r="P23" s="26">
        <f t="shared" si="11"/>
        <v>0</v>
      </c>
      <c r="Q23" s="26">
        <f t="shared" si="12"/>
        <v>1</v>
      </c>
      <c r="R23" s="27" t="str">
        <f t="shared" si="1"/>
        <v/>
      </c>
      <c r="T23" s="58"/>
      <c r="U23" s="58"/>
      <c r="V23" s="58"/>
      <c r="W23" s="58"/>
      <c r="X23" s="58"/>
      <c r="Y23" s="58"/>
    </row>
    <row r="24" spans="1:25" ht="15" x14ac:dyDescent="0.25">
      <c r="A24" s="145" t="s">
        <v>364</v>
      </c>
      <c r="B24" s="146">
        <v>11</v>
      </c>
      <c r="C24" s="26" t="str">
        <f>IFERROR(VLOOKUP($A24,'Species guilds'!$A$3:$F$300,3,FALSE),0)</f>
        <v>T</v>
      </c>
      <c r="D24" s="26" t="str">
        <f>IFERROR(VLOOKUP($A24,'Species guilds'!$A$3:$F$300,4,FALSE),0)</f>
        <v>M</v>
      </c>
      <c r="E24" s="26" t="str">
        <f>IFERROR(VLOOKUP($A24,'Species guilds'!$A$3:$F$300,5,FALSE),0)</f>
        <v>T</v>
      </c>
      <c r="F24" s="26">
        <f t="shared" si="0"/>
        <v>11</v>
      </c>
      <c r="G24" s="26">
        <f t="shared" si="2"/>
        <v>1</v>
      </c>
      <c r="H24" s="26">
        <f t="shared" si="3"/>
        <v>0</v>
      </c>
      <c r="I24" s="26">
        <f t="shared" si="4"/>
        <v>11</v>
      </c>
      <c r="J24" s="26">
        <f t="shared" si="5"/>
        <v>0</v>
      </c>
      <c r="K24" s="26">
        <f t="shared" si="6"/>
        <v>0</v>
      </c>
      <c r="L24" s="26">
        <f t="shared" si="7"/>
        <v>11</v>
      </c>
      <c r="M24" s="26">
        <f t="shared" si="8"/>
        <v>0</v>
      </c>
      <c r="N24" s="26">
        <f t="shared" si="9"/>
        <v>0</v>
      </c>
      <c r="O24" s="26">
        <f t="shared" si="10"/>
        <v>0</v>
      </c>
      <c r="P24" s="26">
        <f t="shared" si="11"/>
        <v>0</v>
      </c>
      <c r="Q24" s="26">
        <f t="shared" si="12"/>
        <v>11</v>
      </c>
      <c r="R24" s="27" t="str">
        <f t="shared" si="1"/>
        <v/>
      </c>
      <c r="T24" s="58"/>
      <c r="U24" s="58"/>
      <c r="V24" s="58"/>
      <c r="W24" s="58"/>
      <c r="X24" s="58"/>
      <c r="Y24" s="58"/>
    </row>
    <row r="25" spans="1:25" ht="15" x14ac:dyDescent="0.25">
      <c r="A25" s="145"/>
      <c r="B25" s="146"/>
      <c r="C25" s="26">
        <f>IFERROR(VLOOKUP($A25,'Species guilds'!$A$3:$F$300,3,FALSE),0)</f>
        <v>0</v>
      </c>
      <c r="D25" s="26">
        <f>IFERROR(VLOOKUP($A25,'Species guilds'!$A$3:$F$300,4,FALSE),0)</f>
        <v>0</v>
      </c>
      <c r="E25" s="26">
        <f>IFERROR(VLOOKUP($A25,'Species guilds'!$A$3:$F$300,5,FALSE),0)</f>
        <v>0</v>
      </c>
      <c r="F25" s="26">
        <f t="shared" si="0"/>
        <v>0</v>
      </c>
      <c r="G25" s="26">
        <f t="shared" si="2"/>
        <v>1</v>
      </c>
      <c r="H25" s="26">
        <f t="shared" si="3"/>
        <v>0</v>
      </c>
      <c r="I25" s="26">
        <f t="shared" si="4"/>
        <v>0</v>
      </c>
      <c r="J25" s="26">
        <f t="shared" si="5"/>
        <v>0</v>
      </c>
      <c r="K25" s="26">
        <f t="shared" si="6"/>
        <v>0</v>
      </c>
      <c r="L25" s="26">
        <f t="shared" si="7"/>
        <v>0</v>
      </c>
      <c r="M25" s="26">
        <f t="shared" si="8"/>
        <v>0</v>
      </c>
      <c r="N25" s="26">
        <f t="shared" si="9"/>
        <v>0</v>
      </c>
      <c r="O25" s="26">
        <f t="shared" si="10"/>
        <v>0</v>
      </c>
      <c r="P25" s="26">
        <f t="shared" si="11"/>
        <v>0</v>
      </c>
      <c r="Q25" s="26">
        <f t="shared" si="12"/>
        <v>0</v>
      </c>
      <c r="R25" s="27" t="str">
        <f t="shared" si="1"/>
        <v/>
      </c>
      <c r="T25" s="58"/>
      <c r="U25" s="58"/>
      <c r="V25" s="58"/>
      <c r="W25" s="58"/>
      <c r="X25" s="58"/>
      <c r="Y25" s="58"/>
    </row>
    <row r="26" spans="1:25" ht="15" x14ac:dyDescent="0.25">
      <c r="A26" s="145"/>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s="145"/>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s="145"/>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s="145"/>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s="25"/>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s="25"/>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s="25"/>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s="25"/>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s="2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s="25"/>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s="25"/>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63</v>
      </c>
      <c r="F53" s="9">
        <f>SUM(F20:F52)</f>
        <v>63</v>
      </c>
      <c r="G53" s="2"/>
      <c r="H53" s="9">
        <f>SUM(H20:H52)</f>
        <v>27</v>
      </c>
      <c r="I53" s="9">
        <f t="shared" ref="I53:Q53" si="14">SUM(I20:I52)</f>
        <v>14</v>
      </c>
      <c r="J53" s="9">
        <f t="shared" si="14"/>
        <v>22</v>
      </c>
      <c r="K53" s="9">
        <f t="shared" si="14"/>
        <v>52</v>
      </c>
      <c r="L53" s="9">
        <f t="shared" si="14"/>
        <v>11</v>
      </c>
      <c r="M53" s="9">
        <f t="shared" si="14"/>
        <v>0</v>
      </c>
      <c r="N53" s="9">
        <f t="shared" si="14"/>
        <v>0</v>
      </c>
      <c r="O53" s="9">
        <f t="shared" si="14"/>
        <v>27</v>
      </c>
      <c r="P53" s="9">
        <f t="shared" si="14"/>
        <v>0</v>
      </c>
      <c r="Q53" s="9">
        <f t="shared" si="14"/>
        <v>36</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F18" sqref="F18"/>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42018</v>
      </c>
      <c r="C5" s="180"/>
      <c r="D5" s="180"/>
      <c r="E5" s="83"/>
      <c r="F5" s="36"/>
    </row>
    <row r="6" spans="1:6" ht="12.75" x14ac:dyDescent="0.2">
      <c r="A6" s="83" t="s">
        <v>858</v>
      </c>
      <c r="B6" s="181">
        <f>'Enter field data'!B6:D6</f>
        <v>41830</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Roy Creek US Cty O</v>
      </c>
      <c r="C9" s="180"/>
      <c r="D9" s="180"/>
      <c r="E9" s="83"/>
      <c r="F9" s="85"/>
    </row>
    <row r="10" spans="1:6" ht="12.75" x14ac:dyDescent="0.2">
      <c r="A10" s="83" t="s">
        <v>37</v>
      </c>
      <c r="B10" s="183" t="str">
        <f>'Enter field data'!B11:D11</f>
        <v>Green Lake</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148200</v>
      </c>
      <c r="C12" s="182"/>
      <c r="D12" s="182"/>
      <c r="E12" s="83"/>
      <c r="F12" s="85"/>
    </row>
    <row r="13" spans="1:6" ht="12.75" x14ac:dyDescent="0.2">
      <c r="A13" s="83" t="s">
        <v>899</v>
      </c>
      <c r="B13" s="86" t="str">
        <f>'Enter field data'!B14</f>
        <v>0403020109</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Coldwater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912</v>
      </c>
      <c r="E18" s="177"/>
      <c r="F18" s="93"/>
    </row>
    <row r="19" spans="1:6" ht="12.75" x14ac:dyDescent="0.2">
      <c r="A19" s="36" t="s">
        <v>885</v>
      </c>
      <c r="B19" s="36"/>
      <c r="C19" s="94"/>
      <c r="D19" s="191"/>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27</v>
      </c>
      <c r="C31" s="115" t="s">
        <v>9</v>
      </c>
      <c r="D31" s="116">
        <f>'Enter field data'!$K$53</f>
        <v>52</v>
      </c>
      <c r="E31" s="117" t="s">
        <v>12</v>
      </c>
      <c r="F31" s="118">
        <f>'Enter field data'!$O$53</f>
        <v>27</v>
      </c>
    </row>
    <row r="32" spans="1:6" ht="12.75" x14ac:dyDescent="0.2">
      <c r="A32" s="113" t="s">
        <v>7</v>
      </c>
      <c r="B32" s="114">
        <f>'Enter field data'!$I$53</f>
        <v>14</v>
      </c>
      <c r="C32" s="115" t="s">
        <v>10</v>
      </c>
      <c r="D32" s="116">
        <f>'Enter field data'!$L$53</f>
        <v>11</v>
      </c>
      <c r="E32" s="117" t="s">
        <v>13</v>
      </c>
      <c r="F32" s="118">
        <f>'Enter field data'!$P$53</f>
        <v>0</v>
      </c>
    </row>
    <row r="33" spans="1:6" ht="12.75" x14ac:dyDescent="0.2">
      <c r="A33" s="113" t="s">
        <v>8</v>
      </c>
      <c r="B33" s="114">
        <f>'Enter field data'!$J$53</f>
        <v>22</v>
      </c>
      <c r="C33" s="115" t="s">
        <v>11</v>
      </c>
      <c r="D33" s="116">
        <f>'Enter field data'!$N$53</f>
        <v>0</v>
      </c>
      <c r="E33" s="117" t="s">
        <v>14</v>
      </c>
      <c r="F33" s="118">
        <f>'Enter field data'!$Q$53</f>
        <v>36</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0.42857142857142855</v>
      </c>
      <c r="C39" s="124">
        <f>VLOOKUP($D$15,'Expected guild %'!$A$5:$G$13,2,FALSE)</f>
        <v>0.25</v>
      </c>
      <c r="D39" s="124">
        <f>VLOOKUP($D$15,'Expected guild %'!$A$5:$G$13,3,FALSE)</f>
        <v>1</v>
      </c>
      <c r="E39" s="125" t="str">
        <f>IF(AND(C39&lt;=B39,B39&lt;= D39)=TRUE,"Y","N")</f>
        <v>Y</v>
      </c>
      <c r="F39" s="36"/>
    </row>
    <row r="40" spans="1:6" ht="12.75" x14ac:dyDescent="0.2">
      <c r="A40" s="113" t="s">
        <v>7</v>
      </c>
      <c r="B40" s="123">
        <f>($B$32/'Enter field data'!$F$53)</f>
        <v>0.22222222222222221</v>
      </c>
      <c r="C40" s="124">
        <f>VLOOKUP($D$15,'Expected guild %'!$A$5:$G$13,4,FALSE)</f>
        <v>0</v>
      </c>
      <c r="D40" s="124">
        <f>VLOOKUP($D$15,'Expected guild %'!$A$5:$G$13,5,FALSE)</f>
        <v>0.75</v>
      </c>
      <c r="E40" s="125" t="str">
        <f>IF(AND(C40&lt;=B40,B40&lt;= D40)=TRUE,"Y","N")</f>
        <v>Y</v>
      </c>
      <c r="F40" s="36"/>
    </row>
    <row r="41" spans="1:6" ht="12.75" x14ac:dyDescent="0.2">
      <c r="A41" s="113" t="s">
        <v>8</v>
      </c>
      <c r="B41" s="123">
        <f>($B$33/'Enter field data'!$F$53)</f>
        <v>0.34920634920634919</v>
      </c>
      <c r="C41" s="124">
        <f>VLOOKUP($D$15,'Expected guild %'!$A$5:$G$13,6,FALSE)</f>
        <v>0</v>
      </c>
      <c r="D41" s="124">
        <f>VLOOKUP($D$15,'Expected guild %'!$A$5:$G$13,7,FALSE)</f>
        <v>0.05</v>
      </c>
      <c r="E41" s="125" t="str">
        <f>IF(AND(C41&lt;=B41,B41&lt;= D41)=TRUE,"Y","N")</f>
        <v>N</v>
      </c>
      <c r="F41" s="36"/>
    </row>
    <row r="42" spans="1:6" ht="12.75" x14ac:dyDescent="0.2">
      <c r="A42" s="36"/>
      <c r="B42" s="36"/>
      <c r="C42" s="36"/>
      <c r="D42" s="36"/>
      <c r="E42" s="36"/>
      <c r="F42" s="36"/>
    </row>
    <row r="43" spans="1:6" ht="12.75" x14ac:dyDescent="0.2">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0.82539682539682535</v>
      </c>
      <c r="C46" s="126">
        <f>VLOOKUP($D$15,'Expected guild %'!$A$19:$G$27,2,FALSE)</f>
        <v>0</v>
      </c>
      <c r="D46" s="124">
        <f>VLOOKUP($D$15,'Expected guild %'!$A$19:$G$27,3,FALSE)</f>
        <v>1</v>
      </c>
      <c r="E46" s="125" t="str">
        <f>IF(AND(C46&lt;=B46,B46&lt;= D46)=TRUE,"Y","N")</f>
        <v>Y</v>
      </c>
      <c r="F46" s="36"/>
    </row>
    <row r="47" spans="1:6" x14ac:dyDescent="0.3">
      <c r="A47" s="113" t="s">
        <v>10</v>
      </c>
      <c r="B47" s="124">
        <f>($D$32/'Enter field data'!$F$53)</f>
        <v>0.17460317460317459</v>
      </c>
      <c r="C47" s="126">
        <f>VLOOKUP($D$15,'Expected guild %'!$A$19:$G$27,4,FALSE)</f>
        <v>0</v>
      </c>
      <c r="D47" s="124">
        <f>VLOOKUP($D$15,'Expected guild %'!$A$19:$G$27,5,FALSE)</f>
        <v>1</v>
      </c>
      <c r="E47" s="125" t="str">
        <f>IF(AND(C47&lt;=B47,B47&lt;= D47)=TRUE,"Y","N")</f>
        <v>Y</v>
      </c>
      <c r="F47" s="36"/>
    </row>
    <row r="48" spans="1:6" x14ac:dyDescent="0.3">
      <c r="A48" s="113" t="s">
        <v>11</v>
      </c>
      <c r="B48" s="124">
        <f>($D$33/'Enter field data'!$F$53)</f>
        <v>0</v>
      </c>
      <c r="C48" s="126">
        <f>VLOOKUP($D$15,'Expected guild %'!$A$19:$G$27,6,FALSE)</f>
        <v>0</v>
      </c>
      <c r="D48" s="124">
        <f>VLOOKUP($D$15,'Expected guild %'!$A$19:$G$27,7,FALSE)</f>
        <v>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908</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0.42857142857142855</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v>
      </c>
      <c r="C70" s="133">
        <f>VLOOKUP($D$15,'Expected guild %'!$A$33:$G$41,4,FALSE)</f>
        <v>0</v>
      </c>
      <c r="D70" s="124">
        <f>VLOOKUP($D$15,'Expected guild %'!$A$33:$G$41,5,FALSE)</f>
        <v>1</v>
      </c>
      <c r="E70" s="125" t="str">
        <f>IF(AND(C70&lt;=B70,B70&lt;= D70)=TRUE,"Y","N")</f>
        <v>Y</v>
      </c>
    </row>
    <row r="71" spans="1:7" x14ac:dyDescent="0.3">
      <c r="A71" s="113" t="s">
        <v>14</v>
      </c>
      <c r="B71" s="123">
        <f>($F$33/'Enter field data'!$F$53)</f>
        <v>0.5714285714285714</v>
      </c>
      <c r="C71" s="133">
        <f>VLOOKUP($D$15,'Expected guild %'!$A$33:$G$41,6,FALSE)</f>
        <v>0</v>
      </c>
      <c r="D71" s="124">
        <f>VLOOKUP($D$15,'Expected guild %'!$A$33:$G$41,7,FALSE)</f>
        <v>0.25</v>
      </c>
      <c r="E71" s="125" t="str">
        <f>IF(AND(C71&lt;=B71,B71&lt;= D71)=TRUE,"Y","N")</f>
        <v>N</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18.861150000000002</v>
      </c>
    </row>
    <row r="85" spans="1:4" x14ac:dyDescent="0.3">
      <c r="A85" s="171"/>
      <c r="B85" s="135" t="s">
        <v>847</v>
      </c>
      <c r="C85" s="136"/>
      <c r="D85" s="137">
        <f>'Weather Results'!C19</f>
        <v>22.040990000000001</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1.9490116666666666</v>
      </c>
    </row>
    <row r="94" spans="1:4" x14ac:dyDescent="0.3">
      <c r="A94" s="170"/>
      <c r="B94" s="135" t="s">
        <v>856</v>
      </c>
      <c r="C94" s="136"/>
      <c r="D94" s="137">
        <f>'Weather Results'!C28</f>
        <v>4.1966479999999997</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41830</v>
      </c>
    </row>
    <row r="2" spans="1:5" s="45" customFormat="1" x14ac:dyDescent="0.3">
      <c r="A2" s="193"/>
      <c r="B2" s="76" t="s">
        <v>832</v>
      </c>
      <c r="C2" s="75" t="str">
        <f>'Enter field data'!$B$14</f>
        <v>0403020109</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20140710</v>
      </c>
    </row>
    <row r="5" spans="1:5" ht="15" hidden="1" x14ac:dyDescent="0.25">
      <c r="A5" s="43"/>
      <c r="B5" s="43" t="s">
        <v>833</v>
      </c>
      <c r="C5" s="65" t="str">
        <f>CONCATENATE(YEAR(C1-30),IF(MONTH(C1-30)&lt;10,"0"&amp;MONTH(C1-30),MONTH(C1-30)),IF(DAY(C1-30)&lt;10,"0"&amp;DAY(C1-30),DAY(C1-30)))</f>
        <v>20140610</v>
      </c>
    </row>
    <row r="6" spans="1:5" ht="15" hidden="1" x14ac:dyDescent="0.25">
      <c r="A6" s="43"/>
      <c r="B6" s="43" t="s">
        <v>834</v>
      </c>
      <c r="C6" s="65" t="str">
        <f>CONCATENATE(YEAR(C1-90),IF(MONTH(C1-90)&lt;10,"0"&amp;MONTH(C1-90),MONTH(C1-90)),IF(DAY(C1-90)&lt;10,"0"&amp;DAY(C1-90),DAY(C1-90)))</f>
        <v>20140411</v>
      </c>
    </row>
    <row r="7" spans="1:5" ht="15" hidden="1" x14ac:dyDescent="0.25">
      <c r="A7" s="43"/>
      <c r="B7" s="43" t="s">
        <v>835</v>
      </c>
      <c r="C7" s="65" t="str">
        <f>CONCATENATE(YEAR(C1-365),IF(MONTH(C1-365)&lt;10,"0"&amp;MONTH(C1-365),MONTH(C1-365)),IF(DAY(C1-365)&lt;10,"0"&amp;DAY(C1-365),DAY(C1-365)))</f>
        <v>20130710</v>
      </c>
    </row>
    <row r="8" spans="1:5" ht="15" hidden="1" x14ac:dyDescent="0.25">
      <c r="A8" s="43"/>
      <c r="B8" s="43" t="s">
        <v>836</v>
      </c>
      <c r="C8" s="65" t="str">
        <f>CONCATENATE(YEAR(C1-1460),IF(MONTH(C1-1460)&lt;10,"0"&amp;MONTH(C1-1460),MONTH(C1-1460)),IF(DAY(C1-1460)&lt;10,"0"&amp;DAY(C1-1460),DAY(C1-1460)))</f>
        <v>20100711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20</v>
      </c>
    </row>
    <row r="12" spans="1:5" ht="15" hidden="1" x14ac:dyDescent="0.25">
      <c r="A12" s="43"/>
      <c r="B12" s="43" t="s">
        <v>840</v>
      </c>
      <c r="C12" s="65">
        <f>IF(MONTH($C$1)=7,DAY($C$1),0)+IF(MONTH($C$1)=8,30-DAY($C$1),0)</f>
        <v>10</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18.861150000000002</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22.040990000000001</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1.9490116666666666</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4.1966479999999997</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x14ac:dyDescent="0.3">
      <c r="A35" s="34" t="s">
        <v>21</v>
      </c>
      <c r="B35" s="8" t="s">
        <v>397</v>
      </c>
      <c r="C35" s="8">
        <v>1</v>
      </c>
      <c r="D35" s="8">
        <v>0</v>
      </c>
      <c r="E35" s="8">
        <v>1</v>
      </c>
      <c r="F35" s="8">
        <v>0</v>
      </c>
      <c r="G35" s="8">
        <v>0.75</v>
      </c>
    </row>
    <row r="36" spans="1:7" x14ac:dyDescent="0.3">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workbookViewId="0">
      <selection activeCell="A96" sqref="A1:A104857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x14ac:dyDescent="0.3">
      <c r="A36" s="13" t="s">
        <v>130</v>
      </c>
      <c r="B36" s="14" t="s">
        <v>131</v>
      </c>
      <c r="C36" s="13" t="s">
        <v>43</v>
      </c>
      <c r="D36" s="13" t="s">
        <v>40</v>
      </c>
      <c r="E36" s="13" t="s">
        <v>46</v>
      </c>
      <c r="F36" s="13"/>
      <c r="G36" s="14"/>
      <c r="H36" s="13"/>
      <c r="I36" s="13"/>
      <c r="K36" s="13"/>
      <c r="L36" s="13"/>
    </row>
    <row r="37" spans="1:12" x14ac:dyDescent="0.3">
      <c r="A37" s="13" t="s">
        <v>132</v>
      </c>
      <c r="B37" s="14" t="s">
        <v>133</v>
      </c>
      <c r="C37" s="13" t="s">
        <v>42</v>
      </c>
      <c r="D37" s="13" t="s">
        <v>41</v>
      </c>
      <c r="E37" s="13" t="s">
        <v>46</v>
      </c>
      <c r="F37" s="13"/>
      <c r="G37" s="14"/>
      <c r="H37" s="13"/>
      <c r="I37" s="13"/>
      <c r="K37" s="13"/>
      <c r="L37" s="13"/>
    </row>
    <row r="38" spans="1:12" x14ac:dyDescent="0.3">
      <c r="A38" s="13" t="s">
        <v>134</v>
      </c>
      <c r="B38" s="14" t="s">
        <v>135</v>
      </c>
      <c r="C38" s="13" t="s">
        <v>43</v>
      </c>
      <c r="D38" s="13" t="s">
        <v>39</v>
      </c>
      <c r="E38" s="13" t="s">
        <v>46</v>
      </c>
      <c r="F38" s="13"/>
      <c r="G38" s="14"/>
      <c r="H38" s="13"/>
      <c r="I38" s="13"/>
      <c r="K38" s="13"/>
      <c r="L38" s="13"/>
    </row>
    <row r="39" spans="1:12" x14ac:dyDescent="0.3">
      <c r="A39" s="13" t="s">
        <v>136</v>
      </c>
      <c r="B39" s="14" t="s">
        <v>137</v>
      </c>
      <c r="C39" s="13" t="s">
        <v>43</v>
      </c>
      <c r="D39" s="13" t="s">
        <v>39</v>
      </c>
      <c r="E39" s="13" t="s">
        <v>42</v>
      </c>
      <c r="F39" s="13"/>
      <c r="G39" s="14"/>
      <c r="H39" s="13"/>
      <c r="I39" s="13"/>
      <c r="K39" s="13"/>
      <c r="L39" s="13"/>
    </row>
    <row r="40" spans="1:12" x14ac:dyDescent="0.3">
      <c r="A40" s="13" t="s">
        <v>138</v>
      </c>
      <c r="B40" s="14" t="s">
        <v>139</v>
      </c>
      <c r="C40" s="13" t="s">
        <v>42</v>
      </c>
      <c r="D40" s="13" t="s">
        <v>39</v>
      </c>
      <c r="E40" s="13" t="s">
        <v>45</v>
      </c>
      <c r="F40" s="13"/>
      <c r="G40" s="14"/>
      <c r="H40" s="13"/>
      <c r="I40" s="13"/>
      <c r="K40" s="13"/>
      <c r="L40" s="13"/>
    </row>
    <row r="41" spans="1:12" x14ac:dyDescent="0.3">
      <c r="A41" s="13" t="s">
        <v>140</v>
      </c>
      <c r="B41" s="14" t="s">
        <v>141</v>
      </c>
      <c r="C41" s="13" t="s">
        <v>43</v>
      </c>
      <c r="D41" s="13" t="s">
        <v>40</v>
      </c>
      <c r="E41" s="13" t="s">
        <v>46</v>
      </c>
      <c r="F41" s="13"/>
      <c r="G41" s="14"/>
      <c r="H41" s="13"/>
      <c r="I41" s="13"/>
      <c r="K41" s="13"/>
      <c r="L41" s="13"/>
    </row>
    <row r="42" spans="1:12" x14ac:dyDescent="0.3">
      <c r="A42" s="13" t="s">
        <v>142</v>
      </c>
      <c r="B42" s="14" t="s">
        <v>143</v>
      </c>
      <c r="C42" s="13" t="s">
        <v>43</v>
      </c>
      <c r="D42" s="13" t="s">
        <v>40</v>
      </c>
      <c r="E42" s="13" t="s">
        <v>46</v>
      </c>
      <c r="F42" s="13"/>
      <c r="G42" s="14"/>
      <c r="H42" s="13"/>
      <c r="I42" s="13"/>
      <c r="K42" s="13"/>
      <c r="L42" s="13"/>
    </row>
    <row r="43" spans="1:12" x14ac:dyDescent="0.3">
      <c r="A43" s="13" t="s">
        <v>144</v>
      </c>
      <c r="B43" s="14" t="s">
        <v>145</v>
      </c>
      <c r="C43" s="13" t="s">
        <v>43</v>
      </c>
      <c r="D43" s="13" t="s">
        <v>40</v>
      </c>
      <c r="E43" s="13" t="s">
        <v>45</v>
      </c>
      <c r="F43" s="13"/>
      <c r="G43" s="14"/>
      <c r="H43" s="13"/>
      <c r="I43" s="13"/>
      <c r="K43" s="13"/>
      <c r="L43" s="13"/>
    </row>
    <row r="44" spans="1:12" x14ac:dyDescent="0.3">
      <c r="A44" s="13" t="s">
        <v>146</v>
      </c>
      <c r="B44" s="14" t="s">
        <v>147</v>
      </c>
      <c r="C44" s="13" t="s">
        <v>43</v>
      </c>
      <c r="D44" s="13" t="s">
        <v>39</v>
      </c>
      <c r="E44" s="13" t="s">
        <v>46</v>
      </c>
      <c r="F44" s="13"/>
      <c r="G44" s="14"/>
      <c r="H44" s="13"/>
      <c r="I44" s="13"/>
      <c r="K44" s="13"/>
      <c r="L44" s="13"/>
    </row>
    <row r="45" spans="1:12" x14ac:dyDescent="0.3">
      <c r="A45" s="13" t="s">
        <v>148</v>
      </c>
      <c r="B45" s="14" t="s">
        <v>149</v>
      </c>
      <c r="C45" s="13" t="s">
        <v>43</v>
      </c>
      <c r="D45" s="13" t="s">
        <v>39</v>
      </c>
      <c r="E45" s="13" t="s">
        <v>46</v>
      </c>
      <c r="F45" s="13"/>
      <c r="G45" s="14"/>
      <c r="H45" s="13"/>
      <c r="I45" s="13"/>
      <c r="K45" s="13"/>
      <c r="L45" s="13"/>
    </row>
    <row r="46" spans="1:12" x14ac:dyDescent="0.3">
      <c r="A46" s="13" t="s">
        <v>150</v>
      </c>
      <c r="B46" s="14" t="s">
        <v>151</v>
      </c>
      <c r="C46" s="13" t="s">
        <v>42</v>
      </c>
      <c r="D46" s="13" t="s">
        <v>39</v>
      </c>
      <c r="E46" s="13" t="s">
        <v>45</v>
      </c>
      <c r="F46" s="13"/>
      <c r="G46" s="14"/>
      <c r="H46" s="13"/>
      <c r="I46" s="13"/>
      <c r="K46" s="13"/>
      <c r="L46" s="13"/>
    </row>
    <row r="47" spans="1:12" x14ac:dyDescent="0.3">
      <c r="A47" s="13" t="s">
        <v>152</v>
      </c>
      <c r="B47" s="14" t="s">
        <v>153</v>
      </c>
      <c r="C47" s="13" t="s">
        <v>42</v>
      </c>
      <c r="D47" s="13" t="s">
        <v>39</v>
      </c>
      <c r="E47" s="13" t="s">
        <v>45</v>
      </c>
      <c r="F47" s="13"/>
      <c r="G47" s="14"/>
      <c r="H47" s="13"/>
      <c r="I47" s="13"/>
      <c r="K47" s="13"/>
      <c r="L47" s="13"/>
    </row>
    <row r="48" spans="1:12" x14ac:dyDescent="0.3">
      <c r="A48" s="13" t="s">
        <v>154</v>
      </c>
      <c r="B48" s="14" t="s">
        <v>155</v>
      </c>
      <c r="C48" s="13" t="s">
        <v>43</v>
      </c>
      <c r="D48" s="13" t="s">
        <v>40</v>
      </c>
      <c r="E48" s="13" t="s">
        <v>45</v>
      </c>
      <c r="F48" s="13"/>
      <c r="G48" s="14"/>
      <c r="H48" s="13"/>
      <c r="I48" s="13"/>
      <c r="K48" s="13"/>
      <c r="L48" s="13"/>
    </row>
    <row r="49" spans="1:12" x14ac:dyDescent="0.3">
      <c r="A49" s="13" t="s">
        <v>156</v>
      </c>
      <c r="B49" s="14" t="s">
        <v>157</v>
      </c>
      <c r="C49" s="13" t="s">
        <v>43</v>
      </c>
      <c r="D49" s="13" t="s">
        <v>39</v>
      </c>
      <c r="E49" s="13" t="s">
        <v>45</v>
      </c>
      <c r="F49" s="13"/>
      <c r="G49" s="14"/>
      <c r="H49" s="13"/>
      <c r="I49" s="13"/>
      <c r="K49" s="13"/>
      <c r="L49" s="13"/>
    </row>
    <row r="50" spans="1:12" x14ac:dyDescent="0.3">
      <c r="A50" s="13" t="s">
        <v>158</v>
      </c>
      <c r="B50" s="14" t="s">
        <v>159</v>
      </c>
      <c r="C50" s="13" t="s">
        <v>43</v>
      </c>
      <c r="D50" s="13" t="s">
        <v>39</v>
      </c>
      <c r="E50" s="13" t="s">
        <v>45</v>
      </c>
      <c r="F50" s="13"/>
      <c r="G50" s="14"/>
      <c r="H50" s="13"/>
      <c r="I50" s="13"/>
      <c r="K50" s="13"/>
      <c r="L50" s="13"/>
    </row>
    <row r="51" spans="1:12" x14ac:dyDescent="0.3">
      <c r="A51" s="13" t="s">
        <v>160</v>
      </c>
      <c r="B51" s="14" t="s">
        <v>161</v>
      </c>
      <c r="C51" s="13" t="s">
        <v>43</v>
      </c>
      <c r="D51" s="13" t="s">
        <v>39</v>
      </c>
      <c r="E51" s="13" t="s">
        <v>45</v>
      </c>
      <c r="F51" s="13"/>
      <c r="G51" s="14"/>
      <c r="H51" s="13"/>
      <c r="I51" s="13"/>
      <c r="K51" s="13"/>
      <c r="L51" s="13"/>
    </row>
    <row r="52" spans="1:12" x14ac:dyDescent="0.3">
      <c r="A52" s="13" t="s">
        <v>162</v>
      </c>
      <c r="B52" s="14" t="s">
        <v>163</v>
      </c>
      <c r="C52" s="13" t="s">
        <v>43</v>
      </c>
      <c r="D52" s="13" t="s">
        <v>40</v>
      </c>
      <c r="E52" s="13" t="s">
        <v>46</v>
      </c>
      <c r="F52" s="13"/>
      <c r="G52" s="14"/>
      <c r="H52" s="13"/>
      <c r="I52" s="13"/>
      <c r="K52" s="13"/>
      <c r="L52" s="13"/>
    </row>
    <row r="53" spans="1:12" x14ac:dyDescent="0.3">
      <c r="A53" s="13" t="s">
        <v>164</v>
      </c>
      <c r="B53" s="14" t="s">
        <v>165</v>
      </c>
      <c r="C53" s="13" t="s">
        <v>43</v>
      </c>
      <c r="D53" s="13" t="s">
        <v>40</v>
      </c>
      <c r="E53" s="13" t="s">
        <v>45</v>
      </c>
      <c r="F53" s="13"/>
      <c r="G53" s="14"/>
      <c r="H53" s="13"/>
      <c r="I53" s="13"/>
      <c r="K53" s="13"/>
      <c r="L53" s="13"/>
    </row>
    <row r="54" spans="1:12" x14ac:dyDescent="0.3">
      <c r="A54" s="13" t="s">
        <v>166</v>
      </c>
      <c r="B54" s="14" t="s">
        <v>167</v>
      </c>
      <c r="C54" s="13" t="s">
        <v>43</v>
      </c>
      <c r="D54" s="13" t="s">
        <v>40</v>
      </c>
      <c r="E54" s="13" t="s">
        <v>46</v>
      </c>
      <c r="F54" s="13"/>
      <c r="G54" s="14"/>
      <c r="H54" s="13"/>
      <c r="I54" s="13"/>
      <c r="K54" s="13"/>
      <c r="L54" s="13"/>
    </row>
    <row r="55" spans="1:12" x14ac:dyDescent="0.3">
      <c r="A55" s="13" t="s">
        <v>168</v>
      </c>
      <c r="B55" s="14" t="s">
        <v>169</v>
      </c>
      <c r="C55" s="13" t="s">
        <v>43</v>
      </c>
      <c r="D55" s="13" t="s">
        <v>40</v>
      </c>
      <c r="E55" s="13" t="s">
        <v>46</v>
      </c>
      <c r="F55" s="13"/>
      <c r="G55" s="14"/>
      <c r="H55" s="13"/>
      <c r="I55" s="13"/>
      <c r="K55" s="13"/>
      <c r="L55" s="13"/>
    </row>
    <row r="56" spans="1:12" x14ac:dyDescent="0.3">
      <c r="A56" s="13" t="s">
        <v>170</v>
      </c>
      <c r="B56" s="14" t="s">
        <v>171</v>
      </c>
      <c r="C56" s="13" t="s">
        <v>43</v>
      </c>
      <c r="D56" s="13" t="s">
        <v>40</v>
      </c>
      <c r="E56" s="13" t="s">
        <v>46</v>
      </c>
      <c r="F56" s="13"/>
      <c r="G56" s="14"/>
      <c r="H56" s="13"/>
      <c r="I56" s="13"/>
      <c r="K56" s="13"/>
      <c r="L56" s="13"/>
    </row>
    <row r="57" spans="1:12" x14ac:dyDescent="0.3">
      <c r="A57" s="13" t="s">
        <v>172</v>
      </c>
      <c r="B57" s="14" t="s">
        <v>173</v>
      </c>
      <c r="C57" s="13" t="s">
        <v>43</v>
      </c>
      <c r="D57" s="13" t="s">
        <v>39</v>
      </c>
      <c r="E57" s="13" t="s">
        <v>46</v>
      </c>
      <c r="F57" s="13"/>
      <c r="G57" s="14"/>
      <c r="H57" s="13"/>
      <c r="I57" s="13"/>
      <c r="K57" s="13"/>
      <c r="L57" s="13"/>
    </row>
    <row r="58" spans="1:12" x14ac:dyDescent="0.3">
      <c r="A58" s="13" t="s">
        <v>174</v>
      </c>
      <c r="B58" s="14" t="s">
        <v>175</v>
      </c>
      <c r="C58" s="13" t="s">
        <v>42</v>
      </c>
      <c r="D58" s="13" t="s">
        <v>41</v>
      </c>
      <c r="E58" s="13" t="s">
        <v>46</v>
      </c>
      <c r="F58" s="13"/>
      <c r="G58" s="14"/>
      <c r="H58" s="13"/>
      <c r="I58" s="13"/>
      <c r="K58" s="13"/>
      <c r="L58" s="13"/>
    </row>
    <row r="59" spans="1:12" x14ac:dyDescent="0.3">
      <c r="A59" s="13" t="s">
        <v>176</v>
      </c>
      <c r="B59" s="14" t="s">
        <v>177</v>
      </c>
      <c r="C59" s="13" t="s">
        <v>43</v>
      </c>
      <c r="D59" s="13" t="s">
        <v>41</v>
      </c>
      <c r="E59" s="13" t="s">
        <v>46</v>
      </c>
      <c r="F59" s="13"/>
      <c r="G59" s="14"/>
      <c r="H59" s="13"/>
      <c r="I59" s="13"/>
      <c r="K59" s="13"/>
      <c r="L59" s="13"/>
    </row>
    <row r="60" spans="1:12" x14ac:dyDescent="0.3">
      <c r="A60" s="13" t="s">
        <v>178</v>
      </c>
      <c r="B60" s="14" t="s">
        <v>179</v>
      </c>
      <c r="C60" s="13" t="s">
        <v>42</v>
      </c>
      <c r="D60" s="13" t="s">
        <v>41</v>
      </c>
      <c r="E60" s="13" t="s">
        <v>46</v>
      </c>
      <c r="F60" s="13"/>
      <c r="G60" s="14"/>
      <c r="H60" s="13"/>
      <c r="I60" s="13"/>
      <c r="K60" s="13"/>
      <c r="L60" s="13"/>
    </row>
    <row r="61" spans="1:12" x14ac:dyDescent="0.3">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David Bolha</cp:lastModifiedBy>
  <cp:lastPrinted>2014-05-02T22:32:20Z</cp:lastPrinted>
  <dcterms:created xsi:type="dcterms:W3CDTF">2013-05-15T16:35:53Z</dcterms:created>
  <dcterms:modified xsi:type="dcterms:W3CDTF">2015-11-25T23:33:40Z</dcterms:modified>
</cp:coreProperties>
</file>