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23" i="9" s="1"/>
  <c r="D89" i="4" s="1"/>
  <c r="C7" i="9"/>
  <c r="C9" i="9"/>
  <c r="C28" i="9" s="1"/>
  <c r="D94" i="4" s="1"/>
  <c r="C11" i="9"/>
  <c r="C13" i="9"/>
  <c r="C24" i="9"/>
  <c r="D90" i="4" s="1"/>
  <c r="C19" i="9"/>
  <c r="D85" i="4" s="1"/>
  <c r="C22" i="9" l="1"/>
  <c r="C17" i="9"/>
  <c r="D83" i="4" s="1"/>
  <c r="C25" i="9"/>
  <c r="D91" i="4" s="1"/>
  <c r="C18" i="9"/>
  <c r="D84" i="4" s="1"/>
  <c r="C26" i="9"/>
  <c r="D92" i="4" s="1"/>
  <c r="D88" i="4"/>
  <c r="C27" i="9"/>
  <c r="D93" i="4" s="1"/>
  <c r="C29" i="9"/>
  <c r="D95" i="4" s="1"/>
  <c r="C46" i="4"/>
  <c r="C39" i="4"/>
  <c r="C69" i="4"/>
  <c r="C20" i="9" l="1"/>
  <c r="D86" i="4" s="1"/>
  <c r="D71" i="4"/>
  <c r="C71" i="4"/>
  <c r="D70" i="4"/>
  <c r="C70" i="4"/>
  <c r="D69" i="4"/>
  <c r="D48" i="4"/>
  <c r="C48" i="4"/>
  <c r="D47" i="4"/>
  <c r="C47" i="4"/>
  <c r="D46" i="4"/>
  <c r="D41" i="4"/>
  <c r="C41" i="4"/>
  <c r="D40" i="4"/>
  <c r="C40" i="4"/>
  <c r="D39" i="4"/>
  <c r="B7" i="4"/>
  <c r="B10" i="4"/>
  <c r="B12" i="4"/>
  <c r="B11" i="4"/>
  <c r="B9" i="4"/>
  <c r="B5" i="4"/>
  <c r="B4" i="4"/>
  <c r="B53" i="1"/>
  <c r="C22" i="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E29" i="1"/>
  <c r="E30" i="1"/>
  <c r="E31" i="1"/>
  <c r="E32" i="1"/>
  <c r="E33" i="1"/>
  <c r="E34" i="1"/>
  <c r="E38" i="1"/>
  <c r="E39" i="1"/>
  <c r="E40" i="1"/>
  <c r="E41" i="1"/>
  <c r="E42" i="1"/>
  <c r="E43" i="1"/>
  <c r="E44" i="1"/>
  <c r="E45" i="1"/>
  <c r="E46" i="1"/>
  <c r="E47" i="1"/>
  <c r="E48" i="1"/>
  <c r="E49" i="1"/>
  <c r="E50" i="1"/>
  <c r="E51" i="1"/>
  <c r="E52" i="1"/>
  <c r="E20" i="1"/>
  <c r="D23" i="1"/>
  <c r="M23" i="1" s="1"/>
  <c r="F23" i="1" s="1"/>
  <c r="D24" i="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C24" i="1"/>
  <c r="R24" i="1" s="1"/>
  <c r="C25" i="1"/>
  <c r="C26" i="1"/>
  <c r="C27" i="1"/>
  <c r="C28" i="1"/>
  <c r="C29" i="1"/>
  <c r="C30" i="1"/>
  <c r="C31" i="1"/>
  <c r="C32" i="1"/>
  <c r="C33" i="1"/>
  <c r="C34" i="1"/>
  <c r="C38" i="1"/>
  <c r="C39" i="1"/>
  <c r="C40" i="1"/>
  <c r="C41" i="1"/>
  <c r="R41" i="1" s="1"/>
  <c r="C42" i="1"/>
  <c r="R42" i="1" s="1"/>
  <c r="C43" i="1"/>
  <c r="H43" i="1" s="1"/>
  <c r="C44" i="1"/>
  <c r="C45" i="1"/>
  <c r="C46" i="1"/>
  <c r="C47" i="1"/>
  <c r="H47" i="1" s="1"/>
  <c r="C48" i="1"/>
  <c r="C49" i="1"/>
  <c r="R49" i="1" s="1"/>
  <c r="C50" i="1"/>
  <c r="C51" i="1"/>
  <c r="H51" i="1" s="1"/>
  <c r="C52" i="1"/>
  <c r="C20" i="1"/>
  <c r="R20" i="1" s="1"/>
  <c r="R23" i="1"/>
  <c r="R46" i="1"/>
  <c r="R43" i="1"/>
  <c r="R32" i="1"/>
  <c r="R25" i="1"/>
  <c r="R38" i="1"/>
  <c r="R50" i="1"/>
  <c r="R35" i="1"/>
  <c r="R37" i="1"/>
  <c r="R47" i="1"/>
  <c r="R22" i="1"/>
  <c r="M51" i="1"/>
  <c r="F51" i="1" s="1"/>
  <c r="M47" i="1"/>
  <c r="F47" i="1" s="1"/>
  <c r="M43" i="1"/>
  <c r="F43" i="1" s="1"/>
  <c r="M39" i="1"/>
  <c r="F39" i="1" s="1"/>
  <c r="M35" i="1"/>
  <c r="F35" i="1" s="1"/>
  <c r="R45" i="1"/>
  <c r="R51" i="1"/>
  <c r="R33" i="1"/>
  <c r="R31" i="1"/>
  <c r="M50" i="1"/>
  <c r="F50" i="1" s="1"/>
  <c r="M46" i="1"/>
  <c r="F46" i="1" s="1"/>
  <c r="M42" i="1"/>
  <c r="F42" i="1" s="1"/>
  <c r="R48" i="1"/>
  <c r="M49" i="1"/>
  <c r="F49" i="1" s="1"/>
  <c r="M37" i="1"/>
  <c r="F37" i="1" s="1"/>
  <c r="R34" i="1"/>
  <c r="M52" i="1"/>
  <c r="F52" i="1" s="1"/>
  <c r="M48" i="1"/>
  <c r="F48" i="1" s="1"/>
  <c r="M24" i="1"/>
  <c r="F24" i="1" s="1"/>
  <c r="R26" i="1"/>
  <c r="R30" i="1"/>
  <c r="O30" i="1"/>
  <c r="H30" i="1"/>
  <c r="R29" i="1"/>
  <c r="N29" i="1"/>
  <c r="P29" i="1"/>
  <c r="G29" i="1"/>
  <c r="Q29" i="1" s="1"/>
  <c r="H29" i="1"/>
  <c r="K29" i="1"/>
  <c r="R28" i="1"/>
  <c r="H28" i="1"/>
  <c r="P30" i="1"/>
  <c r="P28" i="1" l="1"/>
  <c r="J28" i="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I32"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L32" i="1"/>
  <c r="G32" i="1"/>
  <c r="J32" i="1" s="1"/>
  <c r="K32" i="1"/>
  <c r="N26" i="1"/>
  <c r="N24" i="1"/>
  <c r="Q51" i="1"/>
  <c r="P51" i="1"/>
  <c r="O51" i="1"/>
  <c r="Q49" i="1"/>
  <c r="P49" i="1"/>
  <c r="O49" i="1"/>
  <c r="Q47" i="1"/>
  <c r="P47" i="1"/>
  <c r="O47" i="1"/>
  <c r="Q45" i="1"/>
  <c r="P45" i="1"/>
  <c r="O45" i="1"/>
  <c r="Q43" i="1"/>
  <c r="P43" i="1"/>
  <c r="O43" i="1"/>
  <c r="Q41" i="1"/>
  <c r="P41" i="1"/>
  <c r="O41" i="1"/>
  <c r="Q39" i="1"/>
  <c r="P39" i="1"/>
  <c r="O39" i="1"/>
  <c r="Q34" i="1"/>
  <c r="P34" i="1"/>
  <c r="O34" i="1"/>
  <c r="Q32" i="1"/>
  <c r="P32" i="1"/>
  <c r="O32" i="1"/>
  <c r="O27" i="1"/>
  <c r="Q37" i="1"/>
  <c r="P37" i="1"/>
  <c r="O37" i="1"/>
  <c r="J37" i="1"/>
  <c r="I37" i="1"/>
  <c r="H37" i="1"/>
  <c r="Q36" i="1"/>
  <c r="O36" i="1"/>
  <c r="Q35" i="1"/>
  <c r="O35" i="1"/>
  <c r="J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I31" i="1"/>
  <c r="H31" i="1"/>
  <c r="R27" i="1"/>
  <c r="H26" i="1"/>
  <c r="J21"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K31" i="1"/>
  <c r="N27" i="1"/>
  <c r="G27" i="1"/>
  <c r="H27" i="1" s="1"/>
  <c r="L25"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P26" i="1"/>
  <c r="O26" i="1"/>
  <c r="O24" i="1"/>
  <c r="Q22" i="1"/>
  <c r="P22" i="1"/>
  <c r="O22" i="1"/>
  <c r="L37" i="1"/>
  <c r="N37" i="1"/>
  <c r="K37" i="1"/>
  <c r="L36" i="1"/>
  <c r="K36" i="1"/>
  <c r="G36" i="1"/>
  <c r="P36" i="1" s="1"/>
  <c r="J36" i="1"/>
  <c r="I36" i="1"/>
  <c r="H36" i="1"/>
  <c r="L35" i="1"/>
  <c r="K35" i="1"/>
  <c r="N21" i="1"/>
  <c r="G21" i="1"/>
  <c r="I21" i="1" s="1"/>
  <c r="G51" i="1"/>
  <c r="G47" i="1"/>
  <c r="G43" i="1"/>
  <c r="G39" i="1"/>
  <c r="G35" i="1"/>
  <c r="P35" i="1" s="1"/>
  <c r="G31" i="1"/>
  <c r="J31" i="1" s="1"/>
  <c r="G24" i="1"/>
  <c r="L24" i="1" s="1"/>
  <c r="H20" i="1"/>
  <c r="H49" i="1"/>
  <c r="H45" i="1"/>
  <c r="N22" i="1"/>
  <c r="L22" i="1"/>
  <c r="K22" i="1"/>
  <c r="J26" i="1" l="1"/>
  <c r="Q26" i="1"/>
  <c r="Q25" i="1"/>
  <c r="L27"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I53" i="1" s="1"/>
  <c r="B32" i="4" s="1"/>
  <c r="F20" i="1"/>
  <c r="F53" i="1" s="1"/>
  <c r="M53" i="1"/>
  <c r="P24" i="1"/>
  <c r="H24" i="1"/>
  <c r="N53" i="1" l="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 r="B40" i="4"/>
  <c r="E40" i="4" s="1"/>
</calcChain>
</file>

<file path=xl/sharedStrings.xml><?xml version="1.0" encoding="utf-8"?>
<sst xmlns="http://schemas.openxmlformats.org/spreadsheetml/2006/main" count="1913" uniqueCount="922">
  <si>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</si>
  <si>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</si>
  <si>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</si>
  <si>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</si>
  <si>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</si>
  <si>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</si>
  <si>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</si>
  <si>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</si>
  <si>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</si>
  <si>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</si>
  <si>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</si>
  <si>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</si>
  <si>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</si>
  <si>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</si>
  <si>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</si>
  <si>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</si>
  <si>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</si>
  <si>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</si>
  <si>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</si>
  <si>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</si>
  <si>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</si>
  <si>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</si>
  <si>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</si>
  <si>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</si>
  <si>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</si>
  <si>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</si>
  <si>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</si>
  <si>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</si>
  <si>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</si>
  <si>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</si>
  <si>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</si>
  <si>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</si>
  <si>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</si>
  <si>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</si>
  <si>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</si>
  <si>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</si>
  <si>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</si>
  <si>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</si>
  <si>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</si>
  <si>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</si>
  <si>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</si>
  <si>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</si>
  <si>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</si>
  <si>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</si>
  <si>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</si>
  <si>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</si>
  <si>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</si>
  <si>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</si>
  <si>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</si>
  <si>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</si>
  <si>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</si>
  <si>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</si>
  <si>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</si>
  <si>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</si>
  <si>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</si>
  <si>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</si>
  <si>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</si>
  <si>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</si>
  <si>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</si>
  <si>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</si>
  <si>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</si>
  <si>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</si>
  <si>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</si>
  <si>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</si>
  <si>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</si>
  <si>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</si>
  <si>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</si>
  <si>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</si>
  <si>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</si>
  <si>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</si>
  <si>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</si>
  <si>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</si>
  <si>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</si>
  <si>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</si>
  <si>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</si>
  <si>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</si>
  <si>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</si>
  <si>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</si>
  <si>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</si>
  <si>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</si>
  <si>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</si>
  <si>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</si>
  <si>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</si>
  <si>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</si>
  <si>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</si>
  <si>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</si>
  <si>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</si>
  <si>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</si>
  <si>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</si>
  <si>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</si>
  <si>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</si>
  <si>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</si>
  <si>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</si>
  <si>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</si>
  <si>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</si>
  <si>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</si>
  <si>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</si>
  <si>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</si>
  <si>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</si>
  <si>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</si>
  <si>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</si>
  <si>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</si>
  <si>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</si>
  <si>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</si>
  <si>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</si>
  <si>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</si>
  <si>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</si>
  <si>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</si>
  <si>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</si>
  <si>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</si>
  <si>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</si>
  <si>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</si>
  <si>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</si>
  <si>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</si>
  <si>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</si>
  <si>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</si>
  <si>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</si>
  <si>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</si>
  <si>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</si>
  <si>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</si>
  <si>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</si>
  <si>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</si>
  <si>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</si>
  <si>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</si>
  <si>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</si>
  <si>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</si>
  <si>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</si>
  <si>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</si>
  <si>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</si>
  <si>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</si>
  <si>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</si>
  <si>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</si>
  <si>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</si>
  <si>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</si>
  <si>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</si>
  <si>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</si>
  <si>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</si>
  <si>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</si>
  <si>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</si>
  <si>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</si>
  <si>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</si>
  <si>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</si>
  <si>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</si>
  <si>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</si>
  <si>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</si>
  <si>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</si>
  <si>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</si>
  <si>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</si>
  <si>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</si>
  <si>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</si>
  <si>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</si>
  <si>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</si>
  <si>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</si>
  <si>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</si>
  <si>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</si>
  <si>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</si>
  <si>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</si>
  <si>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</si>
  <si>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</si>
  <si>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</si>
  <si>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</si>
  <si>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</si>
  <si>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</si>
  <si>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</si>
  <si>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</si>
  <si>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</si>
  <si>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</si>
  <si>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</si>
  <si>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</si>
  <si>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</si>
  <si>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</si>
  <si>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</si>
  <si>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</si>
  <si>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</si>
  <si>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</si>
  <si>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</si>
  <si>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</si>
  <si>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</si>
  <si>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</si>
  <si>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</si>
  <si>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</si>
  <si>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</si>
  <si>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</si>
  <si>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</si>
  <si>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</si>
  <si>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</si>
  <si>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</si>
  <si>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</si>
  <si>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</si>
  <si>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</si>
  <si>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</si>
  <si>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</si>
  <si>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</si>
  <si>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</si>
  <si>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</si>
  <si>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</si>
  <si>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</si>
  <si>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</si>
  <si>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</si>
  <si>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</si>
  <si>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</si>
  <si>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</si>
  <si>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</si>
  <si>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</si>
  <si>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</si>
  <si>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</si>
  <si>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</si>
  <si>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</si>
  <si>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</si>
  <si>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</si>
  <si>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</si>
  <si>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</si>
  <si>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</si>
  <si>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</si>
  <si>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</si>
  <si>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</si>
  <si>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</si>
  <si>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</si>
  <si>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</si>
  <si>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</si>
  <si>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</si>
  <si>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</si>
  <si>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</si>
  <si>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</si>
  <si>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</si>
  <si>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</si>
  <si>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</si>
  <si>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</si>
  <si>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</si>
  <si>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</si>
  <si>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</si>
  <si>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</si>
  <si>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</si>
  <si>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</si>
  <si>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</si>
  <si>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</si>
  <si>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</si>
  <si>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</si>
  <si>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</si>
  <si>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</si>
  <si>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</si>
  <si>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</si>
  <si>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</si>
  <si>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</si>
  <si>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</si>
  <si>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</si>
  <si>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</si>
  <si>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</si>
  <si>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</si>
  <si>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</si>
  <si>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</si>
  <si>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</si>
  <si>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</si>
  <si>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</si>
  <si>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</si>
  <si>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</si>
  <si>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</si>
  <si>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</si>
  <si>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</si>
  <si>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</si>
  <si>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</si>
  <si>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</si>
  <si>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</si>
  <si>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</si>
  <si>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</si>
  <si>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</si>
  <si>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</si>
  <si>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</si>
  <si>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</si>
  <si>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</si>
  <si>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</si>
  <si>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</si>
  <si>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</si>
  <si>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</si>
  <si>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</si>
  <si>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</si>
  <si>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</si>
  <si>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</si>
  <si>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</si>
  <si>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</si>
  <si>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</si>
  <si>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</si>
  <si>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</si>
  <si>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</si>
  <si>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</si>
  <si>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</si>
  <si>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</si>
  <si>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</si>
  <si>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</si>
  <si>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</si>
  <si>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</si>
  <si>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</si>
  <si>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</si>
  <si>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</si>
  <si>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</si>
  <si>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</si>
  <si>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</si>
  <si>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</si>
  <si>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</si>
  <si>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</si>
  <si>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</si>
  <si>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</si>
  <si>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</si>
  <si>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</si>
  <si>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</si>
  <si>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</si>
  <si>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</si>
  <si>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</si>
  <si>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</si>
  <si>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</si>
  <si>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</si>
  <si>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</si>
  <si>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</si>
  <si>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</si>
  <si>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</si>
  <si>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</si>
  <si>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</si>
  <si>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</si>
  <si>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</si>
  <si>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</si>
  <si>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</si>
  <si>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</si>
  <si>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</si>
  <si>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</si>
  <si>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</si>
  <si>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</si>
  <si>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</si>
  <si>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</si>
  <si>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</si>
  <si>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</si>
  <si>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</si>
  <si>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</si>
  <si>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</si>
  <si>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</si>
  <si>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</si>
  <si>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</si>
  <si>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</si>
  <si>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</si>
  <si>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</si>
  <si>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</si>
  <si>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</si>
  <si>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</si>
  <si>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</si>
  <si>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</si>
  <si>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</si>
  <si>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</si>
  <si>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</si>
  <si>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</si>
  <si>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</si>
  <si>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</si>
  <si>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</si>
  <si>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</si>
  <si>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</si>
  <si>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</si>
  <si>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</si>
  <si>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</si>
  <si>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</si>
  <si>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</si>
  <si>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</si>
  <si>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</si>
  <si>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</si>
  <si>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</si>
  <si>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</si>
  <si>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</si>
  <si>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</si>
  <si>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</si>
  <si>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</si>
  <si>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</si>
  <si>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</si>
  <si>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</si>
  <si>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</si>
  <si>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</si>
  <si>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</si>
  <si>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</si>
  <si>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</si>
  <si>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</si>
  <si>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</si>
  <si>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</si>
  <si>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</si>
  <si>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</si>
  <si>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</si>
  <si>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</si>
  <si>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</si>
  <si>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</si>
  <si>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</si>
  <si>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</si>
  <si>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</si>
  <si>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</si>
  <si>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</si>
  <si>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</si>
  <si>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</si>
  <si>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</si>
  <si>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</si>
  <si>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</si>
  <si>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</si>
  <si>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</si>
  <si>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</si>
  <si>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</si>
  <si>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</si>
  <si>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</si>
  <si>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</si>
  <si>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</si>
  <si>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</si>
  <si>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</si>
  <si>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</si>
  <si>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</si>
  <si>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</si>
  <si>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</si>
  <si>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</si>
  <si>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</si>
  <si>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</si>
  <si>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</si>
  <si>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</si>
  <si>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</si>
  <si>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</si>
  <si>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</si>
  <si>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</si>
  <si>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</si>
  <si>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</si>
  <si>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</si>
  <si>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</si>
  <si>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</si>
  <si>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</si>
  <si>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</si>
  <si>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</si>
  <si>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</si>
  <si>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</si>
  <si>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</si>
  <si>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</si>
  <si>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</si>
  <si>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</si>
  <si>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</si>
  <si>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</si>
  <si>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</si>
  <si>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</si>
  <si>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</si>
  <si>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</si>
  <si>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</si>
  <si>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</si>
  <si>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</si>
  <si>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</si>
  <si>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</si>
  <si>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</si>
  <si>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</si>
  <si>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</si>
  <si>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</si>
  <si>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</si>
  <si>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</si>
  <si>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</si>
  <si>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</si>
  <si>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</si>
  <si>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</si>
  <si>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</si>
  <si>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</si>
  <si>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</si>
  <si>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</si>
  <si>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</si>
  <si>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</si>
  <si>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</si>
  <si>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</si>
  <si>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</si>
  <si>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</si>
  <si>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</si>
  <si>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</si>
  <si>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</si>
  <si>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</si>
  <si>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</si>
  <si>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</si>
  <si>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</si>
  <si>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</si>
  <si>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</si>
  <si>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</si>
  <si>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</si>
  <si>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</si>
  <si>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</si>
  <si>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</si>
  <si>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</si>
  <si>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</si>
  <si>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</si>
  <si>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</si>
  <si>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</si>
  <si>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</si>
  <si>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</si>
  <si>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</si>
  <si>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</si>
  <si>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</si>
  <si>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</si>
  <si>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</si>
  <si>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</si>
  <si>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</si>
  <si>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</si>
  <si>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</si>
  <si>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</si>
  <si>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</si>
  <si>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</si>
  <si>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</si>
  <si>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</si>
  <si>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</si>
  <si>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</si>
  <si>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</si>
  <si>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</si>
  <si>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</si>
  <si>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</si>
  <si>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</si>
  <si>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</si>
  <si>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</si>
  <si>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</si>
  <si>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</si>
  <si>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</si>
  <si>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</si>
  <si>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</si>
  <si>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</si>
  <si>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</si>
  <si>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</si>
  <si>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</si>
  <si>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</si>
  <si>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</si>
  <si>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</si>
  <si>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</si>
  <si>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</si>
  <si>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</si>
  <si>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</si>
  <si>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</si>
  <si>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</si>
  <si>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</si>
  <si>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</si>
  <si>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</si>
  <si>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</si>
  <si>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</si>
  <si>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</si>
  <si>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</si>
  <si>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</si>
  <si>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</si>
  <si>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</si>
  <si>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</si>
  <si>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</si>
  <si>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</si>
  <si>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</si>
  <si>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</si>
  <si>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</si>
  <si>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</si>
  <si>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</si>
  <si>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</si>
  <si>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</si>
  <si>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</si>
  <si>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</si>
  <si>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</si>
  <si>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</si>
  <si>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</si>
  <si>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</si>
  <si>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</si>
  <si>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</si>
  <si>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</si>
  <si>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</si>
  <si>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</si>
  <si>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</si>
  <si>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</si>
  <si>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</si>
  <si>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</si>
  <si>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</si>
  <si>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</si>
  <si>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</si>
  <si>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</si>
  <si>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</si>
  <si>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</si>
  <si>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</si>
  <si>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</si>
  <si>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</si>
  <si>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</si>
  <si>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</si>
  <si>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</si>
  <si>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</si>
  <si>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</si>
  <si>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</si>
  <si>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</si>
  <si>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</si>
  <si>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</si>
  <si>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</si>
  <si>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</si>
  <si>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</si>
  <si>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</si>
  <si>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</si>
  <si>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</si>
  <si>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</si>
  <si>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</si>
  <si>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</si>
  <si>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</si>
  <si>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</si>
  <si>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</si>
  <si>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</si>
  <si>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</si>
  <si>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</si>
  <si>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</si>
  <si>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</si>
  <si>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</si>
  <si>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</si>
  <si>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</si>
  <si>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</si>
  <si>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</si>
  <si>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</si>
  <si>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</si>
  <si>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</si>
  <si>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</si>
  <si>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</si>
  <si>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</si>
  <si>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</si>
  <si>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</si>
  <si>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</si>
  <si>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</si>
  <si>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</si>
  <si>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</si>
  <si>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</si>
  <si>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</si>
  <si>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</si>
  <si>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</si>
  <si>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</si>
  <si>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</si>
  <si>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</si>
  <si>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</si>
  <si>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</si>
  <si>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</si>
  <si>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</si>
  <si>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</si>
  <si>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</si>
  <si>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</si>
  <si>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</si>
  <si>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</si>
  <si>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</si>
  <si>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</si>
  <si>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</si>
  <si>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</si>
  <si>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</si>
  <si>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</si>
  <si>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</si>
  <si>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</si>
  <si>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</si>
  <si>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</si>
  <si>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</si>
  <si>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</si>
  <si>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</si>
  <si>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</si>
  <si>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</si>
  <si>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</si>
  <si>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</si>
  <si>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</si>
  <si>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</si>
  <si>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</si>
  <si>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</si>
  <si>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</si>
  <si>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</si>
  <si>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</si>
  <si>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</si>
  <si>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</si>
  <si>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</si>
  <si>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</si>
  <si>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</si>
  <si>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</si>
  <si>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</si>
  <si>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</si>
  <si>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</si>
  <si>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</si>
  <si>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</si>
  <si>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</si>
  <si>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</si>
  <si>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</si>
  <si>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</si>
  <si>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</si>
  <si>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</si>
  <si>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</si>
  <si>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</si>
  <si>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</si>
  <si>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</si>
  <si>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</si>
  <si>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</si>
  <si>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</si>
  <si>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</si>
  <si>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</si>
  <si>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</si>
  <si>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</si>
  <si>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</si>
  <si>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</si>
  <si>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</si>
  <si>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</si>
  <si>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</si>
  <si>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</si>
  <si>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</si>
  <si>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</si>
  <si>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</si>
  <si>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</si>
  <si>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</si>
  <si>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</si>
  <si>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</si>
  <si>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</si>
  <si>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</si>
  <si>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</si>
  <si>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</si>
  <si>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</si>
  <si>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</si>
  <si>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</si>
  <si>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</si>
  <si>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</si>
  <si>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</si>
  <si>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</si>
  <si>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</si>
  <si>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</si>
  <si>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</si>
  <si>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</si>
  <si>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</si>
  <si>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</si>
  <si>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</si>
  <si>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</si>
  <si>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</si>
  <si>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</si>
  <si>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</si>
  <si>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</si>
  <si>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</si>
  <si>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</si>
  <si>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</si>
  <si>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</si>
  <si>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</si>
  <si>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</si>
  <si>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</si>
  <si>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</si>
  <si>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</si>
  <si>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</si>
  <si>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</si>
  <si>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</si>
  <si>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</si>
  <si>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</si>
  <si>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</si>
  <si>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</si>
  <si>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</si>
  <si>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</si>
  <si>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</si>
  <si>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</si>
  <si>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</si>
  <si>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</si>
  <si>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</si>
  <si>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</si>
  <si>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</si>
  <si>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</si>
  <si>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</si>
  <si>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</si>
  <si>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</si>
  <si>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</si>
  <si>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</si>
  <si>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</si>
  <si>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</si>
  <si>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</si>
  <si>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</si>
  <si>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</si>
  <si>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</si>
  <si>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</si>
  <si>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</si>
  <si>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</si>
  <si>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</si>
  <si>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</si>
  <si>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</si>
  <si>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</si>
  <si>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</si>
  <si>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</si>
  <si>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</si>
  <si>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</si>
  <si>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</si>
  <si>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</si>
  <si>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</si>
  <si>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</si>
  <si>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</si>
  <si>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</si>
  <si>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</si>
  <si>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</si>
  <si>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</si>
  <si>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</si>
  <si>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</si>
  <si>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</si>
  <si>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</si>
  <si>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</si>
  <si>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</si>
  <si>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</si>
  <si>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</si>
  <si>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</si>
  <si>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</si>
  <si>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</si>
  <si>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</si>
  <si>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</si>
  <si>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</si>
  <si>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</si>
  <si>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</si>
  <si>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</si>
  <si>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</si>
  <si>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</si>
  <si>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</si>
  <si>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</si>
  <si>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</si>
  <si>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</si>
  <si>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</si>
  <si>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</si>
  <si>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</si>
  <si>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</si>
  <si>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</si>
  <si>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</si>
  <si>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</si>
  <si>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</si>
  <si>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</si>
  <si>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</si>
  <si>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</si>
  <si>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</si>
  <si>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</si>
  <si>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</si>
  <si>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</si>
  <si>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</si>
  <si>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</si>
  <si>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</si>
  <si>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</si>
  <si>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</si>
  <si>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</si>
  <si>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</si>
  <si>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</si>
  <si>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</si>
  <si>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</si>
  <si>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</si>
  <si>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</si>
  <si>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</si>
  <si>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</si>
  <si>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</si>
  <si>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</si>
  <si>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</si>
  <si>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</si>
  <si>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</si>
  <si>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</si>
  <si>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</si>
  <si>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</si>
  <si>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</si>
  <si>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</si>
  <si>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</si>
  <si>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</si>
  <si>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</si>
  <si>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</si>
  <si>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</si>
  <si>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</si>
  <si>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</si>
  <si>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</si>
  <si>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</si>
  <si>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</si>
  <si>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</si>
  <si>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</si>
  <si>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</si>
  <si>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</si>
  <si>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</si>
  <si>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</si>
  <si>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</si>
  <si>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</si>
  <si>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</si>
  <si>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</si>
  <si>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</si>
  <si>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</si>
  <si>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</si>
  <si>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</si>
  <si>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</si>
  <si>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</si>
  <si>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</si>
  <si>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</si>
  <si>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</si>
  <si>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</si>
  <si>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</si>
  <si>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</si>
  <si>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</si>
  <si>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</si>
  <si>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</si>
  <si>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</si>
  <si>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</si>
  <si>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</si>
  <si>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</si>
  <si>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</si>
  <si>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</si>
  <si>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</si>
  <si>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</si>
  <si>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</si>
  <si>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</si>
  <si>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</si>
  <si>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</si>
  <si>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</si>
  <si>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</si>
  <si>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</si>
  <si>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</si>
  <si>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</si>
  <si>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</si>
  <si>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</si>
  <si>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</si>
  <si>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</si>
  <si>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</si>
  <si>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</si>
  <si>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</si>
  <si>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</si>
  <si>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</si>
  <si>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</si>
  <si>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</si>
  <si>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</si>
  <si>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</si>
  <si>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</si>
  <si>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</si>
  <si>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</si>
  <si>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</si>
  <si>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</si>
  <si>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</si>
  <si>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</si>
  <si>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</si>
  <si>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</si>
  <si>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Proposed change</t>
  </si>
  <si>
    <t>No.  If change to C-C HW, all ranges match.</t>
  </si>
  <si>
    <t>Dave Bolha</t>
  </si>
  <si>
    <t>BROOK TROUT</t>
  </si>
  <si>
    <t>CREEK CHUB</t>
  </si>
  <si>
    <t>WHITE SUCKER</t>
  </si>
  <si>
    <t>CENTRAL MUDMINNOW</t>
  </si>
  <si>
    <t>PEARL DACE</t>
  </si>
  <si>
    <t>Parsons Cr @ Lost Arrow Rd</t>
  </si>
  <si>
    <t>Fond du Lac</t>
  </si>
  <si>
    <t>COMMON SHINER</t>
  </si>
  <si>
    <t>WESTERN BLACKNOSE DACE</t>
  </si>
  <si>
    <t>GREEN SUNFISH</t>
  </si>
  <si>
    <t>CENTRAL STONEROLLER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</si>
</sst>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topLeftCell="A4" zoomScale="75" zoomScaleNormal="75" workbookViewId="0">
      <selection activeCell="B16" sqref="B16:D1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910</v>
      </c>
      <c r="C4" s="151"/>
      <c r="D4" s="151"/>
      <c r="F4" s="2" t="s">
        <v>865</v>
      </c>
    </row>
    <row r="5" spans="1:19" ht="15" x14ac:dyDescent="0.25">
      <c r="A5" s="1" t="s">
        <v>860</v>
      </c>
      <c r="B5" s="50">
        <v>42482</v>
      </c>
      <c r="C5" s="51"/>
      <c r="D5" s="33"/>
      <c r="F5" s="29"/>
      <c r="G5" s="32"/>
      <c r="H5" s="32"/>
      <c r="I5" s="32"/>
      <c r="J5" s="32"/>
      <c r="K5" s="32"/>
      <c r="L5" s="32"/>
      <c r="M5" s="32"/>
      <c r="N5" s="32"/>
      <c r="O5" s="32"/>
      <c r="P5" s="32"/>
      <c r="Q5" s="32"/>
      <c r="R5" s="32" t="s">
        <v>400</v>
      </c>
    </row>
    <row r="6" spans="1:19" ht="15" x14ac:dyDescent="0.25">
      <c r="A6" s="1" t="s">
        <v>858</v>
      </c>
      <c r="B6" s="52">
        <v>42215</v>
      </c>
      <c r="C6" s="53"/>
      <c r="D6" s="54"/>
      <c r="F6" s="30"/>
      <c r="G6" s="32"/>
      <c r="H6" s="32"/>
      <c r="I6" s="32"/>
      <c r="J6" s="32"/>
      <c r="K6" s="32"/>
      <c r="L6" s="32"/>
      <c r="M6" s="32"/>
      <c r="N6" s="32"/>
      <c r="O6" s="32"/>
      <c r="P6" s="32"/>
      <c r="Q6" s="32"/>
      <c r="R6" s="32" t="s">
        <v>902</v>
      </c>
    </row>
    <row r="7" spans="1:19" s="32" customFormat="1" ht="15" x14ac:dyDescent="0.25">
      <c r="A7" s="32" t="s">
        <v>905</v>
      </c>
      <c r="B7" s="147">
        <v>203164</v>
      </c>
      <c r="C7" s="55"/>
      <c r="D7" s="56"/>
      <c r="F7" s="28"/>
      <c r="R7" s="32" t="s">
        <v>401</v>
      </c>
    </row>
    <row r="8" spans="1:19" ht="15" x14ac:dyDescent="0.25">
      <c r="A8" s="1" t="s">
        <v>49</v>
      </c>
      <c r="B8" s="151" t="s">
        <v>907</v>
      </c>
      <c r="C8" s="151"/>
      <c r="D8" s="151"/>
    </row>
    <row r="10" spans="1:19" ht="15" x14ac:dyDescent="0.25">
      <c r="A10" s="1" t="s">
        <v>34</v>
      </c>
      <c r="B10" s="46" t="s">
        <v>916</v>
      </c>
      <c r="C10" s="55"/>
      <c r="D10" s="56"/>
      <c r="F10" s="31"/>
      <c r="G10" s="31"/>
      <c r="H10" s="31"/>
      <c r="I10" s="31"/>
      <c r="J10" s="31"/>
      <c r="K10" s="31"/>
      <c r="L10" s="31"/>
      <c r="M10" s="31"/>
      <c r="N10" s="31"/>
      <c r="O10" s="31"/>
      <c r="P10" s="31"/>
      <c r="Q10" s="31"/>
      <c r="R10" s="31"/>
    </row>
    <row r="11" spans="1:19" ht="15" x14ac:dyDescent="0.25">
      <c r="A11" s="1" t="s">
        <v>37</v>
      </c>
      <c r="B11" s="151" t="s">
        <v>917</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136000</v>
      </c>
      <c r="C13" s="151"/>
      <c r="D13" s="151"/>
      <c r="F13" s="31"/>
      <c r="G13" s="31"/>
      <c r="H13" s="31"/>
      <c r="I13" s="31"/>
      <c r="J13" s="31"/>
      <c r="K13" s="31"/>
      <c r="L13" s="31"/>
      <c r="M13" s="31"/>
      <c r="N13" s="31"/>
      <c r="O13" s="31"/>
      <c r="P13" s="31"/>
      <c r="Q13" s="31"/>
      <c r="R13" s="31"/>
    </row>
    <row r="14" spans="1:19" s="32" customFormat="1" ht="15" x14ac:dyDescent="0.25">
      <c r="A14" s="32" t="s">
        <v>863</v>
      </c>
      <c r="B14" s="144" t="s">
        <v>542</v>
      </c>
      <c r="C14" s="48"/>
      <c r="D14" s="49"/>
      <c r="E14" s="11" t="s">
        <v>904</v>
      </c>
      <c r="F14" s="31"/>
    </row>
    <row r="16" spans="1:19" ht="15" x14ac:dyDescent="0.25">
      <c r="A16" s="1" t="s">
        <v>33</v>
      </c>
      <c r="B16" s="154" t="s">
        <v>21</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t="s">
        <v>911</v>
      </c>
      <c r="B20" s="146">
        <v>3</v>
      </c>
      <c r="C20" s="26" t="str">
        <f>IFERROR(VLOOKUP($A20,'Species guilds'!$A$3:$F$300,3,FALSE),0)</f>
        <v>C</v>
      </c>
      <c r="D20" s="26" t="str">
        <f>IFERROR(VLOOKUP($A20,'Species guilds'!$A$3:$F$300,4,FALSE),0)</f>
        <v>S</v>
      </c>
      <c r="E20" s="26" t="str">
        <f>IFERROR(VLOOKUP($A20,'Species guilds'!$A$3:$F$300,5,FALSE),0)</f>
        <v>IT</v>
      </c>
      <c r="F20" s="26">
        <f t="shared" ref="F20:F52" si="0">IF(AND(M20&gt;0,B20&gt;0)=FALSE,B20,0)</f>
        <v>3</v>
      </c>
      <c r="G20" s="26">
        <f>IF(D20="Lake",0,1)</f>
        <v>1</v>
      </c>
      <c r="H20" s="26">
        <f>IF($C20=H$19,$B20*G20,0)</f>
        <v>3</v>
      </c>
      <c r="I20" s="26">
        <f>IF($C20=I$19,$B20*G20,0)</f>
        <v>0</v>
      </c>
      <c r="J20" s="26">
        <f>IF($C20=J$19,$B20*G20,0)</f>
        <v>0</v>
      </c>
      <c r="K20" s="26">
        <f>IF($D20=K$19,$B20*G20,0)</f>
        <v>3</v>
      </c>
      <c r="L20" s="26">
        <f>IF($D20=L$19,$B20*G20,0)</f>
        <v>0</v>
      </c>
      <c r="M20" s="26">
        <f>IF($D20=M$19,$B20,0)</f>
        <v>0</v>
      </c>
      <c r="N20" s="26">
        <f>IF($D20=N$19,$B20*G20,0)</f>
        <v>0</v>
      </c>
      <c r="O20" s="26">
        <f>IF($E20=O$19,$B20*G20,0)</f>
        <v>3</v>
      </c>
      <c r="P20" s="26">
        <f>IF($E20=P$19,$B20*G20,0)</f>
        <v>0</v>
      </c>
      <c r="Q20" s="26">
        <f>IF($E20=Q$19,$B20*G20,0)</f>
        <v>0</v>
      </c>
      <c r="R20" s="27" t="str">
        <f t="shared" ref="R20:R52" si="1">IF(AND(B20&gt;0,C20=0)=TRUE,"SPECIES NOT FOUND, CHECK SPELLING","")</f>
        <v/>
      </c>
      <c r="T20" s="59"/>
      <c r="U20" s="60"/>
      <c r="V20" s="60"/>
      <c r="W20" s="60"/>
      <c r="X20" s="60"/>
      <c r="Y20" s="60"/>
    </row>
    <row r="21" spans="1:25" ht="15" x14ac:dyDescent="0.25">
      <c r="A21" t="s">
        <v>914</v>
      </c>
      <c r="B21" s="146">
        <v>3</v>
      </c>
      <c r="C21" s="26" t="str">
        <f>IFERROR(VLOOKUP($A21,'Species guilds'!$A$3:$F$300,3,FALSE),0)</f>
        <v>T</v>
      </c>
      <c r="D21" s="26" t="str">
        <f>IFERROR(VLOOKUP($A21,'Species guilds'!$A$3:$F$300,4,FALSE),0)</f>
        <v>S</v>
      </c>
      <c r="E21" s="26" t="str">
        <f>IFERROR(VLOOKUP($A21,'Species guilds'!$A$3:$F$300,5,FALSE),0)</f>
        <v>T</v>
      </c>
      <c r="F21" s="26">
        <f t="shared" si="0"/>
        <v>3</v>
      </c>
      <c r="G21" s="26">
        <f t="shared" ref="G21:G52" si="2">IF(D21="Lake",0,1)</f>
        <v>1</v>
      </c>
      <c r="H21" s="26">
        <f t="shared" ref="H21:H52" si="3">IF($C21=H$19,$B21*G21,0)</f>
        <v>0</v>
      </c>
      <c r="I21" s="26">
        <f t="shared" ref="I21:I52" si="4">IF($C21=I$19,$B21*G21,0)</f>
        <v>3</v>
      </c>
      <c r="J21" s="26">
        <f t="shared" ref="J21:J52" si="5">IF($C21=J$19,$B21*G21,0)</f>
        <v>0</v>
      </c>
      <c r="K21" s="26">
        <f t="shared" ref="K21:K52" si="6">IF($D21=K$19,$B21*G21,0)</f>
        <v>3</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3</v>
      </c>
      <c r="R21" s="27" t="str">
        <f t="shared" si="1"/>
        <v/>
      </c>
      <c r="T21" s="58"/>
      <c r="U21" s="58"/>
      <c r="V21" s="58"/>
      <c r="W21" s="58"/>
      <c r="X21" s="58"/>
      <c r="Y21" s="58"/>
    </row>
    <row r="22" spans="1:25" ht="15" x14ac:dyDescent="0.25">
      <c r="A22" s="145" t="s">
        <v>918</v>
      </c>
      <c r="B22" s="146">
        <v>7</v>
      </c>
      <c r="C22" s="26" t="str">
        <f>IFERROR(VLOOKUP($A22,'Species guilds'!$A$3:$F$300,3,FALSE),0)</f>
        <v>W</v>
      </c>
      <c r="D22" s="26" t="str">
        <f>IFERROR(VLOOKUP($A22,'Species guilds'!$A$3:$F$300,4,FALSE),0)</f>
        <v>M</v>
      </c>
      <c r="E22" s="26" t="str">
        <f>IFERROR(VLOOKUP($A22,'Species guilds'!$A$3:$F$300,5,FALSE),0)</f>
        <v>IM</v>
      </c>
      <c r="F22" s="26">
        <f t="shared" si="0"/>
        <v>7</v>
      </c>
      <c r="G22" s="26">
        <f t="shared" si="2"/>
        <v>1</v>
      </c>
      <c r="H22" s="26">
        <f t="shared" si="3"/>
        <v>0</v>
      </c>
      <c r="I22" s="26">
        <f t="shared" si="4"/>
        <v>0</v>
      </c>
      <c r="J22" s="26">
        <f t="shared" si="5"/>
        <v>7</v>
      </c>
      <c r="K22" s="26">
        <f t="shared" si="6"/>
        <v>0</v>
      </c>
      <c r="L22" s="26">
        <f t="shared" si="7"/>
        <v>7</v>
      </c>
      <c r="M22" s="26">
        <f t="shared" si="8"/>
        <v>0</v>
      </c>
      <c r="N22" s="26">
        <f t="shared" si="9"/>
        <v>0</v>
      </c>
      <c r="O22" s="26">
        <f t="shared" si="10"/>
        <v>0</v>
      </c>
      <c r="P22" s="26">
        <f t="shared" si="11"/>
        <v>7</v>
      </c>
      <c r="Q22" s="26">
        <f t="shared" si="12"/>
        <v>0</v>
      </c>
      <c r="R22" s="27" t="str">
        <f t="shared" si="1"/>
        <v/>
      </c>
      <c r="T22" s="58"/>
      <c r="U22" s="58"/>
      <c r="V22" s="58"/>
      <c r="W22" s="58"/>
      <c r="X22" s="58"/>
      <c r="Y22" s="58"/>
    </row>
    <row r="23" spans="1:25" ht="15" x14ac:dyDescent="0.25">
      <c r="A23" t="s">
        <v>919</v>
      </c>
      <c r="B23" s="146">
        <v>3</v>
      </c>
      <c r="C23" s="26" t="str">
        <f>IFERROR(VLOOKUP($A23,'Species guilds'!$A$3:$F$300,3,FALSE),0)</f>
        <v>T</v>
      </c>
      <c r="D23" s="26" t="str">
        <f>IFERROR(VLOOKUP($A23,'Species guilds'!$A$3:$F$300,4,FALSE),0)</f>
        <v>S</v>
      </c>
      <c r="E23" s="26" t="str">
        <f>IFERROR(VLOOKUP($A23,'Species guilds'!$A$3:$F$300,5,FALSE),0)</f>
        <v>T</v>
      </c>
      <c r="F23" s="26">
        <f t="shared" si="0"/>
        <v>3</v>
      </c>
      <c r="G23" s="26">
        <f t="shared" si="2"/>
        <v>1</v>
      </c>
      <c r="H23" s="26">
        <f t="shared" si="3"/>
        <v>0</v>
      </c>
      <c r="I23" s="26">
        <f t="shared" si="4"/>
        <v>3</v>
      </c>
      <c r="J23" s="26">
        <f t="shared" si="5"/>
        <v>0</v>
      </c>
      <c r="K23" s="26">
        <f t="shared" si="6"/>
        <v>3</v>
      </c>
      <c r="L23" s="26">
        <f t="shared" si="7"/>
        <v>0</v>
      </c>
      <c r="M23" s="26">
        <f t="shared" si="8"/>
        <v>0</v>
      </c>
      <c r="N23" s="26">
        <f t="shared" si="9"/>
        <v>0</v>
      </c>
      <c r="O23" s="26">
        <f t="shared" si="10"/>
        <v>0</v>
      </c>
      <c r="P23" s="26">
        <f t="shared" si="11"/>
        <v>0</v>
      </c>
      <c r="Q23" s="26">
        <f t="shared" si="12"/>
        <v>3</v>
      </c>
      <c r="R23" s="27" t="str">
        <f t="shared" si="1"/>
        <v/>
      </c>
      <c r="T23" s="58"/>
      <c r="U23" s="58"/>
      <c r="V23" s="58"/>
      <c r="W23" s="58"/>
      <c r="X23" s="58"/>
      <c r="Y23" s="58"/>
    </row>
    <row r="24" spans="1:25" ht="15" x14ac:dyDescent="0.25">
      <c r="A24" t="s">
        <v>913</v>
      </c>
      <c r="B24" s="146">
        <v>2</v>
      </c>
      <c r="C24" s="26" t="str">
        <f>IFERROR(VLOOKUP($A24,'Species guilds'!$A$3:$F$300,3,FALSE),0)</f>
        <v>T</v>
      </c>
      <c r="D24" s="26" t="str">
        <f>IFERROR(VLOOKUP($A24,'Species guilds'!$A$3:$F$300,4,FALSE),0)</f>
        <v>M</v>
      </c>
      <c r="E24" s="26" t="str">
        <f>IFERROR(VLOOKUP($A24,'Species guilds'!$A$3:$F$300,5,FALSE),0)</f>
        <v>T</v>
      </c>
      <c r="F24" s="26">
        <f t="shared" si="0"/>
        <v>2</v>
      </c>
      <c r="G24" s="26">
        <f t="shared" si="2"/>
        <v>1</v>
      </c>
      <c r="H24" s="26">
        <f t="shared" si="3"/>
        <v>0</v>
      </c>
      <c r="I24" s="26">
        <f t="shared" si="4"/>
        <v>2</v>
      </c>
      <c r="J24" s="26">
        <f t="shared" si="5"/>
        <v>0</v>
      </c>
      <c r="K24" s="26">
        <f t="shared" si="6"/>
        <v>0</v>
      </c>
      <c r="L24" s="26">
        <f t="shared" si="7"/>
        <v>2</v>
      </c>
      <c r="M24" s="26">
        <f t="shared" si="8"/>
        <v>0</v>
      </c>
      <c r="N24" s="26">
        <f t="shared" si="9"/>
        <v>0</v>
      </c>
      <c r="O24" s="26">
        <f t="shared" si="10"/>
        <v>0</v>
      </c>
      <c r="P24" s="26">
        <f t="shared" si="11"/>
        <v>0</v>
      </c>
      <c r="Q24" s="26">
        <f t="shared" si="12"/>
        <v>2</v>
      </c>
      <c r="R24" s="27" t="str">
        <f t="shared" si="1"/>
        <v/>
      </c>
      <c r="T24" s="58"/>
      <c r="U24" s="58"/>
      <c r="V24" s="58"/>
      <c r="W24" s="58"/>
      <c r="X24" s="58"/>
      <c r="Y24" s="58"/>
    </row>
    <row r="25" spans="1:25" ht="15" x14ac:dyDescent="0.25">
      <c r="A25" t="s">
        <v>912</v>
      </c>
      <c r="B25" s="146">
        <v>6</v>
      </c>
      <c r="C25" s="26" t="str">
        <f>IFERROR(VLOOKUP($A25,'Species guilds'!$A$3:$F$300,3,FALSE),0)</f>
        <v>T</v>
      </c>
      <c r="D25" s="26" t="str">
        <f>IFERROR(VLOOKUP($A25,'Species guilds'!$A$3:$F$300,4,FALSE),0)</f>
        <v>S</v>
      </c>
      <c r="E25" s="26" t="str">
        <f>IFERROR(VLOOKUP($A25,'Species guilds'!$A$3:$F$300,5,FALSE),0)</f>
        <v>T</v>
      </c>
      <c r="F25" s="26">
        <f t="shared" si="0"/>
        <v>6</v>
      </c>
      <c r="G25" s="26">
        <f t="shared" si="2"/>
        <v>1</v>
      </c>
      <c r="H25" s="26">
        <f t="shared" si="3"/>
        <v>0</v>
      </c>
      <c r="I25" s="26">
        <f t="shared" si="4"/>
        <v>6</v>
      </c>
      <c r="J25" s="26">
        <f t="shared" si="5"/>
        <v>0</v>
      </c>
      <c r="K25" s="26">
        <f t="shared" si="6"/>
        <v>6</v>
      </c>
      <c r="L25" s="26">
        <f t="shared" si="7"/>
        <v>0</v>
      </c>
      <c r="M25" s="26">
        <f t="shared" si="8"/>
        <v>0</v>
      </c>
      <c r="N25" s="26">
        <f t="shared" si="9"/>
        <v>0</v>
      </c>
      <c r="O25" s="26">
        <f t="shared" si="10"/>
        <v>0</v>
      </c>
      <c r="P25" s="26">
        <f t="shared" si="11"/>
        <v>0</v>
      </c>
      <c r="Q25" s="26">
        <f t="shared" si="12"/>
        <v>6</v>
      </c>
      <c r="R25" s="27" t="str">
        <f t="shared" si="1"/>
        <v/>
      </c>
      <c r="T25" s="58"/>
      <c r="U25" s="58"/>
      <c r="V25" s="58"/>
      <c r="W25" s="58"/>
      <c r="X25" s="58"/>
      <c r="Y25" s="58"/>
    </row>
    <row r="26" spans="1:25" ht="15" x14ac:dyDescent="0.25">
      <c r="A26" t="s">
        <v>920</v>
      </c>
      <c r="B26" s="146">
        <v>4</v>
      </c>
      <c r="C26" s="26" t="str">
        <f>IFERROR(VLOOKUP($A26,'Species guilds'!$A$3:$F$300,3,FALSE),0)</f>
        <v>W</v>
      </c>
      <c r="D26" s="26" t="str">
        <f>IFERROR(VLOOKUP($A26,'Species guilds'!$A$3:$F$300,4,FALSE),0)</f>
        <v>S</v>
      </c>
      <c r="E26" s="26" t="str">
        <f>IFERROR(VLOOKUP($A26,'Species guilds'!$A$3:$F$300,5,FALSE),0)</f>
        <v>T</v>
      </c>
      <c r="F26" s="26">
        <f t="shared" si="0"/>
        <v>4</v>
      </c>
      <c r="G26" s="26">
        <f t="shared" si="2"/>
        <v>1</v>
      </c>
      <c r="H26" s="26">
        <f t="shared" si="3"/>
        <v>0</v>
      </c>
      <c r="I26" s="26">
        <f t="shared" si="4"/>
        <v>0</v>
      </c>
      <c r="J26" s="26">
        <f t="shared" si="5"/>
        <v>4</v>
      </c>
      <c r="K26" s="26">
        <f t="shared" si="6"/>
        <v>4</v>
      </c>
      <c r="L26" s="26">
        <f t="shared" si="7"/>
        <v>0</v>
      </c>
      <c r="M26" s="26">
        <f t="shared" si="8"/>
        <v>0</v>
      </c>
      <c r="N26" s="26">
        <f t="shared" si="9"/>
        <v>0</v>
      </c>
      <c r="O26" s="26">
        <f t="shared" si="10"/>
        <v>0</v>
      </c>
      <c r="P26" s="26">
        <f t="shared" si="11"/>
        <v>0</v>
      </c>
      <c r="Q26" s="26">
        <f t="shared" si="12"/>
        <v>4</v>
      </c>
      <c r="R26" s="27" t="str">
        <f t="shared" si="1"/>
        <v/>
      </c>
      <c r="T26" s="58"/>
      <c r="U26" s="58"/>
      <c r="V26" s="58"/>
      <c r="W26" s="58"/>
      <c r="X26" s="58"/>
      <c r="Y26" s="58"/>
    </row>
    <row r="27" spans="1:25" ht="15" x14ac:dyDescent="0.25">
      <c r="A27" t="s">
        <v>915</v>
      </c>
      <c r="B27" s="146">
        <v>9</v>
      </c>
      <c r="C27" s="26" t="str">
        <f>IFERROR(VLOOKUP($A27,'Species guilds'!$A$3:$F$300,3,FALSE),0)</f>
        <v>T</v>
      </c>
      <c r="D27" s="26" t="str">
        <f>IFERROR(VLOOKUP($A27,'Species guilds'!$A$3:$F$300,4,FALSE),0)</f>
        <v>S</v>
      </c>
      <c r="E27" s="26" t="str">
        <f>IFERROR(VLOOKUP($A27,'Species guilds'!$A$3:$F$300,5,FALSE),0)</f>
        <v>IM</v>
      </c>
      <c r="F27" s="26">
        <f t="shared" si="0"/>
        <v>9</v>
      </c>
      <c r="G27" s="26">
        <f t="shared" si="2"/>
        <v>1</v>
      </c>
      <c r="H27" s="26">
        <f t="shared" si="3"/>
        <v>0</v>
      </c>
      <c r="I27" s="26">
        <f t="shared" si="4"/>
        <v>9</v>
      </c>
      <c r="J27" s="26">
        <f t="shared" si="5"/>
        <v>0</v>
      </c>
      <c r="K27" s="26">
        <f t="shared" si="6"/>
        <v>9</v>
      </c>
      <c r="L27" s="26">
        <f t="shared" si="7"/>
        <v>0</v>
      </c>
      <c r="M27" s="26">
        <f t="shared" si="8"/>
        <v>0</v>
      </c>
      <c r="N27" s="26">
        <f t="shared" si="9"/>
        <v>0</v>
      </c>
      <c r="O27" s="26">
        <f t="shared" si="10"/>
        <v>0</v>
      </c>
      <c r="P27" s="26">
        <f t="shared" si="11"/>
        <v>9</v>
      </c>
      <c r="Q27" s="26">
        <f t="shared" si="12"/>
        <v>0</v>
      </c>
      <c r="R27" s="27" t="str">
        <f t="shared" si="1"/>
        <v/>
      </c>
      <c r="T27" s="37"/>
      <c r="U27" s="58"/>
      <c r="V27" s="58"/>
      <c r="W27" s="58"/>
      <c r="X27" s="58"/>
      <c r="Y27" s="58"/>
    </row>
    <row r="28" spans="1:25" ht="15" x14ac:dyDescent="0.25">
      <c r="A28" t="s">
        <v>921</v>
      </c>
      <c r="B28" s="146">
        <v>3</v>
      </c>
      <c r="C28" s="26" t="str">
        <f>IFERROR(VLOOKUP($A28,'Species guilds'!$A$3:$F$300,3,FALSE),0)</f>
        <v>W</v>
      </c>
      <c r="D28" s="26" t="str">
        <f>IFERROR(VLOOKUP($A28,'Species guilds'!$A$3:$F$300,4,FALSE),0)</f>
        <v>S</v>
      </c>
      <c r="E28" s="26" t="str">
        <f>IFERROR(VLOOKUP($A28,'Species guilds'!$A$3:$F$300,5,FALSE),0)</f>
        <v>IM</v>
      </c>
      <c r="F28" s="26">
        <f t="shared" si="0"/>
        <v>3</v>
      </c>
      <c r="G28" s="26">
        <f t="shared" si="2"/>
        <v>1</v>
      </c>
      <c r="H28" s="26">
        <f t="shared" si="3"/>
        <v>0</v>
      </c>
      <c r="I28" s="26">
        <f t="shared" si="4"/>
        <v>0</v>
      </c>
      <c r="J28" s="26">
        <f t="shared" si="5"/>
        <v>3</v>
      </c>
      <c r="K28" s="26">
        <f t="shared" si="6"/>
        <v>3</v>
      </c>
      <c r="L28" s="26">
        <f t="shared" si="7"/>
        <v>0</v>
      </c>
      <c r="M28" s="26">
        <f t="shared" si="8"/>
        <v>0</v>
      </c>
      <c r="N28" s="26">
        <f t="shared" si="9"/>
        <v>0</v>
      </c>
      <c r="O28" s="26">
        <f t="shared" si="10"/>
        <v>0</v>
      </c>
      <c r="P28" s="26">
        <f t="shared" si="11"/>
        <v>3</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ht="15" x14ac:dyDescent="0.25">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ht="15" x14ac:dyDescent="0.25">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ht="15" x14ac:dyDescent="0.25">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ht="15" x14ac:dyDescent="0.25">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ht="15" x14ac:dyDescent="0.25">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ht="15" x14ac:dyDescent="0.25">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ht="15" x14ac:dyDescent="0.25">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40</v>
      </c>
      <c r="F53" s="9">
        <f>SUM(F20:F52)</f>
        <v>40</v>
      </c>
      <c r="G53" s="2"/>
      <c r="H53" s="9">
        <f>SUM(H20:H52)</f>
        <v>3</v>
      </c>
      <c r="I53" s="9">
        <f t="shared" ref="I53:Q53" si="14">SUM(I20:I52)</f>
        <v>23</v>
      </c>
      <c r="J53" s="9">
        <f t="shared" si="14"/>
        <v>14</v>
      </c>
      <c r="K53" s="9">
        <f t="shared" si="14"/>
        <v>31</v>
      </c>
      <c r="L53" s="9">
        <f t="shared" si="14"/>
        <v>9</v>
      </c>
      <c r="M53" s="9">
        <f t="shared" si="14"/>
        <v>0</v>
      </c>
      <c r="N53" s="9">
        <f t="shared" si="14"/>
        <v>0</v>
      </c>
      <c r="O53" s="9">
        <f t="shared" si="14"/>
        <v>3</v>
      </c>
      <c r="P53" s="9">
        <f t="shared" si="14"/>
        <v>19</v>
      </c>
      <c r="Q53" s="9">
        <f t="shared" si="14"/>
        <v>18</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zoomScaleNormal="100" workbookViewId="0">
      <selection activeCell="D19" sqref="D19:E19"/>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76" t="str">
        <f>'Enter field data'!B4:D4</f>
        <v>Dave Bolha</v>
      </c>
      <c r="C4" s="176"/>
      <c r="D4" s="176"/>
      <c r="E4" s="83"/>
      <c r="F4" s="36"/>
    </row>
    <row r="5" spans="1:6" ht="12.75" x14ac:dyDescent="0.2">
      <c r="A5" s="83" t="s">
        <v>859</v>
      </c>
      <c r="B5" s="177">
        <f>'Enter field data'!B5:D5</f>
        <v>42482</v>
      </c>
      <c r="C5" s="176"/>
      <c r="D5" s="176"/>
      <c r="E5" s="83"/>
      <c r="F5" s="36"/>
    </row>
    <row r="6" spans="1:6" ht="12.75" x14ac:dyDescent="0.2">
      <c r="A6" s="83" t="s">
        <v>858</v>
      </c>
      <c r="B6" s="177">
        <f>'Enter field data'!B6:D6</f>
        <v>42215</v>
      </c>
      <c r="C6" s="176"/>
      <c r="D6" s="176"/>
      <c r="E6" s="83"/>
      <c r="F6" s="36"/>
    </row>
    <row r="7" spans="1:6" ht="12.75" x14ac:dyDescent="0.2">
      <c r="A7" s="83" t="s">
        <v>49</v>
      </c>
      <c r="B7" s="176" t="str">
        <f>'Enter field data'!B8:D8</f>
        <v>Fish Survey</v>
      </c>
      <c r="C7" s="176"/>
      <c r="D7" s="176"/>
      <c r="E7" s="83"/>
      <c r="F7" s="36"/>
    </row>
    <row r="8" spans="1:6" ht="12.75" x14ac:dyDescent="0.2">
      <c r="A8" s="83"/>
      <c r="B8" s="84"/>
      <c r="C8" s="84"/>
      <c r="D8" s="84"/>
      <c r="E8" s="83"/>
      <c r="F8" s="36"/>
    </row>
    <row r="9" spans="1:6" ht="12.75" x14ac:dyDescent="0.2">
      <c r="A9" s="83" t="s">
        <v>34</v>
      </c>
      <c r="B9" s="176" t="str">
        <f>'Enter field data'!B10:D10</f>
        <v>Parsons Cr @ Lost Arrow Rd</v>
      </c>
      <c r="C9" s="176"/>
      <c r="D9" s="176"/>
      <c r="E9" s="83"/>
      <c r="F9" s="85"/>
    </row>
    <row r="10" spans="1:6" ht="12.75" x14ac:dyDescent="0.2">
      <c r="A10" s="83" t="s">
        <v>37</v>
      </c>
      <c r="B10" s="179" t="str">
        <f>'Enter field data'!B11:D11</f>
        <v>Fond du Lac</v>
      </c>
      <c r="C10" s="179"/>
      <c r="D10" s="179"/>
      <c r="E10" s="83"/>
      <c r="F10" s="36"/>
    </row>
    <row r="11" spans="1:6" ht="12.75" x14ac:dyDescent="0.2">
      <c r="A11" s="83" t="s">
        <v>35</v>
      </c>
      <c r="B11" s="176">
        <f>'Enter field data'!B12:D12</f>
        <v>0</v>
      </c>
      <c r="C11" s="176"/>
      <c r="D11" s="176"/>
      <c r="E11" s="83"/>
      <c r="F11" s="85"/>
    </row>
    <row r="12" spans="1:6" ht="12.75" x14ac:dyDescent="0.2">
      <c r="A12" s="83" t="s">
        <v>36</v>
      </c>
      <c r="B12" s="178">
        <f>'Enter field data'!B13:D13</f>
        <v>136000</v>
      </c>
      <c r="C12" s="178"/>
      <c r="D12" s="178"/>
      <c r="E12" s="83"/>
      <c r="F12" s="85"/>
    </row>
    <row r="13" spans="1:6" ht="12.75" x14ac:dyDescent="0.2">
      <c r="A13" s="83" t="s">
        <v>899</v>
      </c>
      <c r="B13" s="86" t="str">
        <f>'Enter field data'!B14</f>
        <v>0403020302</v>
      </c>
      <c r="C13" s="87"/>
      <c r="D13" s="88"/>
      <c r="E13" s="83"/>
      <c r="F13" s="85"/>
    </row>
    <row r="14" spans="1:6" ht="12.75" x14ac:dyDescent="0.2">
      <c r="A14" s="83"/>
      <c r="B14" s="83"/>
      <c r="C14" s="83"/>
      <c r="D14" s="83"/>
      <c r="E14" s="83"/>
      <c r="F14" s="36"/>
    </row>
    <row r="15" spans="1:6" ht="12.75" x14ac:dyDescent="0.2">
      <c r="A15" s="83" t="s">
        <v>33</v>
      </c>
      <c r="B15" s="83"/>
      <c r="C15" s="89"/>
      <c r="D15" s="180" t="str">
        <f>'Enter field data'!B16</f>
        <v>Cool-Cold Headwater</v>
      </c>
      <c r="E15" s="181"/>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82" t="s">
        <v>884</v>
      </c>
      <c r="B18" s="182"/>
      <c r="C18" s="183"/>
      <c r="D18" s="184" t="s">
        <v>908</v>
      </c>
      <c r="E18" s="185"/>
      <c r="F18" s="93"/>
    </row>
    <row r="19" spans="1:6" ht="12.75" x14ac:dyDescent="0.2">
      <c r="A19" s="36" t="s">
        <v>885</v>
      </c>
      <c r="B19" s="36"/>
      <c r="C19" s="94"/>
      <c r="D19" s="168" t="s">
        <v>24</v>
      </c>
      <c r="E19" s="169"/>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4"/>
      <c r="E22" s="175"/>
      <c r="F22" s="93"/>
    </row>
    <row r="23" spans="1:6" ht="12.75" x14ac:dyDescent="0.2">
      <c r="A23" s="100" t="s">
        <v>888</v>
      </c>
      <c r="B23" s="101"/>
      <c r="C23" s="101"/>
      <c r="D23" s="174"/>
      <c r="E23" s="175"/>
      <c r="F23" s="93"/>
    </row>
    <row r="24" spans="1:6" ht="12.75" x14ac:dyDescent="0.2">
      <c r="A24" s="102" t="s">
        <v>897</v>
      </c>
      <c r="B24" s="103"/>
      <c r="C24" s="103"/>
      <c r="D24" s="174"/>
      <c r="E24" s="175"/>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3</v>
      </c>
      <c r="C31" s="115" t="s">
        <v>9</v>
      </c>
      <c r="D31" s="116">
        <f>'Enter field data'!$K$53</f>
        <v>31</v>
      </c>
      <c r="E31" s="117" t="s">
        <v>12</v>
      </c>
      <c r="F31" s="118">
        <f>'Enter field data'!$O$53</f>
        <v>3</v>
      </c>
    </row>
    <row r="32" spans="1:6" ht="12.75" x14ac:dyDescent="0.2">
      <c r="A32" s="113" t="s">
        <v>7</v>
      </c>
      <c r="B32" s="114">
        <f>'Enter field data'!$I$53</f>
        <v>23</v>
      </c>
      <c r="C32" s="115" t="s">
        <v>10</v>
      </c>
      <c r="D32" s="116">
        <f>'Enter field data'!$L$53</f>
        <v>9</v>
      </c>
      <c r="E32" s="117" t="s">
        <v>13</v>
      </c>
      <c r="F32" s="118">
        <f>'Enter field data'!$P$53</f>
        <v>19</v>
      </c>
    </row>
    <row r="33" spans="1:6" ht="12.75" x14ac:dyDescent="0.2">
      <c r="A33" s="113" t="s">
        <v>8</v>
      </c>
      <c r="B33" s="114">
        <f>'Enter field data'!$J$53</f>
        <v>14</v>
      </c>
      <c r="C33" s="115" t="s">
        <v>11</v>
      </c>
      <c r="D33" s="116">
        <f>'Enter field data'!$N$53</f>
        <v>0</v>
      </c>
      <c r="E33" s="117" t="s">
        <v>14</v>
      </c>
      <c r="F33" s="118">
        <f>'Enter field data'!$Q$53</f>
        <v>18</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59" t="s">
        <v>5</v>
      </c>
      <c r="B36" s="160"/>
      <c r="C36" s="160"/>
      <c r="D36" s="160"/>
      <c r="E36" s="161"/>
      <c r="F36" s="36"/>
    </row>
    <row r="37" spans="1:6" x14ac:dyDescent="0.3">
      <c r="A37" s="119" t="s">
        <v>55</v>
      </c>
      <c r="B37" s="162" t="s">
        <v>65</v>
      </c>
      <c r="C37" s="170" t="s">
        <v>66</v>
      </c>
      <c r="D37" s="171"/>
      <c r="E37" s="172" t="s">
        <v>56</v>
      </c>
      <c r="F37" s="36"/>
    </row>
    <row r="38" spans="1:6" x14ac:dyDescent="0.3">
      <c r="A38" s="120"/>
      <c r="B38" s="163"/>
      <c r="C38" s="121" t="s">
        <v>62</v>
      </c>
      <c r="D38" s="122" t="s">
        <v>63</v>
      </c>
      <c r="E38" s="173"/>
      <c r="F38" s="36"/>
    </row>
    <row r="39" spans="1:6" ht="12.75" x14ac:dyDescent="0.2">
      <c r="A39" s="113" t="s">
        <v>6</v>
      </c>
      <c r="B39" s="123">
        <f>($B$31/'Enter field data'!$F$53)</f>
        <v>7.4999999999999997E-2</v>
      </c>
      <c r="C39" s="124">
        <f>VLOOKUP($D$15,'Expected guild %'!$A$5:$G$13,2,FALSE)</f>
        <v>0</v>
      </c>
      <c r="D39" s="124">
        <f>VLOOKUP($D$15,'Expected guild %'!$A$5:$G$13,3,FALSE)</f>
        <v>0.75</v>
      </c>
      <c r="E39" s="125" t="str">
        <f>IF(AND(C39&lt;=B39,B39&lt;= D39)=TRUE,"Y","N")</f>
        <v>Y</v>
      </c>
      <c r="F39" s="36"/>
    </row>
    <row r="40" spans="1:6" ht="12.75" x14ac:dyDescent="0.2">
      <c r="A40" s="113" t="s">
        <v>7</v>
      </c>
      <c r="B40" s="123">
        <f>($B$32/'Enter field data'!$F$53)</f>
        <v>0.57499999999999996</v>
      </c>
      <c r="C40" s="124">
        <f>VLOOKUP($D$15,'Expected guild %'!$A$5:$G$13,4,FALSE)</f>
        <v>0.25</v>
      </c>
      <c r="D40" s="124">
        <f>VLOOKUP($D$15,'Expected guild %'!$A$5:$G$13,5,FALSE)</f>
        <v>1</v>
      </c>
      <c r="E40" s="125" t="str">
        <f>IF(AND(C40&lt;=B40,B40&lt;= D40)=TRUE,"Y","N")</f>
        <v>Y</v>
      </c>
      <c r="F40" s="36"/>
    </row>
    <row r="41" spans="1:6" ht="12.75" x14ac:dyDescent="0.2">
      <c r="A41" s="113" t="s">
        <v>8</v>
      </c>
      <c r="B41" s="123">
        <f>($B$33/'Enter field data'!$F$53)</f>
        <v>0.35</v>
      </c>
      <c r="C41" s="124">
        <f>VLOOKUP($D$15,'Expected guild %'!$A$5:$G$13,6,FALSE)</f>
        <v>0</v>
      </c>
      <c r="D41" s="124">
        <f>VLOOKUP($D$15,'Expected guild %'!$A$5:$G$13,7,FALSE)</f>
        <v>0.25</v>
      </c>
      <c r="E41" s="125" t="str">
        <f>IF(AND(C41&lt;=B41,B41&lt;= D41)=TRUE,"Y","N")</f>
        <v>N</v>
      </c>
      <c r="F41" s="36"/>
    </row>
    <row r="42" spans="1:6" ht="12.75" x14ac:dyDescent="0.2">
      <c r="A42" s="36"/>
      <c r="B42" s="36"/>
      <c r="C42" s="36"/>
      <c r="D42" s="36"/>
      <c r="E42" s="36"/>
      <c r="F42" s="36"/>
    </row>
    <row r="43" spans="1:6" ht="12.75" x14ac:dyDescent="0.2">
      <c r="A43" s="159" t="s">
        <v>0</v>
      </c>
      <c r="B43" s="160"/>
      <c r="C43" s="160"/>
      <c r="D43" s="160"/>
      <c r="E43" s="161"/>
      <c r="F43" s="36"/>
    </row>
    <row r="44" spans="1:6" x14ac:dyDescent="0.3">
      <c r="A44" s="162" t="s">
        <v>55</v>
      </c>
      <c r="B44" s="162" t="s">
        <v>65</v>
      </c>
      <c r="C44" s="170" t="s">
        <v>66</v>
      </c>
      <c r="D44" s="171"/>
      <c r="E44" s="172" t="s">
        <v>56</v>
      </c>
      <c r="F44" s="36"/>
    </row>
    <row r="45" spans="1:6" x14ac:dyDescent="0.3">
      <c r="A45" s="163"/>
      <c r="B45" s="163"/>
      <c r="C45" s="121" t="s">
        <v>62</v>
      </c>
      <c r="D45" s="122" t="s">
        <v>63</v>
      </c>
      <c r="E45" s="173"/>
      <c r="F45" s="36"/>
    </row>
    <row r="46" spans="1:6" ht="12.75" x14ac:dyDescent="0.2">
      <c r="A46" s="113" t="s">
        <v>9</v>
      </c>
      <c r="B46" s="124">
        <f>($D$31/'Enter field data'!$F$53)</f>
        <v>0.77500000000000002</v>
      </c>
      <c r="C46" s="126">
        <f>VLOOKUP($D$15,'Expected guild %'!$A$19:$G$27,2,FALSE)</f>
        <v>0.5</v>
      </c>
      <c r="D46" s="124">
        <f>VLOOKUP($D$15,'Expected guild %'!$A$19:$G$27,3,FALSE)</f>
        <v>1</v>
      </c>
      <c r="E46" s="125" t="str">
        <f>IF(AND(C46&lt;=B46,B46&lt;= D46)=TRUE,"Y","N")</f>
        <v>Y</v>
      </c>
      <c r="F46" s="36"/>
    </row>
    <row r="47" spans="1:6" ht="12.75" x14ac:dyDescent="0.2">
      <c r="A47" s="113" t="s">
        <v>10</v>
      </c>
      <c r="B47" s="124">
        <f>($D$32/'Enter field data'!$F$53)</f>
        <v>0.22500000000000001</v>
      </c>
      <c r="C47" s="126">
        <f>VLOOKUP($D$15,'Expected guild %'!$A$19:$G$27,4,FALSE)</f>
        <v>0</v>
      </c>
      <c r="D47" s="124">
        <f>VLOOKUP($D$15,'Expected guild %'!$A$19:$G$27,5,FALSE)</f>
        <v>0.5</v>
      </c>
      <c r="E47" s="125" t="str">
        <f>IF(AND(C47&lt;=B47,B47&lt;= D47)=TRUE,"Y","N")</f>
        <v>Y</v>
      </c>
      <c r="F47" s="36"/>
    </row>
    <row r="48" spans="1:6" ht="12.75" x14ac:dyDescent="0.2">
      <c r="A48" s="113" t="s">
        <v>11</v>
      </c>
      <c r="B48" s="124">
        <f>($D$33/'Enter field data'!$F$53)</f>
        <v>0</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64" t="s">
        <v>909</v>
      </c>
      <c r="B52" s="165"/>
      <c r="C52" s="165"/>
      <c r="D52" s="165"/>
      <c r="E52" s="165"/>
      <c r="F52" s="166"/>
      <c r="G52" s="167"/>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59" t="s">
        <v>1</v>
      </c>
      <c r="B66" s="160"/>
      <c r="C66" s="160"/>
      <c r="D66" s="160"/>
      <c r="E66" s="161"/>
      <c r="F66" s="36"/>
    </row>
    <row r="67" spans="1:7" x14ac:dyDescent="0.3">
      <c r="A67" s="162" t="s">
        <v>55</v>
      </c>
      <c r="B67" s="162" t="s">
        <v>65</v>
      </c>
      <c r="C67" s="170" t="s">
        <v>66</v>
      </c>
      <c r="D67" s="171"/>
      <c r="E67" s="172" t="s">
        <v>56</v>
      </c>
      <c r="F67" s="36"/>
    </row>
    <row r="68" spans="1:7" x14ac:dyDescent="0.3">
      <c r="A68" s="163"/>
      <c r="B68" s="163"/>
      <c r="C68" s="121" t="s">
        <v>62</v>
      </c>
      <c r="D68" s="122" t="s">
        <v>63</v>
      </c>
      <c r="E68" s="173"/>
      <c r="F68" s="36"/>
    </row>
    <row r="69" spans="1:7" x14ac:dyDescent="0.3">
      <c r="A69" s="113" t="s">
        <v>12</v>
      </c>
      <c r="B69" s="123">
        <f>($F$31/'Enter field data'!$F$53)</f>
        <v>7.4999999999999997E-2</v>
      </c>
      <c r="C69" s="133" t="str">
        <f>VLOOKUP($D$15,'Expected guild %'!$A$33:$G$41,2,FALSE)</f>
        <v>PRESENT</v>
      </c>
      <c r="D69" s="124">
        <f>VLOOKUP($D$15,'Expected guild %'!$A$33:$G$41,3,FALSE)</f>
        <v>1</v>
      </c>
      <c r="E69" s="125" t="str">
        <f>IF(AND(B69&gt;0,B69&lt;= D69)=TRUE,"Y","N")</f>
        <v>Y</v>
      </c>
      <c r="F69" s="36"/>
    </row>
    <row r="70" spans="1:7" x14ac:dyDescent="0.3">
      <c r="A70" s="113" t="s">
        <v>409</v>
      </c>
      <c r="B70" s="123">
        <f>($F$32/'Enter field data'!$F$53)</f>
        <v>0.47499999999999998</v>
      </c>
      <c r="C70" s="133">
        <f>VLOOKUP($D$15,'Expected guild %'!$A$33:$G$41,4,FALSE)</f>
        <v>0</v>
      </c>
      <c r="D70" s="124">
        <f>VLOOKUP($D$15,'Expected guild %'!$A$33:$G$41,5,FALSE)</f>
        <v>1</v>
      </c>
      <c r="E70" s="125" t="str">
        <f>IF(AND(C70&lt;=B70,B70&lt;= D70)=TRUE,"Y","N")</f>
        <v>Y</v>
      </c>
    </row>
    <row r="71" spans="1:7" x14ac:dyDescent="0.3">
      <c r="A71" s="113" t="s">
        <v>14</v>
      </c>
      <c r="B71" s="123">
        <f>($F$33/'Enter field data'!$F$53)</f>
        <v>0.45</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90"/>
      <c r="B77" s="188"/>
      <c r="C77" s="188"/>
      <c r="D77" s="188"/>
      <c r="E77" s="188"/>
      <c r="F77" s="188"/>
      <c r="G77" s="189"/>
    </row>
    <row r="79" spans="1:7" x14ac:dyDescent="0.3">
      <c r="A79" s="134" t="s">
        <v>862</v>
      </c>
    </row>
    <row r="80" spans="1:7" x14ac:dyDescent="0.3">
      <c r="A80" s="105" t="s">
        <v>876</v>
      </c>
    </row>
    <row r="81" spans="1:4" x14ac:dyDescent="0.3">
      <c r="A81" s="105" t="s">
        <v>877</v>
      </c>
    </row>
    <row r="83" spans="1:4" x14ac:dyDescent="0.3">
      <c r="A83" s="192" t="s">
        <v>844</v>
      </c>
      <c r="B83" s="135" t="s">
        <v>845</v>
      </c>
      <c r="C83" s="136"/>
      <c r="D83" s="137" t="e">
        <f>'Weather Results'!C17</f>
        <v>#DIV/0!</v>
      </c>
    </row>
    <row r="84" spans="1:4" x14ac:dyDescent="0.3">
      <c r="A84" s="192"/>
      <c r="B84" s="135" t="s">
        <v>846</v>
      </c>
      <c r="C84" s="136"/>
      <c r="D84" s="137">
        <f>'Weather Results'!C18</f>
        <v>20.199390000000001</v>
      </c>
    </row>
    <row r="85" spans="1:4" x14ac:dyDescent="0.3">
      <c r="A85" s="192"/>
      <c r="B85" s="135" t="s">
        <v>847</v>
      </c>
      <c r="C85" s="136"/>
      <c r="D85" s="137">
        <f>'Weather Results'!C19</f>
        <v>24.074729999999999</v>
      </c>
    </row>
    <row r="86" spans="1:4" x14ac:dyDescent="0.3">
      <c r="A86" s="192"/>
      <c r="B86" s="138" t="s">
        <v>848</v>
      </c>
      <c r="C86" s="136"/>
      <c r="D86" s="139" t="e">
        <f>'Weather Results'!C20</f>
        <v>#DIV/0!</v>
      </c>
    </row>
    <row r="87" spans="1:4" x14ac:dyDescent="0.3">
      <c r="A87" s="140"/>
      <c r="B87" s="140"/>
      <c r="C87" s="140"/>
      <c r="D87" s="140"/>
    </row>
    <row r="88" spans="1:4" x14ac:dyDescent="0.3">
      <c r="A88" s="191" t="s">
        <v>849</v>
      </c>
      <c r="B88" s="135" t="s">
        <v>850</v>
      </c>
      <c r="C88" s="136"/>
      <c r="D88" s="137" t="e">
        <f>'Weather Results'!C22</f>
        <v>#DIV/0!</v>
      </c>
    </row>
    <row r="89" spans="1:4" x14ac:dyDescent="0.3">
      <c r="A89" s="191"/>
      <c r="B89" s="135" t="s">
        <v>851</v>
      </c>
      <c r="C89" s="136"/>
      <c r="D89" s="137" t="e">
        <f>'Weather Results'!C23</f>
        <v>#DIV/0!</v>
      </c>
    </row>
    <row r="90" spans="1:4" x14ac:dyDescent="0.3">
      <c r="A90" s="191"/>
      <c r="B90" s="135" t="s">
        <v>852</v>
      </c>
      <c r="C90" s="136"/>
      <c r="D90" s="137" t="e">
        <f>'Weather Results'!C24</f>
        <v>#DIV/0!</v>
      </c>
    </row>
    <row r="91" spans="1:4" x14ac:dyDescent="0.3">
      <c r="A91" s="191"/>
      <c r="B91" s="135" t="s">
        <v>853</v>
      </c>
      <c r="C91" s="136"/>
      <c r="D91" s="137" t="e">
        <f>'Weather Results'!C25</f>
        <v>#DIV/0!</v>
      </c>
    </row>
    <row r="92" spans="1:4" x14ac:dyDescent="0.3">
      <c r="A92" s="191"/>
      <c r="B92" s="135" t="s">
        <v>854</v>
      </c>
      <c r="C92" s="136"/>
      <c r="D92" s="137" t="e">
        <f>'Weather Results'!C26</f>
        <v>#DIV/0!</v>
      </c>
    </row>
    <row r="93" spans="1:4" x14ac:dyDescent="0.3">
      <c r="A93" s="191"/>
      <c r="B93" s="135" t="s">
        <v>855</v>
      </c>
      <c r="C93" s="136"/>
      <c r="D93" s="137">
        <f>'Weather Results'!C27</f>
        <v>2.055374</v>
      </c>
    </row>
    <row r="94" spans="1:4" x14ac:dyDescent="0.3">
      <c r="A94" s="191"/>
      <c r="B94" s="135" t="s">
        <v>856</v>
      </c>
      <c r="C94" s="136"/>
      <c r="D94" s="137">
        <f>'Weather Results'!C28</f>
        <v>3.9890539999999999</v>
      </c>
    </row>
    <row r="95" spans="1:4" x14ac:dyDescent="0.3">
      <c r="A95" s="191"/>
      <c r="B95" s="138" t="s">
        <v>857</v>
      </c>
      <c r="C95" s="141"/>
      <c r="D95" s="139" t="e">
        <f>'Weather Results'!C29</f>
        <v>#DIV/0!</v>
      </c>
    </row>
    <row r="97" spans="1:7" x14ac:dyDescent="0.3">
      <c r="A97" s="105" t="s">
        <v>882</v>
      </c>
    </row>
    <row r="98" spans="1:7" ht="16.5" customHeight="1" x14ac:dyDescent="0.3">
      <c r="A98" s="186"/>
      <c r="B98" s="187"/>
      <c r="C98" s="187"/>
      <c r="D98" s="187"/>
      <c r="E98" s="187"/>
      <c r="F98" s="188"/>
      <c r="G98" s="189"/>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86"/>
      <c r="B103" s="188"/>
      <c r="C103" s="188"/>
      <c r="D103" s="188"/>
      <c r="E103" s="188"/>
      <c r="F103" s="188"/>
      <c r="G103" s="189"/>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98:G98"/>
    <mergeCell ref="A103:G103"/>
    <mergeCell ref="A77:G77"/>
    <mergeCell ref="B67:B68"/>
    <mergeCell ref="C67:D67"/>
    <mergeCell ref="E67:E68"/>
    <mergeCell ref="A88:A95"/>
    <mergeCell ref="A83:A86"/>
    <mergeCell ref="D15:E15"/>
    <mergeCell ref="A18:C18"/>
    <mergeCell ref="D18:E18"/>
    <mergeCell ref="D22:E22"/>
    <mergeCell ref="D23:E23"/>
    <mergeCell ref="B4:D4"/>
    <mergeCell ref="B5:D5"/>
    <mergeCell ref="B9:D9"/>
    <mergeCell ref="B11:D11"/>
    <mergeCell ref="B12:D12"/>
    <mergeCell ref="B10:D10"/>
    <mergeCell ref="B6:D6"/>
    <mergeCell ref="B7:D7"/>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ht="15" x14ac:dyDescent="0.25">
      <c r="A31" s="68"/>
      <c r="B31" s="68"/>
      <c r="C31" s="68"/>
      <c r="D31" s="68"/>
    </row>
    <row r="32" spans="1:4" ht="15" x14ac:dyDescent="0.25">
      <c r="A32" s="68"/>
      <c r="B32" s="68"/>
      <c r="C32" s="68"/>
      <c r="D32" s="68"/>
    </row>
    <row r="33" spans="1:4" ht="15" x14ac:dyDescent="0.25">
      <c r="A33" s="68"/>
      <c r="B33" s="68"/>
      <c r="C33" s="68"/>
      <c r="D33" s="68"/>
    </row>
    <row r="34" spans="1:4" ht="15" x14ac:dyDescent="0.25">
      <c r="A34" s="68"/>
      <c r="B34" s="68"/>
      <c r="C34" s="68"/>
      <c r="D34" s="68"/>
    </row>
    <row r="35" spans="1:4" ht="15" x14ac:dyDescent="0.25">
      <c r="A35" s="68"/>
      <c r="B35" s="68"/>
      <c r="C35" s="68"/>
      <c r="D35" s="68"/>
    </row>
    <row r="36" spans="1:4" ht="15" x14ac:dyDescent="0.25">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25">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42215</v>
      </c>
    </row>
    <row r="2" spans="1:5" s="45" customFormat="1" x14ac:dyDescent="0.3">
      <c r="A2" s="193"/>
      <c r="B2" s="76" t="s">
        <v>832</v>
      </c>
      <c r="C2" s="75" t="str">
        <f>'Enter field data'!$B$14</f>
        <v>0403020302</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20150730</v>
      </c>
    </row>
    <row r="5" spans="1:5" ht="15" hidden="1" x14ac:dyDescent="0.25">
      <c r="A5" s="43"/>
      <c r="B5" s="43" t="s">
        <v>833</v>
      </c>
      <c r="C5" s="65" t="str">
        <f>CONCATENATE(YEAR(C1-30),IF(MONTH(C1-30)&lt;10,"0"&amp;MONTH(C1-30),MONTH(C1-30)),IF(DAY(C1-30)&lt;10,"0"&amp;DAY(C1-30),DAY(C1-30)))</f>
        <v>20150630</v>
      </c>
    </row>
    <row r="6" spans="1:5" ht="15" hidden="1" x14ac:dyDescent="0.25">
      <c r="A6" s="43"/>
      <c r="B6" s="43" t="s">
        <v>834</v>
      </c>
      <c r="C6" s="65" t="str">
        <f>CONCATENATE(YEAR(C1-90),IF(MONTH(C1-90)&lt;10,"0"&amp;MONTH(C1-90),MONTH(C1-90)),IF(DAY(C1-90)&lt;10,"0"&amp;DAY(C1-90),DAY(C1-90)))</f>
        <v>20150501</v>
      </c>
    </row>
    <row r="7" spans="1:5" ht="15" hidden="1" x14ac:dyDescent="0.25">
      <c r="A7" s="43"/>
      <c r="B7" s="43" t="s">
        <v>835</v>
      </c>
      <c r="C7" s="65" t="str">
        <f>CONCATENATE(YEAR(C1-365),IF(MONTH(C1-365)&lt;10,"0"&amp;MONTH(C1-365),MONTH(C1-365)),IF(DAY(C1-365)&lt;10,"0"&amp;DAY(C1-365),DAY(C1-365)))</f>
        <v>20140730</v>
      </c>
    </row>
    <row r="8" spans="1:5" ht="15" hidden="1" x14ac:dyDescent="0.25">
      <c r="A8" s="43"/>
      <c r="B8" s="43" t="s">
        <v>836</v>
      </c>
      <c r="C8" s="65" t="str">
        <f>CONCATENATE(YEAR(C1-1460),IF(MONTH(C1-1460)&lt;10,"0"&amp;MONTH(C1-1460),MONTH(C1-1460)),IF(DAY(C1-1460)&lt;10,"0"&amp;DAY(C1-1460),DAY(C1-1460)))</f>
        <v>20110731</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0</v>
      </c>
    </row>
    <row r="12" spans="1:5" ht="15" hidden="1" x14ac:dyDescent="0.25">
      <c r="A12" s="43"/>
      <c r="B12" s="43" t="s">
        <v>840</v>
      </c>
      <c r="C12" s="65">
        <f>IF(MONTH($C$1)=7,DAY($C$1),0)+IF(MONTH($C$1)=8,30-DAY($C$1),0)</f>
        <v>30</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20.199390000000001</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24.074729999999999</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2.055374</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3.9890539999999999</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ht="15" x14ac:dyDescent="0.25">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ht="15" x14ac:dyDescent="0.25">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ht="15" x14ac:dyDescent="0.25">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ht="15" x14ac:dyDescent="0.25">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ht="15" x14ac:dyDescent="0.25">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ht="15" x14ac:dyDescent="0.25">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ht="15" x14ac:dyDescent="0.25">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ht="15" x14ac:dyDescent="0.25">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ht="15" x14ac:dyDescent="0.25">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ht="15" x14ac:dyDescent="0.25">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ht="15" x14ac:dyDescent="0.25">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ht="15" x14ac:dyDescent="0.25">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ht="15" x14ac:dyDescent="0.25">
      <c r="A37" s="34" t="s">
        <v>23</v>
      </c>
      <c r="B37" s="8" t="s">
        <v>397</v>
      </c>
      <c r="C37" s="8">
        <v>1</v>
      </c>
      <c r="D37" s="8">
        <v>0</v>
      </c>
      <c r="E37" s="8">
        <v>1</v>
      </c>
      <c r="F37" s="8">
        <v>0</v>
      </c>
      <c r="G37" s="8">
        <v>0.75</v>
      </c>
    </row>
    <row r="38" spans="1:7" ht="15" x14ac:dyDescent="0.25">
      <c r="A38" s="34" t="s">
        <v>24</v>
      </c>
      <c r="B38" s="8" t="s">
        <v>397</v>
      </c>
      <c r="C38" s="8">
        <v>1</v>
      </c>
      <c r="D38" s="8">
        <v>0</v>
      </c>
      <c r="E38" s="8">
        <v>1</v>
      </c>
      <c r="F38" s="8">
        <v>0</v>
      </c>
      <c r="G38" s="8">
        <v>0.6</v>
      </c>
    </row>
    <row r="39" spans="1:7" ht="15" x14ac:dyDescent="0.25">
      <c r="A39" s="34" t="s">
        <v>25</v>
      </c>
      <c r="B39" s="8" t="s">
        <v>397</v>
      </c>
      <c r="C39" s="8">
        <v>1</v>
      </c>
      <c r="D39" s="8">
        <v>0</v>
      </c>
      <c r="E39" s="8">
        <v>1</v>
      </c>
      <c r="F39" s="8">
        <v>0</v>
      </c>
      <c r="G39" s="8">
        <v>0.75</v>
      </c>
    </row>
    <row r="40" spans="1:7" ht="15" x14ac:dyDescent="0.25">
      <c r="A40" s="34" t="s">
        <v>58</v>
      </c>
      <c r="B40" s="8" t="s">
        <v>397</v>
      </c>
      <c r="C40" s="8">
        <v>1</v>
      </c>
      <c r="D40" s="8">
        <v>0</v>
      </c>
      <c r="E40" s="8">
        <v>1</v>
      </c>
      <c r="F40" s="8">
        <v>0</v>
      </c>
      <c r="G40" s="8">
        <v>0.5</v>
      </c>
    </row>
    <row r="41" spans="1:7" ht="30" x14ac:dyDescent="0.25">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ht="15" x14ac:dyDescent="0.25">
      <c r="A63" s="13" t="s">
        <v>184</v>
      </c>
      <c r="B63" s="14" t="s">
        <v>185</v>
      </c>
      <c r="C63" s="13" t="s">
        <v>43</v>
      </c>
      <c r="D63" s="13" t="s">
        <v>40</v>
      </c>
      <c r="E63" s="13" t="s">
        <v>46</v>
      </c>
      <c r="F63" s="13"/>
      <c r="G63" s="14"/>
      <c r="H63" s="13"/>
      <c r="I63" s="13"/>
      <c r="K63" s="13"/>
      <c r="L63" s="13"/>
    </row>
    <row r="64" spans="1:12" ht="15" x14ac:dyDescent="0.25">
      <c r="A64" s="13" t="s">
        <v>186</v>
      </c>
      <c r="B64" s="14" t="s">
        <v>187</v>
      </c>
      <c r="C64" s="13" t="s">
        <v>42</v>
      </c>
      <c r="D64" s="13" t="s">
        <v>39</v>
      </c>
      <c r="E64" s="13" t="s">
        <v>46</v>
      </c>
      <c r="F64" s="13"/>
      <c r="G64" s="14"/>
      <c r="H64" s="13"/>
      <c r="I64" s="13"/>
      <c r="K64" s="13"/>
      <c r="L64" s="13"/>
    </row>
    <row r="65" spans="1:12" ht="15" x14ac:dyDescent="0.25">
      <c r="A65" s="13" t="s">
        <v>188</v>
      </c>
      <c r="B65" s="14" t="s">
        <v>189</v>
      </c>
      <c r="C65" s="13" t="s">
        <v>42</v>
      </c>
      <c r="D65" s="13" t="s">
        <v>41</v>
      </c>
      <c r="E65" s="13" t="s">
        <v>42</v>
      </c>
      <c r="F65" s="13"/>
      <c r="G65" s="14"/>
      <c r="H65" s="13"/>
      <c r="I65" s="13"/>
      <c r="K65" s="13"/>
      <c r="L65" s="13"/>
    </row>
    <row r="66" spans="1:12" ht="15" x14ac:dyDescent="0.25">
      <c r="A66" s="13" t="s">
        <v>190</v>
      </c>
      <c r="B66" s="14" t="s">
        <v>191</v>
      </c>
      <c r="C66" s="13" t="s">
        <v>42</v>
      </c>
      <c r="D66" s="13" t="s">
        <v>41</v>
      </c>
      <c r="E66" s="13" t="s">
        <v>42</v>
      </c>
      <c r="F66" s="15"/>
      <c r="G66" s="16"/>
      <c r="H66" s="15"/>
      <c r="I66" s="15"/>
      <c r="K66" s="15"/>
      <c r="L66" s="13"/>
    </row>
    <row r="67" spans="1:12" ht="15" x14ac:dyDescent="0.25">
      <c r="A67" s="13" t="s">
        <v>356</v>
      </c>
      <c r="B67" s="14" t="s">
        <v>357</v>
      </c>
      <c r="C67" s="13" t="s">
        <v>43</v>
      </c>
      <c r="D67" s="13" t="s">
        <v>40</v>
      </c>
      <c r="E67" s="13" t="s">
        <v>46</v>
      </c>
      <c r="F67" s="13"/>
      <c r="G67" s="14"/>
      <c r="H67" s="13"/>
      <c r="I67" s="13"/>
      <c r="K67" s="13"/>
      <c r="L67" s="13"/>
    </row>
    <row r="68" spans="1:12" ht="15" x14ac:dyDescent="0.25">
      <c r="A68" s="13" t="s">
        <v>358</v>
      </c>
      <c r="B68" s="14" t="s">
        <v>359</v>
      </c>
      <c r="C68" s="13" t="s">
        <v>43</v>
      </c>
      <c r="D68" s="13" t="s">
        <v>40</v>
      </c>
      <c r="E68" s="13" t="s">
        <v>46</v>
      </c>
      <c r="F68" s="13"/>
      <c r="G68" s="14"/>
      <c r="H68" s="13"/>
      <c r="I68" s="13"/>
      <c r="K68" s="13"/>
      <c r="L68" s="13"/>
    </row>
    <row r="69" spans="1:12" ht="15" x14ac:dyDescent="0.25">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2016-11-23T16:46:49Z</dcterms:modified>
</cp:coreProperties>
</file>