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035" windowHeight="1251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B8" i="4" l="1"/>
  <c r="D18" i="4" l="1"/>
  <c r="D29" i="4"/>
  <c r="D76" i="4" s="1"/>
  <c r="AF53" i="4"/>
  <c r="AE53" i="4"/>
  <c r="AF52" i="4"/>
  <c r="AE52" i="4"/>
  <c r="AF51" i="4"/>
  <c r="AE51" i="4"/>
  <c r="AF46" i="4"/>
  <c r="AE46" i="4"/>
  <c r="AF45" i="4"/>
  <c r="AE45" i="4"/>
  <c r="AF44" i="4"/>
  <c r="AE44" i="4"/>
  <c r="AF76" i="4"/>
  <c r="AE76" i="4"/>
  <c r="AF75" i="4"/>
  <c r="AE75" i="4"/>
  <c r="AF74" i="4"/>
  <c r="AE74" i="4"/>
  <c r="U76" i="4"/>
  <c r="T76" i="4"/>
  <c r="U75" i="4"/>
  <c r="T75" i="4"/>
  <c r="U74" i="4"/>
  <c r="T74" i="4"/>
  <c r="U53" i="4"/>
  <c r="T53" i="4"/>
  <c r="U52" i="4"/>
  <c r="T52" i="4"/>
  <c r="U51" i="4"/>
  <c r="T51" i="4"/>
  <c r="U46" i="4"/>
  <c r="T46" i="4"/>
  <c r="U45" i="4"/>
  <c r="T45" i="4"/>
  <c r="U44" i="4"/>
  <c r="T44" i="4"/>
  <c r="L76" i="4"/>
  <c r="L75" i="4"/>
  <c r="L74" i="4"/>
  <c r="K76" i="4"/>
  <c r="K75" i="4"/>
  <c r="K7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34" i="1" l="1"/>
  <c r="R36" i="1"/>
  <c r="R37" i="1"/>
  <c r="R38" i="1"/>
  <c r="R39" i="1"/>
  <c r="R40" i="1"/>
  <c r="R41" i="1"/>
  <c r="R42" i="1"/>
  <c r="R43" i="1"/>
  <c r="R44" i="1"/>
  <c r="R45" i="1"/>
  <c r="R46" i="1"/>
  <c r="R47" i="1"/>
  <c r="R48" i="1"/>
  <c r="R49" i="1"/>
  <c r="R50" i="1"/>
  <c r="R51" i="1"/>
  <c r="R52" i="1"/>
  <c r="R53" i="1"/>
  <c r="B4" i="4" l="1"/>
  <c r="B11" i="4"/>
  <c r="B12" i="4"/>
  <c r="B9" i="4"/>
  <c r="B7" i="4"/>
  <c r="B6" i="4"/>
  <c r="B5" i="4"/>
  <c r="B13" i="4"/>
  <c r="B14" i="4"/>
  <c r="B15" i="4" l="1"/>
  <c r="C1" i="9"/>
  <c r="C15" i="9" s="1"/>
  <c r="C2" i="9"/>
  <c r="C6" i="9" l="1"/>
  <c r="C24" i="9" s="1"/>
  <c r="D95" i="4" s="1"/>
  <c r="C14" i="9"/>
  <c r="C10" i="9"/>
  <c r="C4" i="9"/>
  <c r="C8" i="9"/>
  <c r="C12" i="9"/>
  <c r="C5" i="9"/>
  <c r="C7" i="9"/>
  <c r="C9" i="9"/>
  <c r="C11" i="9"/>
  <c r="C13" i="9"/>
  <c r="C28" i="9" l="1"/>
  <c r="D99"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P29" i="1" s="1"/>
  <c r="E30" i="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C35" i="1"/>
  <c r="R35" i="1" s="1"/>
  <c r="C39" i="1"/>
  <c r="C40" i="1"/>
  <c r="C41" i="1"/>
  <c r="C42" i="1"/>
  <c r="C43" i="1"/>
  <c r="C44" i="1"/>
  <c r="C45" i="1"/>
  <c r="C46" i="1"/>
  <c r="C47" i="1"/>
  <c r="C48" i="1"/>
  <c r="C49" i="1"/>
  <c r="C50" i="1"/>
  <c r="C51" i="1"/>
  <c r="C52" i="1"/>
  <c r="C53" i="1"/>
  <c r="C21" i="1"/>
  <c r="R21" i="1" s="1"/>
  <c r="M48" i="1"/>
  <c r="F48" i="1" s="1"/>
  <c r="P30" i="1" l="1"/>
  <c r="H29" i="1"/>
  <c r="R29" i="1"/>
  <c r="G29" i="1"/>
  <c r="Q29" i="1" s="1"/>
  <c r="P31" i="1"/>
  <c r="M31" i="1"/>
  <c r="F31" i="1" s="1"/>
  <c r="I29" i="1"/>
  <c r="M30" i="1"/>
  <c r="F30" i="1" s="1"/>
  <c r="G30" i="1"/>
  <c r="Q30" i="1" s="1"/>
  <c r="K30" i="1"/>
  <c r="H30" i="1"/>
  <c r="M38" i="1"/>
  <c r="F38" i="1" s="1"/>
  <c r="H31" i="1"/>
  <c r="H52" i="1"/>
  <c r="H48" i="1"/>
  <c r="H44" i="1"/>
  <c r="C29" i="9"/>
  <c r="D100" i="4" s="1"/>
  <c r="O30" i="1"/>
  <c r="J30" i="1"/>
  <c r="L29" i="1"/>
  <c r="M29" i="1"/>
  <c r="F29" i="1" s="1"/>
  <c r="K31" i="1"/>
  <c r="G31" i="1"/>
  <c r="J31" i="1" s="1"/>
  <c r="N29" i="1"/>
  <c r="O29"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H33"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I33" i="1" s="1"/>
  <c r="K33" i="1"/>
  <c r="N27" i="1"/>
  <c r="K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L27" i="1" s="1"/>
  <c r="J21" i="1"/>
  <c r="J52" i="1"/>
  <c r="I52" i="1"/>
  <c r="J50" i="1"/>
  <c r="I50" i="1"/>
  <c r="J48" i="1"/>
  <c r="I48" i="1"/>
  <c r="J46" i="1"/>
  <c r="I46" i="1"/>
  <c r="J44" i="1"/>
  <c r="I44" i="1"/>
  <c r="J43" i="1"/>
  <c r="I43" i="1"/>
  <c r="H43" i="1"/>
  <c r="J42" i="1"/>
  <c r="I42" i="1"/>
  <c r="H42" i="1"/>
  <c r="J39" i="1"/>
  <c r="I39" i="1"/>
  <c r="H39" i="1"/>
  <c r="J34" i="1"/>
  <c r="I34" i="1"/>
  <c r="H34" i="1"/>
  <c r="I32" i="1"/>
  <c r="H32" i="1"/>
  <c r="J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K28" i="1"/>
  <c r="G28" i="1"/>
  <c r="H28" i="1" s="1"/>
  <c r="G26" i="1"/>
  <c r="J26" i="1" s="1"/>
  <c r="K26" i="1"/>
  <c r="N24"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O27" i="1"/>
  <c r="O25"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Q28" i="1" l="1"/>
  <c r="L28" i="1"/>
  <c r="J28" i="1"/>
  <c r="L31" i="1"/>
  <c r="I31" i="1"/>
  <c r="O31" i="1"/>
  <c r="K29" i="1"/>
  <c r="J29" i="1"/>
  <c r="P27" i="1"/>
  <c r="I28" i="1"/>
  <c r="L26" i="1"/>
  <c r="N28" i="1"/>
  <c r="I27" i="1"/>
  <c r="P28" i="1"/>
  <c r="I26"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AD36" i="4"/>
  <c r="S36" i="4"/>
  <c r="B36" i="4"/>
  <c r="D38" i="4"/>
  <c r="B53" i="4" s="1"/>
  <c r="E53" i="4" s="1"/>
  <c r="L38" i="4"/>
  <c r="AF38" i="4"/>
  <c r="U38" i="4"/>
  <c r="F38" i="4"/>
  <c r="N38" i="4"/>
  <c r="AH38" i="4"/>
  <c r="W38" i="4"/>
  <c r="B37" i="4"/>
  <c r="J45" i="4" s="1"/>
  <c r="M45" i="4" s="1"/>
  <c r="AD37" i="4"/>
  <c r="J37" i="4"/>
  <c r="S37" i="4"/>
  <c r="F37" i="4"/>
  <c r="J75" i="4" s="1"/>
  <c r="M75" i="4" s="1"/>
  <c r="N37" i="4"/>
  <c r="AH37" i="4"/>
  <c r="W37" i="4"/>
  <c r="D36" i="4"/>
  <c r="L36" i="4"/>
  <c r="AF36" i="4"/>
  <c r="U36" i="4"/>
  <c r="B38" i="4"/>
  <c r="B46" i="4" s="1"/>
  <c r="E46" i="4" s="1"/>
  <c r="AD38" i="4"/>
  <c r="S38" i="4"/>
  <c r="J38" i="4"/>
  <c r="D37" i="4"/>
  <c r="L37" i="4"/>
  <c r="AF37" i="4"/>
  <c r="U37" i="4"/>
  <c r="F36" i="4"/>
  <c r="J74" i="4" s="1"/>
  <c r="M74" i="4" s="1"/>
  <c r="AH36" i="4"/>
  <c r="W36" i="4"/>
  <c r="N36" i="4"/>
  <c r="B75" i="4" l="1"/>
  <c r="B45" i="4"/>
  <c r="E45" i="4" s="1"/>
  <c r="B74" i="4"/>
  <c r="E74" i="4" s="1"/>
  <c r="J53" i="4"/>
  <c r="M53" i="4" s="1"/>
  <c r="J46" i="4"/>
  <c r="M46" i="4" s="1"/>
  <c r="AD74" i="4"/>
  <c r="AG74" i="4" s="1"/>
  <c r="S74" i="4"/>
  <c r="V74" i="4" s="1"/>
  <c r="AD52" i="4"/>
  <c r="AG52" i="4" s="1"/>
  <c r="S52" i="4"/>
  <c r="V52" i="4" s="1"/>
  <c r="AD46" i="4"/>
  <c r="AG46" i="4" s="1"/>
  <c r="S46" i="4"/>
  <c r="V46" i="4" s="1"/>
  <c r="AD51" i="4"/>
  <c r="AG51" i="4" s="1"/>
  <c r="S51" i="4"/>
  <c r="V51" i="4" s="1"/>
  <c r="AD75" i="4"/>
  <c r="AG75" i="4" s="1"/>
  <c r="S75" i="4"/>
  <c r="V75" i="4" s="1"/>
  <c r="AD45" i="4"/>
  <c r="AG45" i="4" s="1"/>
  <c r="S45" i="4"/>
  <c r="V45" i="4" s="1"/>
  <c r="AD76" i="4"/>
  <c r="AG76" i="4" s="1"/>
  <c r="S76" i="4"/>
  <c r="V76" i="4" s="1"/>
  <c r="AD53" i="4"/>
  <c r="AG53" i="4" s="1"/>
  <c r="S53" i="4"/>
  <c r="V53" i="4" s="1"/>
  <c r="J76" i="4"/>
  <c r="M76" i="4" s="1"/>
  <c r="J52" i="4"/>
  <c r="M52" i="4" s="1"/>
  <c r="J51" i="4"/>
  <c r="M51" i="4" s="1"/>
  <c r="J44" i="4"/>
  <c r="M44" i="4" s="1"/>
  <c r="AD44" i="4"/>
  <c r="AG44" i="4" s="1"/>
  <c r="S44" i="4"/>
  <c r="V44" i="4" s="1"/>
  <c r="B44" i="4"/>
  <c r="E44" i="4" s="1"/>
  <c r="B76" i="4"/>
  <c r="E76" i="4" s="1"/>
  <c r="B52" i="4"/>
  <c r="E52" i="4" s="1"/>
  <c r="B51" i="4"/>
  <c r="E51" i="4" s="1"/>
  <c r="E75" i="4" l="1"/>
</calcChain>
</file>

<file path=xl/sharedStrings.xml><?xml version="1.0" encoding="utf-8"?>
<sst xmlns="http://schemas.openxmlformats.org/spreadsheetml/2006/main" count="2130" uniqueCount="928">
  <si>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</si>
  <si>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</si>
  <si>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</si>
  <si>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</si>
  <si>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</si>
  <si>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</si>
  <si>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</si>
  <si>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</si>
  <si>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</si>
  <si>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</si>
  <si>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</si>
  <si>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</si>
  <si>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</si>
  <si>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</si>
  <si>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</si>
  <si>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</si>
  <si>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</si>
  <si>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</si>
  <si>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</si>
  <si>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</si>
  <si>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</si>
  <si>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</si>
  <si>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</si>
  <si>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</si>
  <si>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</si>
  <si>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</si>
  <si>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</si>
  <si>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</si>
  <si>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</si>
  <si>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</si>
  <si>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</si>
  <si>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</si>
  <si>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</si>
  <si>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</si>
  <si>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</si>
  <si>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</si>
  <si>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</si>
  <si>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</si>
  <si>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</si>
  <si>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</si>
  <si>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</si>
  <si>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</si>
  <si>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</si>
  <si>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</si>
  <si>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</si>
  <si>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</si>
  <si>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</si>
  <si>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</si>
  <si>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</si>
  <si>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</si>
  <si>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</si>
  <si>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</si>
  <si>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</si>
  <si>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</si>
  <si>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</si>
  <si>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</si>
  <si>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</si>
  <si>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</si>
  <si>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</si>
  <si>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</si>
  <si>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</si>
  <si>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</si>
  <si>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</si>
  <si>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</si>
  <si>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</si>
  <si>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</si>
  <si>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</si>
  <si>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</si>
  <si>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</si>
  <si>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</si>
  <si>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</si>
  <si>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</si>
  <si>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</si>
  <si>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</si>
  <si>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</si>
  <si>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</si>
  <si>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</si>
  <si>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</si>
  <si>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</si>
  <si>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</si>
  <si>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</si>
  <si>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</si>
  <si>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</si>
  <si>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</si>
  <si>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</si>
  <si>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</si>
  <si>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</si>
  <si>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</si>
  <si>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</si>
  <si>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</si>
  <si>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</si>
  <si>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</si>
  <si>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</si>
  <si>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</si>
  <si>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</si>
  <si>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</si>
  <si>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</si>
  <si>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</si>
  <si>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</si>
  <si>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</si>
  <si>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</si>
  <si>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</si>
  <si>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</si>
  <si>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</si>
  <si>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</si>
  <si>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</si>
  <si>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</si>
  <si>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</si>
  <si>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</si>
  <si>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</si>
  <si>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</si>
  <si>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</si>
  <si>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</si>
  <si>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</si>
  <si>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</si>
  <si>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</si>
  <si>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</si>
  <si>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</si>
  <si>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</si>
  <si>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</si>
  <si>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</si>
  <si>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</si>
  <si>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</si>
  <si>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</si>
  <si>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</si>
  <si>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</si>
  <si>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</si>
  <si>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</si>
  <si>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</si>
  <si>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</si>
  <si>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</si>
  <si>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</si>
  <si>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</si>
  <si>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</si>
  <si>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</si>
  <si>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</si>
  <si>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</si>
  <si>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</si>
  <si>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</si>
  <si>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</si>
  <si>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</si>
  <si>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</si>
  <si>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</si>
  <si>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</si>
  <si>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</si>
  <si>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</si>
  <si>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</si>
  <si>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</si>
  <si>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</si>
  <si>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</si>
  <si>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</si>
  <si>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</si>
  <si>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</si>
  <si>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</si>
  <si>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</si>
  <si>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</si>
  <si>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</si>
  <si>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</si>
  <si>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</si>
  <si>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</si>
  <si>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</si>
  <si>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</si>
  <si>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</si>
  <si>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</si>
  <si>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</si>
  <si>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</si>
  <si>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</si>
  <si>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</si>
  <si>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</si>
  <si>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</si>
  <si>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</si>
  <si>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</si>
  <si>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</si>
  <si>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</si>
  <si>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</si>
  <si>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</si>
  <si>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</si>
  <si>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</si>
  <si>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</si>
  <si>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</si>
  <si>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</si>
  <si>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</si>
  <si>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</si>
  <si>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</si>
  <si>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</si>
  <si>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</si>
  <si>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</si>
  <si>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</si>
  <si>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</si>
  <si>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</si>
  <si>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</si>
  <si>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</si>
  <si>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</si>
  <si>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</si>
  <si>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</si>
  <si>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</si>
  <si>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</si>
  <si>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</si>
  <si>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</si>
  <si>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</si>
  <si>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</si>
  <si>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</si>
  <si>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</si>
  <si>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</si>
  <si>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</si>
  <si>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</si>
  <si>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</si>
  <si>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</si>
  <si>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</si>
  <si>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</si>
  <si>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</si>
  <si>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</si>
  <si>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</si>
  <si>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</si>
  <si>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</si>
  <si>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</si>
  <si>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</si>
  <si>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</si>
  <si>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</si>
  <si>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</si>
  <si>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</si>
  <si>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</si>
  <si>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</si>
  <si>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</si>
  <si>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</si>
  <si>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</si>
  <si>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</si>
  <si>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</si>
  <si>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</si>
  <si>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</si>
  <si>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</si>
  <si>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</si>
  <si>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</si>
  <si>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</si>
  <si>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</si>
  <si>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</si>
  <si>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</si>
  <si>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</si>
  <si>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</si>
  <si>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</si>
  <si>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</si>
  <si>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</si>
  <si>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</si>
  <si>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</si>
  <si>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</si>
  <si>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</si>
  <si>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</si>
  <si>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</si>
  <si>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</si>
  <si>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</si>
  <si>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</si>
  <si>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</si>
  <si>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</si>
  <si>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</si>
  <si>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</si>
  <si>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</si>
  <si>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</si>
  <si>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</si>
  <si>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</si>
  <si>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</si>
  <si>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</si>
  <si>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</si>
  <si>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</si>
  <si>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</si>
  <si>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</si>
  <si>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</si>
  <si>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</si>
  <si>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</si>
  <si>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</si>
  <si>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</si>
  <si>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</si>
  <si>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</si>
  <si>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</si>
  <si>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</si>
  <si>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</si>
  <si>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</si>
  <si>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</si>
  <si>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</si>
  <si>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</si>
  <si>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</si>
  <si>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</si>
  <si>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</si>
  <si>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</si>
  <si>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</si>
  <si>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</si>
  <si>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</si>
  <si>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</si>
  <si>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</si>
  <si>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</si>
  <si>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</si>
  <si>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</si>
  <si>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</si>
  <si>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</si>
  <si>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</si>
  <si>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</si>
  <si>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</si>
  <si>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</si>
  <si>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</si>
  <si>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</si>
  <si>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</si>
  <si>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</si>
  <si>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</si>
  <si>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</si>
  <si>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</si>
  <si>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</si>
  <si>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</si>
  <si>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</si>
  <si>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</si>
  <si>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</si>
  <si>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</si>
  <si>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</si>
  <si>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</si>
  <si>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</si>
  <si>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</si>
  <si>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</si>
  <si>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</si>
  <si>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</si>
  <si>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</si>
  <si>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</si>
  <si>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</si>
  <si>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</si>
  <si>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</si>
  <si>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</si>
  <si>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</si>
  <si>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</si>
  <si>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</si>
  <si>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</si>
  <si>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</si>
  <si>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</si>
  <si>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</si>
  <si>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</si>
  <si>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</si>
  <si>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</si>
  <si>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</si>
  <si>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</si>
  <si>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</si>
  <si>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</si>
  <si>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</si>
  <si>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</si>
  <si>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</si>
  <si>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</si>
  <si>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</si>
  <si>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</si>
  <si>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</si>
  <si>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</si>
  <si>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</si>
  <si>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</si>
  <si>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</si>
  <si>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</si>
  <si>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</si>
  <si>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</si>
  <si>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</si>
  <si>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</si>
  <si>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</si>
  <si>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</si>
  <si>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</si>
  <si>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</si>
  <si>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</si>
  <si>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</si>
  <si>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</si>
  <si>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</si>
  <si>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</si>
  <si>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</si>
  <si>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</si>
  <si>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</si>
  <si>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</si>
  <si>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</si>
  <si>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</si>
  <si>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</si>
  <si>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</si>
  <si>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</si>
  <si>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</si>
  <si>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</si>
  <si>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</si>
  <si>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</si>
  <si>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</si>
  <si>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</si>
  <si>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</si>
  <si>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</si>
  <si>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</si>
  <si>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</si>
  <si>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</si>
  <si>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</si>
  <si>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</si>
  <si>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</si>
  <si>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</si>
  <si>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</si>
  <si>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</si>
  <si>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</si>
  <si>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</si>
  <si>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</si>
  <si>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</si>
  <si>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</si>
  <si>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</si>
  <si>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</si>
  <si>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</si>
  <si>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</si>
  <si>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</si>
  <si>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</si>
  <si>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</si>
  <si>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</si>
  <si>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</si>
  <si>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</si>
  <si>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</si>
  <si>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</si>
  <si>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</si>
  <si>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</si>
  <si>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</si>
  <si>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</si>
  <si>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</si>
  <si>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</si>
  <si>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</si>
  <si>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</si>
  <si>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</si>
  <si>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</si>
  <si>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</si>
  <si>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</si>
  <si>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</si>
  <si>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</si>
  <si>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</si>
  <si>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</si>
  <si>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</si>
  <si>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</si>
  <si>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</si>
  <si>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</si>
  <si>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</si>
  <si>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</si>
  <si>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</si>
  <si>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</si>
  <si>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</si>
  <si>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</si>
  <si>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</si>
  <si>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</si>
  <si>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</si>
  <si>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</si>
  <si>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</si>
  <si>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</si>
  <si>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</si>
  <si>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</si>
  <si>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</si>
  <si>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</si>
  <si>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</si>
  <si>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</si>
  <si>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</si>
  <si>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</si>
  <si>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</si>
  <si>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</si>
  <si>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</si>
  <si>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</si>
  <si>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</si>
  <si>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</si>
  <si>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</si>
  <si>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</si>
  <si>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</si>
  <si>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</si>
  <si>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</si>
  <si>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</si>
  <si>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</si>
  <si>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</si>
  <si>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</si>
  <si>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</si>
  <si>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</si>
  <si>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</si>
  <si>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</si>
  <si>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</si>
  <si>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</si>
  <si>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</si>
  <si>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</si>
  <si>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</si>
  <si>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</si>
  <si>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</si>
  <si>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</si>
  <si>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</si>
  <si>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</si>
  <si>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</si>
  <si>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</si>
  <si>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</si>
  <si>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</si>
  <si>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</si>
  <si>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</si>
  <si>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</si>
  <si>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</si>
  <si>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</si>
  <si>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</si>
  <si>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</si>
  <si>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</si>
  <si>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</si>
  <si>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</si>
  <si>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</si>
  <si>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</si>
  <si>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</si>
  <si>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</si>
  <si>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</si>
  <si>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</si>
  <si>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</si>
  <si>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</si>
  <si>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</si>
  <si>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</si>
  <si>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</si>
  <si>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</si>
  <si>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</si>
  <si>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</si>
  <si>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</si>
  <si>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</si>
  <si>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</si>
  <si>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</si>
  <si>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</si>
  <si>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</si>
  <si>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</si>
  <si>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</si>
  <si>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</si>
  <si>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</si>
  <si>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</si>
  <si>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</si>
  <si>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</si>
  <si>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</si>
  <si>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</si>
  <si>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</si>
  <si>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</si>
  <si>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</si>
  <si>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</si>
  <si>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</si>
  <si>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</si>
  <si>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</si>
  <si>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</si>
  <si>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</si>
  <si>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</si>
  <si>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</si>
  <si>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</si>
  <si>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</si>
  <si>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</si>
  <si>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</si>
  <si>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</si>
  <si>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</si>
  <si>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</si>
  <si>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</si>
  <si>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</si>
  <si>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</si>
  <si>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</si>
  <si>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</si>
  <si>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</si>
  <si>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</si>
  <si>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</si>
  <si>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</si>
  <si>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</si>
  <si>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</si>
  <si>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</si>
  <si>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</si>
  <si>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</si>
  <si>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</si>
  <si>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</si>
  <si>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</si>
  <si>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</si>
  <si>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</si>
  <si>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</si>
  <si>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</si>
  <si>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</si>
  <si>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</si>
  <si>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</si>
  <si>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</si>
  <si>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</si>
  <si>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</si>
  <si>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</si>
  <si>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</si>
  <si>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</si>
  <si>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</si>
  <si>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</si>
  <si>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</si>
  <si>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</si>
  <si>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</si>
  <si>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</si>
  <si>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</si>
  <si>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</si>
  <si>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</si>
  <si>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</si>
  <si>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</si>
  <si>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</si>
  <si>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</si>
  <si>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</si>
  <si>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</si>
  <si>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</si>
  <si>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</si>
  <si>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</si>
  <si>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</si>
  <si>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</si>
  <si>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</si>
  <si>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</si>
  <si>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</si>
  <si>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</si>
  <si>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</si>
  <si>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</si>
  <si>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</si>
  <si>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</si>
  <si>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</si>
  <si>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</si>
  <si>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</si>
  <si>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</si>
  <si>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</si>
  <si>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</si>
  <si>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</si>
  <si>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</si>
  <si>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</si>
  <si>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</si>
  <si>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</si>
  <si>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</si>
  <si>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</si>
  <si>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</si>
  <si>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</si>
  <si>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</si>
  <si>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</si>
  <si>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</si>
  <si>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</si>
  <si>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</si>
  <si>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</si>
  <si>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</si>
  <si>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</si>
  <si>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</si>
  <si>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</si>
  <si>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</si>
  <si>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</si>
  <si>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</si>
  <si>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</si>
  <si>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</si>
  <si>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</si>
  <si>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</si>
  <si>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</si>
  <si>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</si>
  <si>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</si>
  <si>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</si>
  <si>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</si>
  <si>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</si>
  <si>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</si>
  <si>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</si>
  <si>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</si>
  <si>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</si>
  <si>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</si>
  <si>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</si>
  <si>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</si>
  <si>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</si>
  <si>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</si>
  <si>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</si>
  <si>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</si>
  <si>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</si>
  <si>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</si>
  <si>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</si>
  <si>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</si>
  <si>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</si>
  <si>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</si>
  <si>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</si>
  <si>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</si>
  <si>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</si>
  <si>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</si>
  <si>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</si>
  <si>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</si>
  <si>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</si>
  <si>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</si>
  <si>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</si>
  <si>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</si>
  <si>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</si>
  <si>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</si>
  <si>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</si>
  <si>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</si>
  <si>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</si>
  <si>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</si>
  <si>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</si>
  <si>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</si>
  <si>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</si>
  <si>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</si>
  <si>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</si>
  <si>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</si>
  <si>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</si>
  <si>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</si>
  <si>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</si>
  <si>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</si>
  <si>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</si>
  <si>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</si>
  <si>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</si>
  <si>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</si>
  <si>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</si>
  <si>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</si>
  <si>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</si>
  <si>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</si>
  <si>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</si>
  <si>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</si>
  <si>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</si>
  <si>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</si>
  <si>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</si>
  <si>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</si>
  <si>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</si>
  <si>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</si>
  <si>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</si>
  <si>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</si>
  <si>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</si>
  <si>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</si>
  <si>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</si>
  <si>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</si>
  <si>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</si>
  <si>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</si>
  <si>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</si>
  <si>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</si>
  <si>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</si>
  <si>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</si>
  <si>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</si>
  <si>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</si>
  <si>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</si>
  <si>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</si>
  <si>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</si>
  <si>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</si>
  <si>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</si>
  <si>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</si>
  <si>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</si>
  <si>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</si>
  <si>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</si>
  <si>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</si>
  <si>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</si>
  <si>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</si>
  <si>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</si>
  <si>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</si>
  <si>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</si>
  <si>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</si>
  <si>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</si>
  <si>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</si>
  <si>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</si>
  <si>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</si>
  <si>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</si>
  <si>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</si>
  <si>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</si>
  <si>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</si>
  <si>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</si>
  <si>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</si>
  <si>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</si>
  <si>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</si>
  <si>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</si>
  <si>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</si>
  <si>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</si>
  <si>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</si>
  <si>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</si>
  <si>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</si>
  <si>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</si>
  <si>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</si>
  <si>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</si>
  <si>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</si>
  <si>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</si>
  <si>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</si>
  <si>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</si>
  <si>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</si>
  <si>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</si>
  <si>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</si>
  <si>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</si>
  <si>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</si>
  <si>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</si>
  <si>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</si>
  <si>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</si>
  <si>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</si>
  <si>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</si>
  <si>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</si>
  <si>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</si>
  <si>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</si>
  <si>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</si>
  <si>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</si>
  <si>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</si>
  <si>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</si>
  <si>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</si>
  <si>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</si>
  <si>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</si>
  <si>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</si>
  <si>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</si>
  <si>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</si>
  <si>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</si>
  <si>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</si>
  <si>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</si>
  <si>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</si>
  <si>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</si>
  <si>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</si>
  <si>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</si>
  <si>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</si>
  <si>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</si>
  <si>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</si>
  <si>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</si>
  <si>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</si>
  <si>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</si>
  <si>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</si>
  <si>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</si>
  <si>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</si>
  <si>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</si>
  <si>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</si>
  <si>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</si>
  <si>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</si>
  <si>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</si>
  <si>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</si>
  <si>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</si>
  <si>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</si>
  <si>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</si>
  <si>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</si>
  <si>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</si>
  <si>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</si>
  <si>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</si>
  <si>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</si>
  <si>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</si>
  <si>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</si>
  <si>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</si>
  <si>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</si>
  <si>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</si>
  <si>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</si>
  <si>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</si>
  <si>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</si>
  <si>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</si>
  <si>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</si>
  <si>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</si>
  <si>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</si>
  <si>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</si>
  <si>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</si>
  <si>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</si>
  <si>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</si>
  <si>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</si>
  <si>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</si>
  <si>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</si>
  <si>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</si>
  <si>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</si>
  <si>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</si>
  <si>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</si>
  <si>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</si>
  <si>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</si>
  <si>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</si>
  <si>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</si>
  <si>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</si>
  <si>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</si>
  <si>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</si>
  <si>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</si>
  <si>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</si>
  <si>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</si>
  <si>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</si>
  <si>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</si>
  <si>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</si>
  <si>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</si>
  <si>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</si>
  <si>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</si>
  <si>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</si>
  <si>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</si>
  <si>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</si>
  <si>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</si>
  <si>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</si>
  <si>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</si>
  <si>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</si>
  <si>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</si>
  <si>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</si>
  <si>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</si>
  <si>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</si>
  <si>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</si>
  <si>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</si>
  <si>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</si>
  <si>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</si>
  <si>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</si>
  <si>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</si>
  <si>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</si>
  <si>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</si>
  <si>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</si>
  <si>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</si>
  <si>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</si>
  <si>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</si>
  <si>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</si>
  <si>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</si>
  <si>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</si>
  <si>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</si>
  <si>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</si>
  <si>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</si>
  <si>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</si>
  <si>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</si>
  <si>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</si>
  <si>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</si>
  <si>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</si>
  <si>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</si>
  <si>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</si>
  <si>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</si>
  <si>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</si>
  <si>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</si>
  <si>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</si>
  <si>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</si>
  <si>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</si>
  <si>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</si>
  <si>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</si>
  <si>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</si>
  <si>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</si>
  <si>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</si>
  <si>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</si>
  <si>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</si>
  <si>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</si>
  <si>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</si>
  <si>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</si>
  <si>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</si>
  <si>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</si>
  <si>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</si>
  <si>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</si>
  <si>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</si>
  <si>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</si>
  <si>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</si>
  <si>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</si>
  <si>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</si>
  <si>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</si>
  <si>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</si>
  <si>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</si>
  <si>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</si>
  <si>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</si>
  <si>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</si>
  <si>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</si>
  <si>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</si>
  <si>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</si>
  <si>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</si>
  <si>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</si>
  <si>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</si>
  <si>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</si>
  <si>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</si>
  <si>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Review the weather information in step 3 to the left.</t>
  </si>
  <si>
    <t>AT THE TOP LEFT, ENTER WHETHER THE MODELED NC IS VERIFIED, OR A DIFFERENT NC IS PROPOSED.</t>
  </si>
  <si>
    <t>YOU MAY TEST OTHER POTENTIAL NCs TO THE RIGHT.   WHEN COMPLETE, AT THE TOP ENTER WHETHER THE MODELED NC IS VERIFIED, OR A DIFFERENT NC IS PROPOSED.</t>
  </si>
  <si>
    <t>Form V6. 3-21-2017</t>
  </si>
  <si>
    <t>MODELED NATURAL COMMUNITY (do not change):</t>
  </si>
  <si>
    <t>FIRST TEST NATURAL COMMUNITY (use picklist):</t>
  </si>
  <si>
    <t>SECOND TEST NATURAL COMMUNITY (use picklist):</t>
  </si>
  <si>
    <t>THIRD TEST NATURAL COMMUNITY (use picklist):</t>
  </si>
  <si>
    <t>Modeled Natural Community</t>
  </si>
  <si>
    <t>FOR TESTING ALTERNATIVE NCs, USE THE THREE TESTING AREAS IN THIS SECTION</t>
  </si>
  <si>
    <t>D. Bolha</t>
  </si>
  <si>
    <t>Waupaca</t>
  </si>
  <si>
    <t>Northern Pearl Dace</t>
  </si>
  <si>
    <t>Verified as Correct</t>
  </si>
  <si>
    <t>Geskey Cr US County E</t>
  </si>
  <si>
    <t>Geskey Creek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</si>
</sst>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s>
  <cellStyleXfs count="2">
    <xf numFmtId="0" fontId="0" fillId="0" borderId="0"/>
    <xf numFmtId="0" fontId="12" fillId="0" borderId="0" applyNumberFormat="0" applyFill="0" applyBorder="0" applyAlignment="0" applyProtection="0"/>
  </cellStyleXfs>
  <cellXfs count="218">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5" borderId="1" xfId="0" applyFill="1" applyBorder="1" applyAlignment="1" applyProtection="1">
      <alignment vertical="top"/>
      <protection locked="0"/>
    </xf>
    <xf numFmtId="0" fontId="0" fillId="5" borderId="1" xfId="0" applyFill="1" applyBorder="1" applyAlignment="1" applyProtection="1">
      <alignment horizontal="left" vertical="top"/>
      <protection locked="0"/>
    </xf>
    <xf numFmtId="0" fontId="0" fillId="5" borderId="7"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2" borderId="9" xfId="0" applyFill="1" applyBorder="1" applyAlignment="1">
      <alignment vertical="top" wrapText="1"/>
    </xf>
    <xf numFmtId="0" fontId="0" fillId="0" borderId="6" xfId="0" applyBorder="1" applyAlignment="1">
      <alignment vertical="top"/>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49" fontId="0" fillId="5" borderId="7" xfId="0" applyNumberFormat="1" applyFill="1" applyBorder="1" applyAlignment="1" applyProtection="1">
      <alignment horizontal="left" vertical="top"/>
      <protection locked="0"/>
    </xf>
    <xf numFmtId="49" fontId="0" fillId="5" borderId="10" xfId="0" applyNumberFormat="1" applyFill="1" applyBorder="1" applyAlignment="1" applyProtection="1">
      <alignment horizontal="left" vertical="top"/>
      <protection locked="0"/>
    </xf>
    <xf numFmtId="49" fontId="0" fillId="5" borderId="2" xfId="0" applyNumberFormat="1" applyFill="1" applyBorder="1" applyAlignment="1" applyProtection="1">
      <alignment horizontal="left" vertical="top"/>
      <protection locked="0"/>
    </xf>
    <xf numFmtId="1" fontId="0" fillId="5" borderId="7" xfId="0" applyNumberFormat="1" applyFill="1" applyBorder="1" applyAlignment="1" applyProtection="1">
      <alignment horizontal="left"/>
      <protection locked="0"/>
    </xf>
    <xf numFmtId="1" fontId="0" fillId="5" borderId="10" xfId="0" applyNumberFormat="1" applyFill="1" applyBorder="1" applyAlignment="1" applyProtection="1">
      <alignment horizontal="left"/>
      <protection locked="0"/>
    </xf>
    <xf numFmtId="1"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protection locked="0"/>
    </xf>
    <xf numFmtId="14" fontId="0" fillId="5" borderId="10" xfId="0" applyNumberFormat="1" applyFill="1" applyBorder="1" applyAlignment="1" applyProtection="1">
      <alignment horizontal="left"/>
      <protection locked="0"/>
    </xf>
    <xf numFmtId="14"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vertical="top"/>
      <protection locked="0"/>
    </xf>
    <xf numFmtId="14" fontId="0" fillId="5" borderId="10" xfId="0" applyNumberFormat="1" applyFill="1" applyBorder="1" applyAlignment="1" applyProtection="1">
      <alignment horizontal="left" vertical="top"/>
      <protection locked="0"/>
    </xf>
    <xf numFmtId="14" fontId="0" fillId="5" borderId="2" xfId="0" applyNumberFormat="1" applyFill="1" applyBorder="1" applyAlignment="1" applyProtection="1">
      <alignment horizontal="left" vertical="top"/>
      <protection locked="0"/>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7" borderId="7" xfId="0" applyFont="1" applyFill="1" applyBorder="1" applyAlignment="1" applyProtection="1">
      <alignment vertical="top" wrapText="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0" borderId="10" xfId="0" applyFont="1" applyBorder="1" applyAlignment="1" applyProtection="1">
      <alignmen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E13" sqref="E13"/>
    </sheetView>
  </sheetViews>
  <sheetFormatPr defaultColWidth="9.140625"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915</v>
      </c>
      <c r="F1" s="2"/>
      <c r="G1" s="2"/>
      <c r="H1" s="2"/>
      <c r="I1" s="2"/>
      <c r="J1" s="2"/>
      <c r="K1" s="2"/>
      <c r="L1" s="2"/>
      <c r="M1" s="2"/>
      <c r="N1" s="2"/>
      <c r="O1" s="2"/>
      <c r="P1" s="2"/>
      <c r="Q1" s="2"/>
    </row>
    <row r="2" spans="1:20" x14ac:dyDescent="0.25">
      <c r="A2" s="12" t="s">
        <v>876</v>
      </c>
      <c r="B2" s="2"/>
      <c r="C2" s="2"/>
      <c r="D2" s="2"/>
      <c r="E2" s="2"/>
      <c r="F2" s="2"/>
      <c r="G2" s="2"/>
      <c r="H2" s="2"/>
      <c r="I2" s="2"/>
      <c r="J2" s="2"/>
      <c r="K2" s="2"/>
      <c r="L2" s="2"/>
      <c r="M2" s="2"/>
      <c r="N2" s="2"/>
      <c r="O2" s="2"/>
      <c r="P2" s="2"/>
      <c r="Q2" s="2"/>
    </row>
    <row r="4" spans="1:20" x14ac:dyDescent="0.25">
      <c r="A4" s="1" t="s">
        <v>38</v>
      </c>
      <c r="B4" s="151" t="s">
        <v>922</v>
      </c>
      <c r="C4" s="151"/>
      <c r="D4" s="151"/>
      <c r="F4" s="2" t="s">
        <v>837</v>
      </c>
    </row>
    <row r="5" spans="1:20" x14ac:dyDescent="0.25">
      <c r="A5" s="1" t="s">
        <v>833</v>
      </c>
      <c r="B5" s="174">
        <v>42824</v>
      </c>
      <c r="C5" s="175"/>
      <c r="D5" s="176"/>
      <c r="F5" s="82"/>
      <c r="G5" s="28"/>
      <c r="H5" s="28"/>
      <c r="I5" s="28"/>
      <c r="J5" s="28"/>
      <c r="K5" s="28"/>
      <c r="L5" s="28"/>
      <c r="M5" s="28"/>
      <c r="N5" s="28"/>
      <c r="O5" s="28"/>
      <c r="P5" s="28"/>
      <c r="Q5" s="28"/>
      <c r="R5" s="28" t="s">
        <v>868</v>
      </c>
    </row>
    <row r="6" spans="1:20" x14ac:dyDescent="0.25">
      <c r="A6" s="1" t="s">
        <v>831</v>
      </c>
      <c r="B6" s="171">
        <v>42193</v>
      </c>
      <c r="C6" s="172"/>
      <c r="D6" s="173"/>
      <c r="F6" s="26"/>
      <c r="G6" s="28"/>
      <c r="H6" s="28"/>
      <c r="I6" s="28"/>
      <c r="J6" s="28"/>
      <c r="K6" s="28"/>
      <c r="L6" s="28"/>
      <c r="M6" s="28"/>
      <c r="N6" s="28"/>
      <c r="O6" s="28"/>
      <c r="P6" s="28"/>
      <c r="Q6" s="28"/>
      <c r="R6" s="28" t="s">
        <v>378</v>
      </c>
    </row>
    <row r="7" spans="1:20" s="28" customFormat="1" x14ac:dyDescent="0.25">
      <c r="A7" s="28" t="s">
        <v>871</v>
      </c>
      <c r="B7" s="168">
        <v>10014791</v>
      </c>
      <c r="C7" s="169"/>
      <c r="D7" s="170"/>
      <c r="F7" s="27"/>
    </row>
    <row r="8" spans="1:20" s="28" customFormat="1" x14ac:dyDescent="0.25">
      <c r="A8" s="28" t="s">
        <v>874</v>
      </c>
      <c r="B8" s="160" t="s">
        <v>926</v>
      </c>
      <c r="C8" s="161"/>
      <c r="D8" s="162"/>
      <c r="F8" s="27"/>
    </row>
    <row r="9" spans="1:20" x14ac:dyDescent="0.25">
      <c r="A9" s="1" t="s">
        <v>49</v>
      </c>
      <c r="B9" s="151" t="s">
        <v>872</v>
      </c>
      <c r="C9" s="151"/>
      <c r="D9" s="151"/>
    </row>
    <row r="10" spans="1:20" x14ac:dyDescent="0.25">
      <c r="B10" s="86"/>
      <c r="C10" s="86"/>
      <c r="D10" s="86"/>
    </row>
    <row r="11" spans="1:20" x14ac:dyDescent="0.25">
      <c r="A11" s="1" t="s">
        <v>34</v>
      </c>
      <c r="B11" s="152" t="s">
        <v>927</v>
      </c>
      <c r="C11" s="153"/>
      <c r="D11" s="154"/>
      <c r="F11" s="27"/>
      <c r="G11" s="27"/>
      <c r="H11" s="27"/>
      <c r="I11" s="27"/>
      <c r="J11" s="27"/>
      <c r="K11" s="27"/>
      <c r="L11" s="27"/>
      <c r="M11" s="27"/>
      <c r="N11" s="27"/>
      <c r="O11" s="27"/>
      <c r="P11" s="27"/>
      <c r="Q11" s="27"/>
      <c r="R11" s="27"/>
    </row>
    <row r="12" spans="1:20" x14ac:dyDescent="0.25">
      <c r="A12" s="1" t="s">
        <v>37</v>
      </c>
      <c r="B12" s="151" t="s">
        <v>923</v>
      </c>
      <c r="C12" s="151"/>
      <c r="D12" s="151"/>
    </row>
    <row r="13" spans="1:20" x14ac:dyDescent="0.25">
      <c r="A13" s="1" t="s">
        <v>35</v>
      </c>
      <c r="B13" s="151">
        <v>200117581</v>
      </c>
      <c r="C13" s="151"/>
      <c r="D13" s="151"/>
      <c r="F13" s="27"/>
      <c r="G13" s="27"/>
      <c r="H13" s="27"/>
      <c r="I13" s="27"/>
      <c r="J13" s="27"/>
      <c r="K13" s="27"/>
      <c r="L13" s="27"/>
      <c r="M13" s="27"/>
      <c r="N13" s="27"/>
      <c r="O13" s="27"/>
      <c r="P13" s="27"/>
      <c r="Q13" s="27"/>
      <c r="R13" s="27"/>
    </row>
    <row r="14" spans="1:20" x14ac:dyDescent="0.25">
      <c r="A14" s="1" t="s">
        <v>36</v>
      </c>
      <c r="B14" s="151">
        <v>297200</v>
      </c>
      <c r="C14" s="151"/>
      <c r="D14" s="151"/>
      <c r="F14" s="27"/>
      <c r="G14" s="27"/>
      <c r="H14" s="27"/>
      <c r="I14" s="27"/>
      <c r="J14" s="27"/>
      <c r="K14" s="27"/>
      <c r="L14" s="27"/>
      <c r="M14" s="27"/>
      <c r="N14" s="27"/>
      <c r="O14" s="27"/>
      <c r="P14" s="27"/>
      <c r="Q14" s="27"/>
      <c r="R14" s="27"/>
    </row>
    <row r="15" spans="1:20" s="28" customFormat="1" x14ac:dyDescent="0.25">
      <c r="A15" s="28" t="s">
        <v>836</v>
      </c>
      <c r="B15" s="165" t="s">
        <v>503</v>
      </c>
      <c r="C15" s="166"/>
      <c r="D15" s="167"/>
      <c r="E15" s="11" t="s">
        <v>870</v>
      </c>
      <c r="F15" s="27"/>
    </row>
    <row r="16" spans="1:20" x14ac:dyDescent="0.25">
      <c r="B16" s="130"/>
      <c r="C16" s="130"/>
      <c r="D16" s="130"/>
      <c r="T16" s="37"/>
    </row>
    <row r="17" spans="1:25" x14ac:dyDescent="0.25">
      <c r="A17" s="1" t="s">
        <v>33</v>
      </c>
      <c r="B17" s="160" t="s">
        <v>23</v>
      </c>
      <c r="C17" s="161"/>
      <c r="D17" s="162"/>
      <c r="E17" s="11" t="s">
        <v>838</v>
      </c>
      <c r="F17" s="24"/>
      <c r="G17" s="24"/>
      <c r="S17" s="11"/>
    </row>
    <row r="18" spans="1:25" x14ac:dyDescent="0.25">
      <c r="G18" s="163" t="s">
        <v>59</v>
      </c>
      <c r="H18" s="164"/>
      <c r="I18" s="164"/>
      <c r="J18" s="164"/>
      <c r="K18" s="164"/>
      <c r="L18" s="164"/>
      <c r="M18" s="164"/>
      <c r="N18" s="164"/>
      <c r="O18" s="164"/>
      <c r="P18" s="164"/>
      <c r="Q18" s="164"/>
    </row>
    <row r="19" spans="1:25" x14ac:dyDescent="0.25">
      <c r="A19" s="2" t="s">
        <v>867</v>
      </c>
      <c r="C19" s="28"/>
      <c r="D19" s="28"/>
      <c r="E19" s="28"/>
      <c r="F19" s="28"/>
      <c r="G19" s="158" t="s">
        <v>377</v>
      </c>
      <c r="H19" s="155" t="s">
        <v>5</v>
      </c>
      <c r="I19" s="156"/>
      <c r="J19" s="157"/>
      <c r="K19" s="155" t="s">
        <v>64</v>
      </c>
      <c r="L19" s="156"/>
      <c r="M19" s="156"/>
      <c r="N19" s="157"/>
      <c r="O19" s="155" t="s">
        <v>1</v>
      </c>
      <c r="P19" s="156"/>
      <c r="Q19" s="157"/>
      <c r="R19" s="28"/>
    </row>
    <row r="20" spans="1:25" ht="45" x14ac:dyDescent="0.25">
      <c r="A20" s="5" t="s">
        <v>50</v>
      </c>
      <c r="B20" s="4" t="s">
        <v>4</v>
      </c>
      <c r="C20" s="5" t="s">
        <v>2</v>
      </c>
      <c r="D20" s="5" t="s">
        <v>3</v>
      </c>
      <c r="E20" s="5" t="s">
        <v>44</v>
      </c>
      <c r="F20" s="30" t="s">
        <v>376</v>
      </c>
      <c r="G20" s="159"/>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0" t="s">
        <v>235</v>
      </c>
      <c r="B21" s="150">
        <v>1</v>
      </c>
      <c r="C21" s="26" t="str">
        <f>IFERROR(VLOOKUP($A21,'Species guilds'!$A$3:$F$301,3,FALSE),0)</f>
        <v>C</v>
      </c>
      <c r="D21" s="26" t="str">
        <f>IFERROR(VLOOKUP($A21,'Species guilds'!$A$3:$F$301,4,FALSE),0)</f>
        <v>S</v>
      </c>
      <c r="E21" s="26" t="str">
        <f>IFERROR(VLOOKUP($A21,'Species guilds'!$A$3:$F$301,5,FALSE),0)</f>
        <v>IT</v>
      </c>
      <c r="F21" s="26">
        <f t="shared" ref="F21:F53" si="0">IF(AND(M21&gt;0,B21&gt;0)=FALSE,B21,0)</f>
        <v>1</v>
      </c>
      <c r="G21" s="26">
        <f>IF(D21="Lake",0,1)</f>
        <v>1</v>
      </c>
      <c r="H21" s="26">
        <f>IF($C21=H$20,$B21*G21,0)</f>
        <v>1</v>
      </c>
      <c r="I21" s="26">
        <f>IF($C21=I$20,$B21*G21,0)</f>
        <v>0</v>
      </c>
      <c r="J21" s="26">
        <f>IF($C21=J$20,$B21*G21,0)</f>
        <v>0</v>
      </c>
      <c r="K21" s="26">
        <f>IF($D21=K$20,$B21*G21,0)</f>
        <v>1</v>
      </c>
      <c r="L21" s="26">
        <f>IF($D21=L$20,$B21*G21,0)</f>
        <v>0</v>
      </c>
      <c r="M21" s="26">
        <f>IF($D21=M$20,$B21,0)</f>
        <v>0</v>
      </c>
      <c r="N21" s="26">
        <f>IF($D21=N$20,$B21*G21,0)</f>
        <v>0</v>
      </c>
      <c r="O21" s="26">
        <f>IF($E21=O$20,$B21*G21,0)</f>
        <v>1</v>
      </c>
      <c r="P21" s="26">
        <f>IF($E21=P$20,$B21*G21,0)</f>
        <v>0</v>
      </c>
      <c r="Q21" s="26">
        <f>IF($E21=Q$20,$B21*G21,0)</f>
        <v>0</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0" t="s">
        <v>198</v>
      </c>
      <c r="B22" s="150">
        <v>19</v>
      </c>
      <c r="C22" s="26" t="str">
        <f>IFERROR(VLOOKUP($A22,'Species guilds'!$A$3:$F$301,3,FALSE),0)</f>
        <v>T</v>
      </c>
      <c r="D22" s="26" t="str">
        <f>IFERROR(VLOOKUP($A22,'Species guilds'!$A$3:$F$301,4,FALSE),0)</f>
        <v>S</v>
      </c>
      <c r="E22" s="26" t="str">
        <f>IFERROR(VLOOKUP($A22,'Species guilds'!$A$3:$F$301,5,FALSE),0)</f>
        <v>T</v>
      </c>
      <c r="F22" s="26">
        <f t="shared" si="0"/>
        <v>19</v>
      </c>
      <c r="G22" s="26">
        <f t="shared" ref="G22:G53" si="1">IF(D22="Lake",0,1)</f>
        <v>1</v>
      </c>
      <c r="H22" s="26">
        <f t="shared" ref="H22:H53" si="2">IF($C22=H$20,$B22*G22,0)</f>
        <v>0</v>
      </c>
      <c r="I22" s="26">
        <f t="shared" ref="I22:I53" si="3">IF($C22=I$20,$B22*G22,0)</f>
        <v>19</v>
      </c>
      <c r="J22" s="26">
        <f t="shared" ref="J22:J53" si="4">IF($C22=J$20,$B22*G22,0)</f>
        <v>0</v>
      </c>
      <c r="K22" s="26">
        <f t="shared" ref="K22:K53" si="5">IF($D22=K$20,$B22*G22,0)</f>
        <v>19</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19</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0" t="s">
        <v>254</v>
      </c>
      <c r="B23" s="150">
        <v>11</v>
      </c>
      <c r="C23" s="26" t="str">
        <f>IFERROR(VLOOKUP($A23,'Species guilds'!$A$3:$F$301,3,FALSE),0)</f>
        <v>T</v>
      </c>
      <c r="D23" s="26" t="str">
        <f>IFERROR(VLOOKUP($A23,'Species guilds'!$A$3:$F$301,4,FALSE),0)</f>
        <v>S</v>
      </c>
      <c r="E23" s="26" t="str">
        <f>IFERROR(VLOOKUP($A23,'Species guilds'!$A$3:$F$301,5,FALSE),0)</f>
        <v>T</v>
      </c>
      <c r="F23" s="26">
        <f t="shared" si="0"/>
        <v>11</v>
      </c>
      <c r="G23" s="26">
        <f t="shared" si="1"/>
        <v>1</v>
      </c>
      <c r="H23" s="26">
        <f t="shared" si="2"/>
        <v>0</v>
      </c>
      <c r="I23" s="26">
        <f t="shared" si="3"/>
        <v>11</v>
      </c>
      <c r="J23" s="26">
        <f t="shared" si="4"/>
        <v>0</v>
      </c>
      <c r="K23" s="26">
        <f t="shared" si="5"/>
        <v>11</v>
      </c>
      <c r="L23" s="26">
        <f t="shared" si="6"/>
        <v>0</v>
      </c>
      <c r="M23" s="26">
        <f t="shared" si="7"/>
        <v>0</v>
      </c>
      <c r="N23" s="26">
        <f t="shared" si="8"/>
        <v>0</v>
      </c>
      <c r="O23" s="26">
        <f t="shared" si="9"/>
        <v>0</v>
      </c>
      <c r="P23" s="26">
        <f t="shared" si="10"/>
        <v>0</v>
      </c>
      <c r="Q23" s="26">
        <f t="shared" si="11"/>
        <v>11</v>
      </c>
      <c r="R23" s="79" t="str">
        <f t="shared" si="12"/>
        <v/>
      </c>
      <c r="T23" s="43"/>
      <c r="U23" s="43"/>
      <c r="V23" s="43"/>
      <c r="W23" s="43"/>
      <c r="X23" s="43"/>
      <c r="Y23" s="43"/>
    </row>
    <row r="24" spans="1:25" x14ac:dyDescent="0.25">
      <c r="A24" s="150" t="s">
        <v>174</v>
      </c>
      <c r="B24" s="150">
        <v>12</v>
      </c>
      <c r="C24" s="26" t="str">
        <f>IFERROR(VLOOKUP($A24,'Species guilds'!$A$3:$F$301,3,FALSE),0)</f>
        <v>T</v>
      </c>
      <c r="D24" s="26" t="str">
        <f>IFERROR(VLOOKUP($A24,'Species guilds'!$A$3:$F$301,4,FALSE),0)</f>
        <v>S</v>
      </c>
      <c r="E24" s="26" t="str">
        <f>IFERROR(VLOOKUP($A24,'Species guilds'!$A$3:$F$301,5,FALSE),0)</f>
        <v>T</v>
      </c>
      <c r="F24" s="26">
        <f t="shared" si="0"/>
        <v>12</v>
      </c>
      <c r="G24" s="26">
        <f t="shared" si="1"/>
        <v>1</v>
      </c>
      <c r="H24" s="26">
        <f t="shared" si="2"/>
        <v>0</v>
      </c>
      <c r="I24" s="26">
        <f t="shared" si="3"/>
        <v>12</v>
      </c>
      <c r="J24" s="26">
        <f t="shared" si="4"/>
        <v>0</v>
      </c>
      <c r="K24" s="26">
        <f t="shared" si="5"/>
        <v>12</v>
      </c>
      <c r="L24" s="26">
        <f t="shared" si="6"/>
        <v>0</v>
      </c>
      <c r="M24" s="26">
        <f t="shared" si="7"/>
        <v>0</v>
      </c>
      <c r="N24" s="26">
        <f t="shared" si="8"/>
        <v>0</v>
      </c>
      <c r="O24" s="26">
        <f t="shared" si="9"/>
        <v>0</v>
      </c>
      <c r="P24" s="26">
        <f t="shared" si="10"/>
        <v>0</v>
      </c>
      <c r="Q24" s="26">
        <f t="shared" si="11"/>
        <v>12</v>
      </c>
      <c r="R24" s="79" t="str">
        <f t="shared" si="12"/>
        <v/>
      </c>
      <c r="T24" s="43"/>
      <c r="U24" s="43"/>
      <c r="V24" s="43"/>
      <c r="W24" s="43"/>
      <c r="X24" s="43"/>
      <c r="Y24" s="43"/>
    </row>
    <row r="25" spans="1:25" x14ac:dyDescent="0.25">
      <c r="A25" s="150" t="s">
        <v>344</v>
      </c>
      <c r="B25" s="150">
        <v>1</v>
      </c>
      <c r="C25" s="26" t="str">
        <f>IFERROR(VLOOKUP($A25,'Species guilds'!$A$3:$F$301,3,FALSE),0)</f>
        <v>T</v>
      </c>
      <c r="D25" s="26" t="str">
        <f>IFERROR(VLOOKUP($A25,'Species guilds'!$A$3:$F$301,4,FALSE),0)</f>
        <v>M</v>
      </c>
      <c r="E25" s="26" t="str">
        <f>IFERROR(VLOOKUP($A25,'Species guilds'!$A$3:$F$301,5,FALSE),0)</f>
        <v>T</v>
      </c>
      <c r="F25" s="26">
        <f t="shared" si="0"/>
        <v>1</v>
      </c>
      <c r="G25" s="26">
        <f t="shared" si="1"/>
        <v>1</v>
      </c>
      <c r="H25" s="26">
        <f t="shared" si="2"/>
        <v>0</v>
      </c>
      <c r="I25" s="26">
        <f t="shared" si="3"/>
        <v>1</v>
      </c>
      <c r="J25" s="26">
        <f t="shared" si="4"/>
        <v>0</v>
      </c>
      <c r="K25" s="26">
        <f t="shared" si="5"/>
        <v>0</v>
      </c>
      <c r="L25" s="26">
        <f t="shared" si="6"/>
        <v>1</v>
      </c>
      <c r="M25" s="26">
        <f t="shared" si="7"/>
        <v>0</v>
      </c>
      <c r="N25" s="26">
        <f t="shared" si="8"/>
        <v>0</v>
      </c>
      <c r="O25" s="26">
        <f t="shared" si="9"/>
        <v>0</v>
      </c>
      <c r="P25" s="26">
        <f t="shared" si="10"/>
        <v>0</v>
      </c>
      <c r="Q25" s="26">
        <f t="shared" si="11"/>
        <v>1</v>
      </c>
      <c r="R25" s="79" t="str">
        <f t="shared" si="12"/>
        <v/>
      </c>
      <c r="T25" s="43"/>
      <c r="U25" s="43"/>
      <c r="V25" s="43"/>
      <c r="W25" s="43"/>
      <c r="X25" s="43"/>
      <c r="Y25" s="43"/>
    </row>
    <row r="26" spans="1:25" x14ac:dyDescent="0.25">
      <c r="A26" s="150" t="s">
        <v>308</v>
      </c>
      <c r="B26" s="150">
        <v>2</v>
      </c>
      <c r="C26" s="26" t="str">
        <f>IFERROR(VLOOKUP($A26,'Species guilds'!$A$3:$F$301,3,FALSE),0)</f>
        <v>T</v>
      </c>
      <c r="D26" s="26" t="str">
        <f>IFERROR(VLOOKUP($A26,'Species guilds'!$A$3:$F$301,4,FALSE),0)</f>
        <v>M</v>
      </c>
      <c r="E26" s="26" t="str">
        <f>IFERROR(VLOOKUP($A26,'Species guilds'!$A$3:$F$301,5,FALSE),0)</f>
        <v>IM</v>
      </c>
      <c r="F26" s="26">
        <f t="shared" si="0"/>
        <v>2</v>
      </c>
      <c r="G26" s="26">
        <f t="shared" si="1"/>
        <v>1</v>
      </c>
      <c r="H26" s="26">
        <f t="shared" si="2"/>
        <v>0</v>
      </c>
      <c r="I26" s="26">
        <f t="shared" si="3"/>
        <v>2</v>
      </c>
      <c r="J26" s="26">
        <f t="shared" si="4"/>
        <v>0</v>
      </c>
      <c r="K26" s="26">
        <f t="shared" si="5"/>
        <v>0</v>
      </c>
      <c r="L26" s="26">
        <f t="shared" si="6"/>
        <v>2</v>
      </c>
      <c r="M26" s="26">
        <f t="shared" si="7"/>
        <v>0</v>
      </c>
      <c r="N26" s="26">
        <f t="shared" si="8"/>
        <v>0</v>
      </c>
      <c r="O26" s="26">
        <f t="shared" si="9"/>
        <v>0</v>
      </c>
      <c r="P26" s="26">
        <f t="shared" si="10"/>
        <v>2</v>
      </c>
      <c r="Q26" s="26">
        <f t="shared" si="11"/>
        <v>0</v>
      </c>
      <c r="R26" s="79" t="str">
        <f t="shared" si="12"/>
        <v/>
      </c>
      <c r="T26" s="43"/>
      <c r="U26" s="43"/>
      <c r="V26" s="43"/>
      <c r="W26" s="43"/>
      <c r="X26" s="43"/>
      <c r="Y26" s="43"/>
    </row>
    <row r="27" spans="1:25" x14ac:dyDescent="0.25">
      <c r="A27" s="150" t="s">
        <v>924</v>
      </c>
      <c r="B27" s="150">
        <v>13</v>
      </c>
      <c r="C27" s="26" t="str">
        <f>IFERROR(VLOOKUP($A27,'Species guilds'!$A$3:$F$301,3,FALSE),0)</f>
        <v>T</v>
      </c>
      <c r="D27" s="26" t="str">
        <f>IFERROR(VLOOKUP($A27,'Species guilds'!$A$3:$F$301,4,FALSE),0)</f>
        <v>S</v>
      </c>
      <c r="E27" s="26" t="str">
        <f>IFERROR(VLOOKUP($A27,'Species guilds'!$A$3:$F$301,5,FALSE),0)</f>
        <v>IM</v>
      </c>
      <c r="F27" s="26">
        <f t="shared" si="0"/>
        <v>13</v>
      </c>
      <c r="G27" s="26">
        <f t="shared" si="1"/>
        <v>1</v>
      </c>
      <c r="H27" s="26">
        <f t="shared" si="2"/>
        <v>0</v>
      </c>
      <c r="I27" s="26">
        <f t="shared" si="3"/>
        <v>13</v>
      </c>
      <c r="J27" s="26">
        <f t="shared" si="4"/>
        <v>0</v>
      </c>
      <c r="K27" s="26">
        <f t="shared" si="5"/>
        <v>13</v>
      </c>
      <c r="L27" s="26">
        <f t="shared" si="6"/>
        <v>0</v>
      </c>
      <c r="M27" s="26">
        <f t="shared" si="7"/>
        <v>0</v>
      </c>
      <c r="N27" s="26">
        <f t="shared" si="8"/>
        <v>0</v>
      </c>
      <c r="O27" s="26">
        <f t="shared" si="9"/>
        <v>0</v>
      </c>
      <c r="P27" s="26">
        <f t="shared" si="10"/>
        <v>13</v>
      </c>
      <c r="Q27" s="26">
        <f t="shared" si="11"/>
        <v>0</v>
      </c>
      <c r="R27" s="79" t="str">
        <f t="shared" si="12"/>
        <v/>
      </c>
      <c r="T27" s="43"/>
      <c r="U27" s="43"/>
      <c r="V27" s="43"/>
      <c r="W27" s="43"/>
      <c r="X27" s="43"/>
      <c r="Y27" s="43"/>
    </row>
    <row r="28" spans="1:25" x14ac:dyDescent="0.25">
      <c r="A28" s="150" t="s">
        <v>132</v>
      </c>
      <c r="B28" s="150">
        <v>1</v>
      </c>
      <c r="C28" s="26" t="str">
        <f>IFERROR(VLOOKUP($A28,'Species guilds'!$A$3:$F$301,3,FALSE),0)</f>
        <v>W</v>
      </c>
      <c r="D28" s="26" t="str">
        <f>IFERROR(VLOOKUP($A28,'Species guilds'!$A$3:$F$301,4,FALSE),0)</f>
        <v>M</v>
      </c>
      <c r="E28" s="26" t="str">
        <f>IFERROR(VLOOKUP($A28,'Species guilds'!$A$3:$F$301,5,FALSE),0)</f>
        <v>T</v>
      </c>
      <c r="F28" s="26">
        <f t="shared" si="0"/>
        <v>1</v>
      </c>
      <c r="G28" s="26">
        <f t="shared" si="1"/>
        <v>1</v>
      </c>
      <c r="H28" s="26">
        <f t="shared" si="2"/>
        <v>0</v>
      </c>
      <c r="I28" s="26">
        <f t="shared" si="3"/>
        <v>0</v>
      </c>
      <c r="J28" s="26">
        <f t="shared" si="4"/>
        <v>1</v>
      </c>
      <c r="K28" s="26">
        <f t="shared" si="5"/>
        <v>0</v>
      </c>
      <c r="L28" s="26">
        <f t="shared" si="6"/>
        <v>1</v>
      </c>
      <c r="M28" s="26">
        <f t="shared" si="7"/>
        <v>0</v>
      </c>
      <c r="N28" s="26">
        <f t="shared" si="8"/>
        <v>0</v>
      </c>
      <c r="O28" s="26">
        <f t="shared" si="9"/>
        <v>0</v>
      </c>
      <c r="P28" s="26">
        <f t="shared" si="10"/>
        <v>0</v>
      </c>
      <c r="Q28" s="26">
        <f t="shared" si="11"/>
        <v>1</v>
      </c>
      <c r="R28" s="79" t="str">
        <f t="shared" si="12"/>
        <v/>
      </c>
      <c r="T28" s="31"/>
      <c r="U28" s="43"/>
      <c r="V28" s="43"/>
      <c r="W28" s="43"/>
      <c r="X28" s="43"/>
      <c r="Y28" s="43"/>
    </row>
    <row r="29" spans="1:25" x14ac:dyDescent="0.25">
      <c r="A29" s="25"/>
      <c r="B29" s="25"/>
      <c r="C29" s="26">
        <f>IFERROR(VLOOKUP($A29,'Species guilds'!$A$3:$F$301,3,FALSE),0)</f>
        <v>0</v>
      </c>
      <c r="D29" s="26">
        <f>IFERROR(VLOOKUP($A29,'Species guilds'!$A$3:$F$301,4,FALSE),0)</f>
        <v>0</v>
      </c>
      <c r="E29" s="26">
        <f>IFERROR(VLOOKUP($A29,'Species guilds'!$A$3:$F$301,5,FALSE),0)</f>
        <v>0</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79" t="str">
        <f t="shared" si="12"/>
        <v/>
      </c>
      <c r="T29" s="45"/>
      <c r="U29" s="45"/>
      <c r="V29" s="45"/>
      <c r="W29" s="45"/>
      <c r="X29" s="45"/>
      <c r="Y29" s="43"/>
    </row>
    <row r="30" spans="1:25" x14ac:dyDescent="0.25">
      <c r="A30" s="25"/>
      <c r="B30" s="25"/>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79" t="str">
        <f t="shared" si="12"/>
        <v/>
      </c>
      <c r="T30" s="45"/>
      <c r="U30" s="45"/>
      <c r="V30" s="45"/>
      <c r="W30" s="45"/>
      <c r="X30" s="45"/>
      <c r="Y30" s="43"/>
    </row>
    <row r="31" spans="1:25" x14ac:dyDescent="0.25">
      <c r="A31" s="25"/>
      <c r="B31" s="25"/>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79" t="str">
        <f t="shared" si="12"/>
        <v/>
      </c>
      <c r="T31" s="45"/>
      <c r="U31" s="45"/>
      <c r="V31" s="45"/>
      <c r="W31" s="45"/>
      <c r="X31" s="45"/>
      <c r="Y31" s="43"/>
    </row>
    <row r="32" spans="1:25" x14ac:dyDescent="0.25">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79"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ht="14.4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60</v>
      </c>
      <c r="F54" s="9">
        <f>SUM(F21:F53)</f>
        <v>60</v>
      </c>
      <c r="G54" s="2"/>
      <c r="H54" s="9">
        <f>SUM(H21:H53)</f>
        <v>1</v>
      </c>
      <c r="I54" s="9">
        <f t="shared" ref="I54:Q54" si="14">SUM(I21:I53)</f>
        <v>58</v>
      </c>
      <c r="J54" s="9">
        <f t="shared" si="14"/>
        <v>1</v>
      </c>
      <c r="K54" s="9">
        <f t="shared" si="14"/>
        <v>56</v>
      </c>
      <c r="L54" s="9">
        <f t="shared" si="14"/>
        <v>4</v>
      </c>
      <c r="M54" s="9">
        <f t="shared" si="14"/>
        <v>0</v>
      </c>
      <c r="N54" s="9">
        <f t="shared" si="14"/>
        <v>0</v>
      </c>
      <c r="O54" s="9">
        <f t="shared" si="14"/>
        <v>1</v>
      </c>
      <c r="P54" s="9">
        <f t="shared" si="14"/>
        <v>15</v>
      </c>
      <c r="Q54" s="9">
        <f t="shared" si="14"/>
        <v>44</v>
      </c>
    </row>
  </sheetData>
  <mergeCells count="17">
    <mergeCell ref="O19:Q19"/>
    <mergeCell ref="G19:G20"/>
    <mergeCell ref="H19:J19"/>
    <mergeCell ref="B17:D17"/>
    <mergeCell ref="G18:Q18"/>
    <mergeCell ref="B12:D12"/>
    <mergeCell ref="B4:D4"/>
    <mergeCell ref="B11:D11"/>
    <mergeCell ref="B9:D9"/>
    <mergeCell ref="K19:N19"/>
    <mergeCell ref="B15:D15"/>
    <mergeCell ref="B8:D8"/>
    <mergeCell ref="B7:D7"/>
    <mergeCell ref="B6:D6"/>
    <mergeCell ref="B5:D5"/>
    <mergeCell ref="B13:D13"/>
    <mergeCell ref="B14:D14"/>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J111"/>
  <sheetViews>
    <sheetView tabSelected="1" zoomScaleNormal="100" workbookViewId="0">
      <selection activeCell="E11" sqref="E11"/>
    </sheetView>
  </sheetViews>
  <sheetFormatPr defaultColWidth="9.140625"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17.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7" width="9.140625" style="76"/>
    <col min="18" max="18" width="14.5703125" style="76" customWidth="1"/>
    <col min="19" max="19" width="11.28515625" style="76" customWidth="1"/>
    <col min="20" max="20" width="16" style="76" customWidth="1"/>
    <col min="21" max="21" width="11.28515625" style="76" customWidth="1"/>
    <col min="22" max="22" width="13.28515625" style="76" customWidth="1"/>
    <col min="23" max="28" width="9.140625" style="76"/>
    <col min="29" max="29" width="13.7109375" style="76" customWidth="1"/>
    <col min="30" max="30" width="9.140625" style="76"/>
    <col min="31" max="31" width="15.42578125" style="76" customWidth="1"/>
    <col min="32" max="32" width="9.140625" style="76"/>
    <col min="33" max="33" width="12" style="76" customWidth="1"/>
    <col min="34" max="16384" width="9.140625" style="76"/>
  </cols>
  <sheetData>
    <row r="1" spans="1:18" x14ac:dyDescent="0.2">
      <c r="A1" s="87" t="s">
        <v>379</v>
      </c>
      <c r="B1" s="87"/>
      <c r="C1" s="87"/>
      <c r="D1" s="87"/>
      <c r="E1" s="87" t="s">
        <v>915</v>
      </c>
      <c r="F1" s="87"/>
    </row>
    <row r="2" spans="1:18" x14ac:dyDescent="0.2">
      <c r="A2" s="88" t="s">
        <v>857</v>
      </c>
      <c r="B2" s="87"/>
      <c r="C2" s="87"/>
      <c r="D2" s="87"/>
      <c r="E2" s="87"/>
      <c r="F2" s="87"/>
    </row>
    <row r="3" spans="1:18" x14ac:dyDescent="0.2">
      <c r="A3" s="65"/>
      <c r="B3" s="65"/>
      <c r="C3" s="65"/>
      <c r="D3" s="65"/>
      <c r="E3" s="65"/>
      <c r="F3" s="65"/>
    </row>
    <row r="4" spans="1:18" ht="15" x14ac:dyDescent="0.2">
      <c r="A4" s="65" t="s">
        <v>38</v>
      </c>
      <c r="B4" s="205" t="str">
        <f>'Enter field data'!B4</f>
        <v>D. Bolha</v>
      </c>
      <c r="C4" s="206"/>
      <c r="D4" s="85"/>
      <c r="E4" s="65"/>
      <c r="F4" s="89" t="s">
        <v>837</v>
      </c>
      <c r="G4" s="83"/>
      <c r="H4" s="83"/>
      <c r="I4" s="83"/>
      <c r="J4" s="83"/>
      <c r="K4" s="83"/>
      <c r="L4" s="83"/>
      <c r="M4" s="83"/>
      <c r="N4" s="83"/>
      <c r="O4" s="83"/>
      <c r="P4" s="83"/>
      <c r="Q4" s="83"/>
      <c r="R4" s="83"/>
    </row>
    <row r="5" spans="1:18" ht="15" x14ac:dyDescent="0.2">
      <c r="A5" s="65" t="s">
        <v>832</v>
      </c>
      <c r="B5" s="207">
        <f>'Enter field data'!B5</f>
        <v>42824</v>
      </c>
      <c r="C5" s="208"/>
      <c r="D5" s="85"/>
      <c r="E5" s="65"/>
      <c r="F5" s="90"/>
      <c r="G5" s="83" t="s">
        <v>877</v>
      </c>
      <c r="H5" s="83"/>
      <c r="I5" s="83"/>
      <c r="J5" s="83"/>
      <c r="K5" s="83"/>
      <c r="L5" s="83"/>
      <c r="M5" s="83"/>
      <c r="N5" s="83"/>
      <c r="O5" s="83"/>
      <c r="P5" s="83"/>
      <c r="Q5" s="83"/>
      <c r="R5" s="83" t="s">
        <v>868</v>
      </c>
    </row>
    <row r="6" spans="1:18" ht="15" x14ac:dyDescent="0.2">
      <c r="A6" s="65" t="s">
        <v>831</v>
      </c>
      <c r="B6" s="207">
        <f>'Enter field data'!B6</f>
        <v>42193</v>
      </c>
      <c r="C6" s="208"/>
      <c r="D6" s="85"/>
      <c r="E6" s="65"/>
      <c r="F6" s="91"/>
      <c r="G6" s="83" t="s">
        <v>878</v>
      </c>
      <c r="H6" s="83"/>
      <c r="I6" s="83"/>
      <c r="J6" s="83"/>
      <c r="K6" s="83"/>
      <c r="L6" s="83"/>
      <c r="M6" s="83"/>
      <c r="N6" s="83"/>
      <c r="O6" s="83"/>
      <c r="P6" s="83"/>
      <c r="Q6" s="83"/>
      <c r="R6" s="83" t="s">
        <v>378</v>
      </c>
    </row>
    <row r="7" spans="1:18" x14ac:dyDescent="0.2">
      <c r="A7" s="65" t="s">
        <v>871</v>
      </c>
      <c r="B7" s="205">
        <f>'Enter field data'!B7</f>
        <v>10014791</v>
      </c>
      <c r="C7" s="209"/>
      <c r="D7" s="85"/>
      <c r="E7" s="65"/>
      <c r="F7" s="65"/>
    </row>
    <row r="8" spans="1:18" x14ac:dyDescent="0.2">
      <c r="A8" s="65" t="s">
        <v>874</v>
      </c>
      <c r="B8" s="205" t="str">
        <f>'Enter field data'!B8</f>
        <v>Geskey Cr US County E</v>
      </c>
      <c r="C8" s="209"/>
      <c r="D8" s="85"/>
      <c r="E8" s="65"/>
      <c r="F8" s="65"/>
    </row>
    <row r="9" spans="1:18" x14ac:dyDescent="0.2">
      <c r="A9" s="65" t="s">
        <v>49</v>
      </c>
      <c r="B9" s="205" t="str">
        <f>'Enter field data'!B9</f>
        <v>Fish survey</v>
      </c>
      <c r="C9" s="209"/>
      <c r="D9" s="85"/>
      <c r="E9" s="65"/>
      <c r="F9" s="65"/>
    </row>
    <row r="10" spans="1:18" x14ac:dyDescent="0.2">
      <c r="A10" s="65"/>
      <c r="B10" s="66"/>
      <c r="C10" s="85"/>
      <c r="D10" s="85"/>
      <c r="E10" s="65"/>
      <c r="F10" s="65"/>
    </row>
    <row r="11" spans="1:18" x14ac:dyDescent="0.2">
      <c r="A11" s="65" t="s">
        <v>34</v>
      </c>
      <c r="B11" s="205" t="str">
        <f>'Enter field data'!B11</f>
        <v>Geskey Creek</v>
      </c>
      <c r="C11" s="209"/>
      <c r="D11" s="85"/>
      <c r="E11" s="65"/>
      <c r="F11" s="92"/>
    </row>
    <row r="12" spans="1:18" x14ac:dyDescent="0.2">
      <c r="A12" s="65" t="s">
        <v>37</v>
      </c>
      <c r="B12" s="205" t="str">
        <f>'Enter field data'!B12</f>
        <v>Waupaca</v>
      </c>
      <c r="C12" s="209"/>
      <c r="D12" s="85"/>
      <c r="E12" s="65"/>
      <c r="F12" s="65"/>
    </row>
    <row r="13" spans="1:18" x14ac:dyDescent="0.2">
      <c r="A13" s="65" t="s">
        <v>35</v>
      </c>
      <c r="B13" s="205">
        <f>'Enter field data'!B13</f>
        <v>200117581</v>
      </c>
      <c r="C13" s="209"/>
      <c r="D13" s="85"/>
      <c r="E13" s="65"/>
      <c r="F13" s="92"/>
    </row>
    <row r="14" spans="1:18" x14ac:dyDescent="0.2">
      <c r="A14" s="65" t="s">
        <v>36</v>
      </c>
      <c r="B14" s="205">
        <f>'Enter field data'!B14</f>
        <v>297200</v>
      </c>
      <c r="C14" s="209"/>
      <c r="D14" s="85"/>
      <c r="E14" s="65"/>
      <c r="F14" s="92"/>
    </row>
    <row r="15" spans="1:18" ht="15" x14ac:dyDescent="0.2">
      <c r="A15" s="65" t="s">
        <v>865</v>
      </c>
      <c r="B15" s="210" t="str">
        <f>'Enter field data'!B15</f>
        <v>0403020211</v>
      </c>
      <c r="C15" s="211"/>
      <c r="D15" s="84"/>
      <c r="E15" s="65"/>
      <c r="F15" s="92"/>
      <c r="H15" s="100"/>
    </row>
    <row r="16" spans="1:18" x14ac:dyDescent="0.2">
      <c r="A16" s="65"/>
      <c r="B16" s="65"/>
      <c r="C16" s="65"/>
      <c r="D16" s="65"/>
      <c r="E16" s="65"/>
      <c r="F16" s="65"/>
      <c r="K16" s="144"/>
      <c r="L16" s="144"/>
      <c r="M16" s="144"/>
      <c r="N16" s="144"/>
    </row>
    <row r="17" spans="1:36" x14ac:dyDescent="0.2">
      <c r="A17" s="69" t="s">
        <v>850</v>
      </c>
      <c r="B17" s="65"/>
      <c r="C17" s="68"/>
      <c r="D17" s="68"/>
      <c r="E17" s="68"/>
      <c r="F17" s="68"/>
      <c r="I17" s="141"/>
      <c r="J17" s="68"/>
      <c r="K17" s="68"/>
      <c r="L17" s="68"/>
      <c r="M17" s="68"/>
      <c r="N17" s="68"/>
    </row>
    <row r="18" spans="1:36" ht="15" x14ac:dyDescent="0.2">
      <c r="A18" s="197" t="s">
        <v>920</v>
      </c>
      <c r="B18" s="197"/>
      <c r="C18" s="198"/>
      <c r="D18" s="196" t="str">
        <f>'Enter field data'!$B$17</f>
        <v>Cool-Warm Headwater</v>
      </c>
      <c r="E18" s="164"/>
      <c r="F18" s="68"/>
      <c r="I18" s="141"/>
      <c r="J18" s="68"/>
      <c r="K18" s="68"/>
      <c r="L18" s="68"/>
      <c r="M18" s="68"/>
      <c r="N18" s="68"/>
    </row>
    <row r="19" spans="1:36" ht="12.75" customHeight="1" x14ac:dyDescent="0.2">
      <c r="A19" s="197" t="s">
        <v>851</v>
      </c>
      <c r="B19" s="197"/>
      <c r="C19" s="198"/>
      <c r="D19" s="199" t="s">
        <v>925</v>
      </c>
      <c r="E19" s="200"/>
      <c r="F19" s="93"/>
      <c r="I19" s="192"/>
      <c r="J19" s="192"/>
      <c r="K19" s="192"/>
      <c r="L19" s="143"/>
      <c r="M19" s="143"/>
      <c r="N19" s="142"/>
    </row>
    <row r="20" spans="1:36" x14ac:dyDescent="0.2">
      <c r="A20" s="65" t="s">
        <v>852</v>
      </c>
      <c r="B20" s="65"/>
      <c r="C20" s="67"/>
      <c r="D20" s="193"/>
      <c r="E20" s="194"/>
      <c r="F20" s="93"/>
      <c r="I20" s="68"/>
      <c r="J20" s="68"/>
      <c r="K20" s="68"/>
      <c r="L20" s="142"/>
    </row>
    <row r="21" spans="1:36" x14ac:dyDescent="0.2">
      <c r="A21" s="65"/>
      <c r="B21" s="65"/>
      <c r="C21" s="68"/>
      <c r="D21" s="68"/>
      <c r="E21" s="68"/>
      <c r="F21" s="93"/>
      <c r="I21" s="68"/>
      <c r="J21" s="68"/>
      <c r="K21" s="68"/>
      <c r="L21" s="68"/>
      <c r="M21" s="68"/>
      <c r="N21" s="142"/>
    </row>
    <row r="22" spans="1:36" x14ac:dyDescent="0.2">
      <c r="A22" s="70" t="s">
        <v>856</v>
      </c>
      <c r="B22" s="94"/>
      <c r="C22" s="94"/>
      <c r="D22" s="94"/>
      <c r="E22" s="95"/>
      <c r="F22" s="93"/>
      <c r="I22" s="141"/>
      <c r="J22" s="68"/>
      <c r="K22" s="68"/>
      <c r="L22" s="68"/>
      <c r="M22" s="68"/>
      <c r="N22" s="142"/>
    </row>
    <row r="23" spans="1:36" x14ac:dyDescent="0.2">
      <c r="A23" s="96" t="s">
        <v>863</v>
      </c>
      <c r="B23" s="97"/>
      <c r="C23" s="97"/>
      <c r="D23" s="195"/>
      <c r="E23" s="195"/>
      <c r="F23" s="93"/>
      <c r="I23" s="68"/>
      <c r="J23" s="68"/>
      <c r="K23" s="68"/>
      <c r="L23" s="68"/>
      <c r="M23" s="68"/>
      <c r="N23" s="142"/>
    </row>
    <row r="24" spans="1:36" x14ac:dyDescent="0.2">
      <c r="A24" s="96" t="s">
        <v>855</v>
      </c>
      <c r="B24" s="97"/>
      <c r="C24" s="97"/>
      <c r="D24" s="195"/>
      <c r="E24" s="195"/>
      <c r="F24" s="93"/>
      <c r="I24" s="87"/>
      <c r="J24" s="65"/>
      <c r="K24" s="85"/>
      <c r="L24" s="145"/>
      <c r="M24" s="145"/>
    </row>
    <row r="25" spans="1:36" x14ac:dyDescent="0.2">
      <c r="A25" s="98" t="s">
        <v>864</v>
      </c>
      <c r="B25" s="99"/>
      <c r="C25" s="99"/>
      <c r="D25" s="195"/>
      <c r="E25" s="195"/>
      <c r="F25" s="93"/>
      <c r="I25" s="68"/>
      <c r="J25" s="68"/>
      <c r="K25" s="68"/>
      <c r="L25" s="68"/>
      <c r="M25" s="68"/>
      <c r="N25" s="142"/>
    </row>
    <row r="26" spans="1:36" ht="13.5" thickBot="1" x14ac:dyDescent="0.25"/>
    <row r="27" spans="1:36" ht="13.5" thickTop="1" x14ac:dyDescent="0.2">
      <c r="A27" s="146"/>
      <c r="B27" s="146"/>
      <c r="C27" s="146"/>
      <c r="D27" s="146"/>
      <c r="E27" s="146"/>
      <c r="F27" s="146"/>
      <c r="G27" s="146"/>
      <c r="H27" s="147" t="s">
        <v>921</v>
      </c>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row>
    <row r="28" spans="1:36" x14ac:dyDescent="0.2">
      <c r="H28" s="148"/>
    </row>
    <row r="29" spans="1:36" ht="15" x14ac:dyDescent="0.2">
      <c r="A29" s="87" t="s">
        <v>916</v>
      </c>
      <c r="B29" s="65"/>
      <c r="C29" s="85"/>
      <c r="D29" s="196" t="str">
        <f>'Enter field data'!$B$17</f>
        <v>Cool-Warm Headwater</v>
      </c>
      <c r="E29" s="164"/>
      <c r="H29" s="148"/>
      <c r="I29" s="100" t="s">
        <v>917</v>
      </c>
      <c r="L29" s="182" t="s">
        <v>24</v>
      </c>
      <c r="M29" s="183"/>
      <c r="N29" s="11"/>
      <c r="R29" s="100" t="s">
        <v>918</v>
      </c>
      <c r="U29" s="182" t="s">
        <v>21</v>
      </c>
      <c r="V29" s="183"/>
      <c r="W29" s="11"/>
      <c r="AC29" s="100" t="s">
        <v>919</v>
      </c>
      <c r="AF29" s="182" t="s">
        <v>21</v>
      </c>
      <c r="AG29" s="183"/>
      <c r="AH29" s="11"/>
    </row>
    <row r="30" spans="1:36" x14ac:dyDescent="0.2">
      <c r="H30" s="148"/>
    </row>
    <row r="31" spans="1:36" x14ac:dyDescent="0.2">
      <c r="A31" s="100" t="s">
        <v>390</v>
      </c>
      <c r="H31" s="148"/>
      <c r="I31" s="100" t="s">
        <v>390</v>
      </c>
      <c r="R31" s="100" t="s">
        <v>390</v>
      </c>
      <c r="AC31" s="100" t="s">
        <v>390</v>
      </c>
    </row>
    <row r="32" spans="1:36" x14ac:dyDescent="0.2">
      <c r="A32" s="101" t="s">
        <v>391</v>
      </c>
      <c r="H32" s="148"/>
      <c r="I32" s="101" t="s">
        <v>391</v>
      </c>
      <c r="R32" s="101" t="s">
        <v>391</v>
      </c>
      <c r="AC32" s="101" t="s">
        <v>391</v>
      </c>
    </row>
    <row r="33" spans="1:34" x14ac:dyDescent="0.2">
      <c r="H33" s="148"/>
    </row>
    <row r="34" spans="1:34" x14ac:dyDescent="0.2">
      <c r="A34" s="102" t="s">
        <v>60</v>
      </c>
      <c r="B34" s="65"/>
      <c r="C34" s="65"/>
      <c r="D34" s="65"/>
      <c r="E34" s="65"/>
      <c r="F34" s="65"/>
      <c r="H34" s="148"/>
      <c r="I34" s="102" t="s">
        <v>60</v>
      </c>
      <c r="J34" s="65"/>
      <c r="K34" s="65"/>
      <c r="L34" s="65"/>
      <c r="M34" s="65"/>
      <c r="N34" s="65"/>
      <c r="R34" s="102" t="s">
        <v>60</v>
      </c>
      <c r="S34" s="65"/>
      <c r="T34" s="65"/>
      <c r="U34" s="65"/>
      <c r="V34" s="65"/>
      <c r="W34" s="65"/>
      <c r="AC34" s="102" t="s">
        <v>60</v>
      </c>
      <c r="AD34" s="65"/>
      <c r="AE34" s="65"/>
      <c r="AF34" s="65"/>
      <c r="AG34" s="65"/>
      <c r="AH34" s="65"/>
    </row>
    <row r="35" spans="1:34" x14ac:dyDescent="0.2">
      <c r="A35" s="80" t="s">
        <v>5</v>
      </c>
      <c r="B35" s="103"/>
      <c r="C35" s="104" t="s">
        <v>0</v>
      </c>
      <c r="D35" s="105"/>
      <c r="E35" s="106" t="s">
        <v>1</v>
      </c>
      <c r="F35" s="107"/>
      <c r="H35" s="148"/>
      <c r="I35" s="140" t="s">
        <v>5</v>
      </c>
      <c r="J35" s="135"/>
      <c r="K35" s="104" t="s">
        <v>0</v>
      </c>
      <c r="L35" s="105"/>
      <c r="M35" s="136" t="s">
        <v>1</v>
      </c>
      <c r="N35" s="107"/>
      <c r="R35" s="140" t="s">
        <v>5</v>
      </c>
      <c r="S35" s="135"/>
      <c r="T35" s="104" t="s">
        <v>0</v>
      </c>
      <c r="U35" s="105"/>
      <c r="V35" s="136" t="s">
        <v>1</v>
      </c>
      <c r="W35" s="107"/>
      <c r="AC35" s="140" t="s">
        <v>5</v>
      </c>
      <c r="AD35" s="135"/>
      <c r="AE35" s="104" t="s">
        <v>0</v>
      </c>
      <c r="AF35" s="105"/>
      <c r="AG35" s="136" t="s">
        <v>1</v>
      </c>
      <c r="AH35" s="107"/>
    </row>
    <row r="36" spans="1:34" x14ac:dyDescent="0.2">
      <c r="A36" s="108" t="s">
        <v>6</v>
      </c>
      <c r="B36" s="81">
        <f>'Enter field data'!$H$54</f>
        <v>1</v>
      </c>
      <c r="C36" s="109" t="s">
        <v>9</v>
      </c>
      <c r="D36" s="110">
        <f>'Enter field data'!$K$54</f>
        <v>56</v>
      </c>
      <c r="E36" s="111" t="s">
        <v>12</v>
      </c>
      <c r="F36" s="112">
        <f>'Enter field data'!$O$54</f>
        <v>1</v>
      </c>
      <c r="H36" s="148"/>
      <c r="I36" s="108" t="s">
        <v>6</v>
      </c>
      <c r="J36" s="81">
        <f>'Enter field data'!$H$54</f>
        <v>1</v>
      </c>
      <c r="K36" s="109" t="s">
        <v>9</v>
      </c>
      <c r="L36" s="110">
        <f>'Enter field data'!$K$54</f>
        <v>56</v>
      </c>
      <c r="M36" s="111" t="s">
        <v>12</v>
      </c>
      <c r="N36" s="112">
        <f>'Enter field data'!$O$54</f>
        <v>1</v>
      </c>
      <c r="R36" s="108" t="s">
        <v>6</v>
      </c>
      <c r="S36" s="81">
        <f>'Enter field data'!$H$54</f>
        <v>1</v>
      </c>
      <c r="T36" s="109" t="s">
        <v>9</v>
      </c>
      <c r="U36" s="110">
        <f>'Enter field data'!$K$54</f>
        <v>56</v>
      </c>
      <c r="V36" s="111" t="s">
        <v>12</v>
      </c>
      <c r="W36" s="112">
        <f>'Enter field data'!$O$54</f>
        <v>1</v>
      </c>
      <c r="AC36" s="108" t="s">
        <v>6</v>
      </c>
      <c r="AD36" s="81">
        <f>'Enter field data'!$H$54</f>
        <v>1</v>
      </c>
      <c r="AE36" s="109" t="s">
        <v>9</v>
      </c>
      <c r="AF36" s="110">
        <f>'Enter field data'!$K$54</f>
        <v>56</v>
      </c>
      <c r="AG36" s="111" t="s">
        <v>12</v>
      </c>
      <c r="AH36" s="112">
        <f>'Enter field data'!$O$54</f>
        <v>1</v>
      </c>
    </row>
    <row r="37" spans="1:34" x14ac:dyDescent="0.2">
      <c r="A37" s="108" t="s">
        <v>7</v>
      </c>
      <c r="B37" s="81">
        <f>'Enter field data'!$I$54</f>
        <v>58</v>
      </c>
      <c r="C37" s="109" t="s">
        <v>10</v>
      </c>
      <c r="D37" s="110">
        <f>'Enter field data'!$L$54</f>
        <v>4</v>
      </c>
      <c r="E37" s="111" t="s">
        <v>13</v>
      </c>
      <c r="F37" s="112">
        <f>'Enter field data'!$P$54</f>
        <v>15</v>
      </c>
      <c r="H37" s="148"/>
      <c r="I37" s="108" t="s">
        <v>7</v>
      </c>
      <c r="J37" s="81">
        <f>'Enter field data'!$I$54</f>
        <v>58</v>
      </c>
      <c r="K37" s="109" t="s">
        <v>10</v>
      </c>
      <c r="L37" s="110">
        <f>'Enter field data'!$L$54</f>
        <v>4</v>
      </c>
      <c r="M37" s="111" t="s">
        <v>13</v>
      </c>
      <c r="N37" s="112">
        <f>'Enter field data'!$P$54</f>
        <v>15</v>
      </c>
      <c r="R37" s="108" t="s">
        <v>7</v>
      </c>
      <c r="S37" s="81">
        <f>'Enter field data'!$I$54</f>
        <v>58</v>
      </c>
      <c r="T37" s="109" t="s">
        <v>10</v>
      </c>
      <c r="U37" s="110">
        <f>'Enter field data'!$L$54</f>
        <v>4</v>
      </c>
      <c r="V37" s="111" t="s">
        <v>13</v>
      </c>
      <c r="W37" s="112">
        <f>'Enter field data'!$P$54</f>
        <v>15</v>
      </c>
      <c r="AC37" s="108" t="s">
        <v>7</v>
      </c>
      <c r="AD37" s="81">
        <f>'Enter field data'!$I$54</f>
        <v>58</v>
      </c>
      <c r="AE37" s="109" t="s">
        <v>10</v>
      </c>
      <c r="AF37" s="110">
        <f>'Enter field data'!$L$54</f>
        <v>4</v>
      </c>
      <c r="AG37" s="111" t="s">
        <v>13</v>
      </c>
      <c r="AH37" s="112">
        <f>'Enter field data'!$P$54</f>
        <v>15</v>
      </c>
    </row>
    <row r="38" spans="1:34" x14ac:dyDescent="0.2">
      <c r="A38" s="108" t="s">
        <v>8</v>
      </c>
      <c r="B38" s="81">
        <f>'Enter field data'!$J$54</f>
        <v>1</v>
      </c>
      <c r="C38" s="109" t="s">
        <v>11</v>
      </c>
      <c r="D38" s="110">
        <f>'Enter field data'!$N$54</f>
        <v>0</v>
      </c>
      <c r="E38" s="111" t="s">
        <v>14</v>
      </c>
      <c r="F38" s="112">
        <f>'Enter field data'!$Q$54</f>
        <v>44</v>
      </c>
      <c r="H38" s="148"/>
      <c r="I38" s="108" t="s">
        <v>8</v>
      </c>
      <c r="J38" s="81">
        <f>'Enter field data'!$J$54</f>
        <v>1</v>
      </c>
      <c r="K38" s="109" t="s">
        <v>11</v>
      </c>
      <c r="L38" s="110">
        <f>'Enter field data'!$N$54</f>
        <v>0</v>
      </c>
      <c r="M38" s="111" t="s">
        <v>14</v>
      </c>
      <c r="N38" s="112">
        <f>'Enter field data'!$Q$54</f>
        <v>44</v>
      </c>
      <c r="R38" s="108" t="s">
        <v>8</v>
      </c>
      <c r="S38" s="81">
        <f>'Enter field data'!$J$54</f>
        <v>1</v>
      </c>
      <c r="T38" s="109" t="s">
        <v>11</v>
      </c>
      <c r="U38" s="110">
        <f>'Enter field data'!$N$54</f>
        <v>0</v>
      </c>
      <c r="V38" s="111" t="s">
        <v>14</v>
      </c>
      <c r="W38" s="112">
        <f>'Enter field data'!$Q$54</f>
        <v>44</v>
      </c>
      <c r="AC38" s="108" t="s">
        <v>8</v>
      </c>
      <c r="AD38" s="81">
        <f>'Enter field data'!$J$54</f>
        <v>1</v>
      </c>
      <c r="AE38" s="109" t="s">
        <v>11</v>
      </c>
      <c r="AF38" s="110">
        <f>'Enter field data'!$N$54</f>
        <v>0</v>
      </c>
      <c r="AG38" s="111" t="s">
        <v>14</v>
      </c>
      <c r="AH38" s="112">
        <f>'Enter field data'!$Q$54</f>
        <v>44</v>
      </c>
    </row>
    <row r="39" spans="1:34" x14ac:dyDescent="0.2">
      <c r="A39" s="65"/>
      <c r="B39" s="65"/>
      <c r="C39" s="65"/>
      <c r="D39" s="65"/>
      <c r="E39" s="65"/>
      <c r="F39" s="65"/>
      <c r="H39" s="148"/>
      <c r="I39" s="65"/>
      <c r="J39" s="65"/>
      <c r="K39" s="65"/>
      <c r="L39" s="65"/>
      <c r="M39" s="65"/>
      <c r="N39" s="65"/>
      <c r="R39" s="65"/>
      <c r="S39" s="65"/>
      <c r="T39" s="65"/>
      <c r="U39" s="65"/>
      <c r="V39" s="65"/>
      <c r="W39" s="65"/>
      <c r="AC39" s="65"/>
      <c r="AD39" s="65"/>
      <c r="AE39" s="65"/>
      <c r="AF39" s="65"/>
      <c r="AG39" s="65"/>
      <c r="AH39" s="65"/>
    </row>
    <row r="40" spans="1:34" x14ac:dyDescent="0.2">
      <c r="A40" s="87" t="s">
        <v>67</v>
      </c>
      <c r="B40" s="65"/>
      <c r="C40" s="65"/>
      <c r="D40" s="65"/>
      <c r="E40" s="65"/>
      <c r="F40" s="65"/>
      <c r="H40" s="148"/>
      <c r="I40" s="87" t="s">
        <v>67</v>
      </c>
      <c r="J40" s="65"/>
      <c r="K40" s="65"/>
      <c r="L40" s="65"/>
      <c r="M40" s="65"/>
      <c r="N40" s="65"/>
      <c r="R40" s="87" t="s">
        <v>67</v>
      </c>
      <c r="S40" s="65"/>
      <c r="T40" s="65"/>
      <c r="U40" s="65"/>
      <c r="V40" s="65"/>
      <c r="W40" s="65"/>
      <c r="AC40" s="87" t="s">
        <v>67</v>
      </c>
      <c r="AD40" s="65"/>
      <c r="AE40" s="65"/>
      <c r="AF40" s="65"/>
      <c r="AG40" s="65"/>
      <c r="AH40" s="65"/>
    </row>
    <row r="41" spans="1:34" x14ac:dyDescent="0.2">
      <c r="A41" s="184" t="s">
        <v>5</v>
      </c>
      <c r="B41" s="185"/>
      <c r="C41" s="185"/>
      <c r="D41" s="185"/>
      <c r="E41" s="186"/>
      <c r="F41" s="65"/>
      <c r="H41" s="148"/>
      <c r="I41" s="184" t="s">
        <v>5</v>
      </c>
      <c r="J41" s="185"/>
      <c r="K41" s="185"/>
      <c r="L41" s="185"/>
      <c r="M41" s="186"/>
      <c r="N41" s="65"/>
      <c r="R41" s="184" t="s">
        <v>5</v>
      </c>
      <c r="S41" s="185"/>
      <c r="T41" s="185"/>
      <c r="U41" s="185"/>
      <c r="V41" s="186"/>
      <c r="W41" s="65"/>
      <c r="AC41" s="184" t="s">
        <v>5</v>
      </c>
      <c r="AD41" s="185"/>
      <c r="AE41" s="185"/>
      <c r="AF41" s="185"/>
      <c r="AG41" s="186"/>
      <c r="AH41" s="65"/>
    </row>
    <row r="42" spans="1:34" ht="12.75" customHeight="1" x14ac:dyDescent="0.2">
      <c r="A42" s="113" t="s">
        <v>55</v>
      </c>
      <c r="B42" s="187" t="s">
        <v>65</v>
      </c>
      <c r="C42" s="189" t="s">
        <v>66</v>
      </c>
      <c r="D42" s="190"/>
      <c r="E42" s="177" t="s">
        <v>56</v>
      </c>
      <c r="F42" s="65"/>
      <c r="H42" s="148"/>
      <c r="I42" s="137" t="s">
        <v>55</v>
      </c>
      <c r="J42" s="187" t="s">
        <v>65</v>
      </c>
      <c r="K42" s="189" t="s">
        <v>66</v>
      </c>
      <c r="L42" s="190"/>
      <c r="M42" s="177" t="s">
        <v>56</v>
      </c>
      <c r="N42" s="65"/>
      <c r="R42" s="137" t="s">
        <v>55</v>
      </c>
      <c r="S42" s="187" t="s">
        <v>65</v>
      </c>
      <c r="T42" s="189" t="s">
        <v>66</v>
      </c>
      <c r="U42" s="190"/>
      <c r="V42" s="177" t="s">
        <v>56</v>
      </c>
      <c r="W42" s="65"/>
      <c r="AC42" s="137" t="s">
        <v>55</v>
      </c>
      <c r="AD42" s="187" t="s">
        <v>65</v>
      </c>
      <c r="AE42" s="189" t="s">
        <v>66</v>
      </c>
      <c r="AF42" s="190"/>
      <c r="AG42" s="177" t="s">
        <v>56</v>
      </c>
      <c r="AH42" s="65"/>
    </row>
    <row r="43" spans="1:34" x14ac:dyDescent="0.2">
      <c r="A43" s="114"/>
      <c r="B43" s="188"/>
      <c r="C43" s="115" t="s">
        <v>62</v>
      </c>
      <c r="D43" s="116" t="s">
        <v>63</v>
      </c>
      <c r="E43" s="178"/>
      <c r="F43" s="65"/>
      <c r="H43" s="148"/>
      <c r="I43" s="138"/>
      <c r="J43" s="188"/>
      <c r="K43" s="115" t="s">
        <v>62</v>
      </c>
      <c r="L43" s="139" t="s">
        <v>63</v>
      </c>
      <c r="M43" s="178"/>
      <c r="N43" s="65"/>
      <c r="R43" s="138"/>
      <c r="S43" s="188"/>
      <c r="T43" s="115" t="s">
        <v>62</v>
      </c>
      <c r="U43" s="139" t="s">
        <v>63</v>
      </c>
      <c r="V43" s="178"/>
      <c r="W43" s="65"/>
      <c r="AC43" s="138"/>
      <c r="AD43" s="188"/>
      <c r="AE43" s="115" t="s">
        <v>62</v>
      </c>
      <c r="AF43" s="139" t="s">
        <v>63</v>
      </c>
      <c r="AG43" s="178"/>
      <c r="AH43" s="65"/>
    </row>
    <row r="44" spans="1:34" x14ac:dyDescent="0.2">
      <c r="A44" s="108" t="s">
        <v>6</v>
      </c>
      <c r="B44" s="117">
        <f>($B$36/'Enter field data'!$F$54)</f>
        <v>1.6666666666666666E-2</v>
      </c>
      <c r="C44" s="118">
        <f>VLOOKUP($D$29,'Expected guild %'!$A$5:$G$13,2,FALSE)</f>
        <v>0</v>
      </c>
      <c r="D44" s="118">
        <f>VLOOKUP($D$29,'Expected guild %'!$A$5:$G$13,3,FALSE)</f>
        <v>0.05</v>
      </c>
      <c r="E44" s="119" t="str">
        <f>IF(AND(C44&lt;=B44,B44&lt;= D44)=TRUE,"Y","N")</f>
        <v>Y</v>
      </c>
      <c r="F44" s="65"/>
      <c r="H44" s="148"/>
      <c r="I44" s="108" t="s">
        <v>6</v>
      </c>
      <c r="J44" s="117">
        <f>($B$36/'Enter field data'!$F$54)</f>
        <v>1.6666666666666666E-2</v>
      </c>
      <c r="K44" s="118">
        <f>VLOOKUP(L$29,'Expected guild %'!$A$5:$G$13,2,FALSE)</f>
        <v>0</v>
      </c>
      <c r="L44" s="118">
        <f>VLOOKUP(L$29,'Expected guild %'!$A$5:$G$13,3,FALSE)</f>
        <v>0.05</v>
      </c>
      <c r="M44" s="119" t="str">
        <f>IF(AND(K44&lt;=J44,J44&lt;= L44)=TRUE,"Y","N")</f>
        <v>Y</v>
      </c>
      <c r="N44" s="65"/>
      <c r="R44" s="108" t="s">
        <v>6</v>
      </c>
      <c r="S44" s="117">
        <f>($B$36/'Enter field data'!$F$54)</f>
        <v>1.6666666666666666E-2</v>
      </c>
      <c r="T44" s="118">
        <f>VLOOKUP(U$29,'Expected guild %'!$A$5:$G$13,2,FALSE)</f>
        <v>0.05</v>
      </c>
      <c r="U44" s="118">
        <f>VLOOKUP(U$29,'Expected guild %'!$A$5:$G$13,3,FALSE)</f>
        <v>0.75</v>
      </c>
      <c r="V44" s="119" t="str">
        <f>IF(AND(T44&lt;=S44,S44&lt;= U44)=TRUE,"Y","N")</f>
        <v>N</v>
      </c>
      <c r="W44" s="65"/>
      <c r="AC44" s="108" t="s">
        <v>6</v>
      </c>
      <c r="AD44" s="117">
        <f>($B$36/'Enter field data'!$F$54)</f>
        <v>1.6666666666666666E-2</v>
      </c>
      <c r="AE44" s="118">
        <f>VLOOKUP(AF$29,'Expected guild %'!$A$5:$G$13,2,FALSE)</f>
        <v>0.05</v>
      </c>
      <c r="AF44" s="118">
        <f>VLOOKUP(AF$29,'Expected guild %'!$A$5:$G$13,3,FALSE)</f>
        <v>0.75</v>
      </c>
      <c r="AG44" s="119" t="str">
        <f>IF(AND(AE44&lt;=AD44,AD44&lt;= AF44)=TRUE,"Y","N")</f>
        <v>N</v>
      </c>
      <c r="AH44" s="65"/>
    </row>
    <row r="45" spans="1:34" ht="13.9" x14ac:dyDescent="0.3">
      <c r="A45" s="108" t="s">
        <v>7</v>
      </c>
      <c r="B45" s="117">
        <f>($B$37/'Enter field data'!$F$54)</f>
        <v>0.96666666666666667</v>
      </c>
      <c r="C45" s="118">
        <f>VLOOKUP($D$29,'Expected guild %'!$A$5:$G$13,4,FALSE)</f>
        <v>0.25</v>
      </c>
      <c r="D45" s="118">
        <f>VLOOKUP($D$29,'Expected guild %'!$A$5:$G$13,5,FALSE)</f>
        <v>1</v>
      </c>
      <c r="E45" s="119" t="str">
        <f>IF(AND(C45&lt;=B45,B45&lt;= D45)=TRUE,"Y","N")</f>
        <v>Y</v>
      </c>
      <c r="F45" s="65"/>
      <c r="H45" s="148"/>
      <c r="I45" s="108" t="s">
        <v>7</v>
      </c>
      <c r="J45" s="117">
        <f>($B$37/'Enter field data'!$F$54)</f>
        <v>0.96666666666666667</v>
      </c>
      <c r="K45" s="118">
        <f>VLOOKUP(L$29,'Expected guild %'!$A$5:$G$13,4,FALSE)</f>
        <v>0.25</v>
      </c>
      <c r="L45" s="118">
        <f>VLOOKUP(L$29,'Expected guild %'!$A$5:$G$13,5,FALSE)</f>
        <v>1</v>
      </c>
      <c r="M45" s="119" t="str">
        <f>IF(AND(K45&lt;=J45,J45&lt;= L45)=TRUE,"Y","N")</f>
        <v>Y</v>
      </c>
      <c r="N45" s="65"/>
      <c r="R45" s="108" t="s">
        <v>7</v>
      </c>
      <c r="S45" s="117">
        <f>($B$37/'Enter field data'!$F$54)</f>
        <v>0.96666666666666667</v>
      </c>
      <c r="T45" s="118">
        <f>VLOOKUP(U$29,'Expected guild %'!$A$5:$G$13,4,FALSE)</f>
        <v>0.25</v>
      </c>
      <c r="U45" s="118">
        <f>VLOOKUP(U$29,'Expected guild %'!$A$5:$G$13,5,FALSE)</f>
        <v>1</v>
      </c>
      <c r="V45" s="119" t="str">
        <f>IF(AND(T45&lt;=S45,S45&lt;= U45)=TRUE,"Y","N")</f>
        <v>Y</v>
      </c>
      <c r="W45" s="65"/>
      <c r="AC45" s="108" t="s">
        <v>7</v>
      </c>
      <c r="AD45" s="117">
        <f>($B$37/'Enter field data'!$F$54)</f>
        <v>0.96666666666666667</v>
      </c>
      <c r="AE45" s="118">
        <f>VLOOKUP(AF$29,'Expected guild %'!$A$5:$G$13,4,FALSE)</f>
        <v>0.25</v>
      </c>
      <c r="AF45" s="118">
        <f>VLOOKUP(AF$29,'Expected guild %'!$A$5:$G$13,5,FALSE)</f>
        <v>1</v>
      </c>
      <c r="AG45" s="119" t="str">
        <f>IF(AND(AE45&lt;=AD45,AD45&lt;= AF45)=TRUE,"Y","N")</f>
        <v>Y</v>
      </c>
      <c r="AH45" s="65"/>
    </row>
    <row r="46" spans="1:34" ht="13.9" x14ac:dyDescent="0.3">
      <c r="A46" s="108" t="s">
        <v>8</v>
      </c>
      <c r="B46" s="117">
        <f>($B$38/'Enter field data'!$F$54)</f>
        <v>1.6666666666666666E-2</v>
      </c>
      <c r="C46" s="118">
        <f>VLOOKUP($D$29,'Expected guild %'!$A$5:$G$13,6,FALSE)</f>
        <v>0</v>
      </c>
      <c r="D46" s="118">
        <f>VLOOKUP($D$29,'Expected guild %'!$A$5:$G$13,7,FALSE)</f>
        <v>0.75</v>
      </c>
      <c r="E46" s="119" t="str">
        <f>IF(AND(C46&lt;=B46,B46&lt;= D46)=TRUE,"Y","N")</f>
        <v>Y</v>
      </c>
      <c r="F46" s="65"/>
      <c r="H46" s="148"/>
      <c r="I46" s="108" t="s">
        <v>8</v>
      </c>
      <c r="J46" s="117">
        <f>($B$38/'Enter field data'!$F$54)</f>
        <v>1.6666666666666666E-2</v>
      </c>
      <c r="K46" s="118">
        <f>VLOOKUP(L$29,'Expected guild %'!$A$5:$G$13,6,FALSE)</f>
        <v>0</v>
      </c>
      <c r="L46" s="118">
        <f>VLOOKUP(L$29,'Expected guild %'!$A$5:$G$13,7,FALSE)</f>
        <v>0.75</v>
      </c>
      <c r="M46" s="119" t="str">
        <f>IF(AND(K46&lt;=J46,J46&lt;= L46)=TRUE,"Y","N")</f>
        <v>Y</v>
      </c>
      <c r="N46" s="65"/>
      <c r="R46" s="108" t="s">
        <v>8</v>
      </c>
      <c r="S46" s="117">
        <f>($B$38/'Enter field data'!$F$54)</f>
        <v>1.6666666666666666E-2</v>
      </c>
      <c r="T46" s="118">
        <f>VLOOKUP(U$29,'Expected guild %'!$A$5:$G$13,6,FALSE)</f>
        <v>0</v>
      </c>
      <c r="U46" s="118">
        <f>VLOOKUP(U$29,'Expected guild %'!$A$5:$G$13,7,FALSE)</f>
        <v>0.25</v>
      </c>
      <c r="V46" s="119" t="str">
        <f>IF(AND(T46&lt;=S46,S46&lt;= U46)=TRUE,"Y","N")</f>
        <v>Y</v>
      </c>
      <c r="W46" s="65"/>
      <c r="AC46" s="108" t="s">
        <v>8</v>
      </c>
      <c r="AD46" s="117">
        <f>($B$38/'Enter field data'!$F$54)</f>
        <v>1.6666666666666666E-2</v>
      </c>
      <c r="AE46" s="118">
        <f>VLOOKUP(AF$29,'Expected guild %'!$A$5:$G$13,6,FALSE)</f>
        <v>0</v>
      </c>
      <c r="AF46" s="118">
        <f>VLOOKUP(AF$29,'Expected guild %'!$A$5:$G$13,7,FALSE)</f>
        <v>0.25</v>
      </c>
      <c r="AG46" s="119" t="str">
        <f>IF(AND(AE46&lt;=AD46,AD46&lt;= AF46)=TRUE,"Y","N")</f>
        <v>Y</v>
      </c>
      <c r="AH46" s="65"/>
    </row>
    <row r="47" spans="1:34" ht="13.9" x14ac:dyDescent="0.3">
      <c r="A47" s="65"/>
      <c r="B47" s="65"/>
      <c r="C47" s="65"/>
      <c r="D47" s="65"/>
      <c r="E47" s="65"/>
      <c r="F47" s="65"/>
      <c r="H47" s="148"/>
      <c r="I47" s="65"/>
      <c r="J47" s="65"/>
      <c r="K47" s="65"/>
      <c r="L47" s="65"/>
      <c r="M47" s="65"/>
      <c r="N47" s="65"/>
      <c r="R47" s="65"/>
      <c r="S47" s="65"/>
      <c r="T47" s="65"/>
      <c r="U47" s="65"/>
      <c r="V47" s="65"/>
      <c r="W47" s="65"/>
      <c r="AC47" s="65"/>
      <c r="AD47" s="65"/>
      <c r="AE47" s="65"/>
      <c r="AF47" s="65"/>
      <c r="AG47" s="65"/>
      <c r="AH47" s="65"/>
    </row>
    <row r="48" spans="1:34" ht="13.9" x14ac:dyDescent="0.3">
      <c r="A48" s="184" t="s">
        <v>0</v>
      </c>
      <c r="B48" s="185"/>
      <c r="C48" s="185"/>
      <c r="D48" s="185"/>
      <c r="E48" s="186"/>
      <c r="F48" s="65"/>
      <c r="H48" s="148"/>
      <c r="I48" s="184" t="s">
        <v>0</v>
      </c>
      <c r="J48" s="185"/>
      <c r="K48" s="185"/>
      <c r="L48" s="185"/>
      <c r="M48" s="186"/>
      <c r="N48" s="65"/>
      <c r="R48" s="184" t="s">
        <v>0</v>
      </c>
      <c r="S48" s="185"/>
      <c r="T48" s="185"/>
      <c r="U48" s="185"/>
      <c r="V48" s="186"/>
      <c r="W48" s="65"/>
      <c r="AC48" s="184" t="s">
        <v>0</v>
      </c>
      <c r="AD48" s="185"/>
      <c r="AE48" s="185"/>
      <c r="AF48" s="185"/>
      <c r="AG48" s="186"/>
      <c r="AH48" s="65"/>
    </row>
    <row r="49" spans="1:35" ht="12.75" customHeight="1" x14ac:dyDescent="0.2">
      <c r="A49" s="187" t="s">
        <v>55</v>
      </c>
      <c r="B49" s="187" t="s">
        <v>65</v>
      </c>
      <c r="C49" s="189" t="s">
        <v>66</v>
      </c>
      <c r="D49" s="190"/>
      <c r="E49" s="177" t="s">
        <v>56</v>
      </c>
      <c r="F49" s="65"/>
      <c r="H49" s="148"/>
      <c r="I49" s="187" t="s">
        <v>55</v>
      </c>
      <c r="J49" s="187" t="s">
        <v>65</v>
      </c>
      <c r="K49" s="189" t="s">
        <v>66</v>
      </c>
      <c r="L49" s="190"/>
      <c r="M49" s="177" t="s">
        <v>56</v>
      </c>
      <c r="N49" s="65"/>
      <c r="R49" s="187" t="s">
        <v>55</v>
      </c>
      <c r="S49" s="187" t="s">
        <v>65</v>
      </c>
      <c r="T49" s="189" t="s">
        <v>66</v>
      </c>
      <c r="U49" s="190"/>
      <c r="V49" s="177" t="s">
        <v>56</v>
      </c>
      <c r="W49" s="65"/>
      <c r="AC49" s="187" t="s">
        <v>55</v>
      </c>
      <c r="AD49" s="187" t="s">
        <v>65</v>
      </c>
      <c r="AE49" s="189" t="s">
        <v>66</v>
      </c>
      <c r="AF49" s="190"/>
      <c r="AG49" s="177" t="s">
        <v>56</v>
      </c>
      <c r="AH49" s="65"/>
    </row>
    <row r="50" spans="1:35" x14ac:dyDescent="0.2">
      <c r="A50" s="188"/>
      <c r="B50" s="188"/>
      <c r="C50" s="115" t="s">
        <v>62</v>
      </c>
      <c r="D50" s="116" t="s">
        <v>63</v>
      </c>
      <c r="E50" s="178"/>
      <c r="F50" s="65"/>
      <c r="H50" s="148"/>
      <c r="I50" s="188"/>
      <c r="J50" s="188"/>
      <c r="K50" s="115" t="s">
        <v>62</v>
      </c>
      <c r="L50" s="139" t="s">
        <v>63</v>
      </c>
      <c r="M50" s="178"/>
      <c r="N50" s="65"/>
      <c r="R50" s="188"/>
      <c r="S50" s="188"/>
      <c r="T50" s="115" t="s">
        <v>62</v>
      </c>
      <c r="U50" s="139" t="s">
        <v>63</v>
      </c>
      <c r="V50" s="178"/>
      <c r="W50" s="65"/>
      <c r="AC50" s="188"/>
      <c r="AD50" s="188"/>
      <c r="AE50" s="115" t="s">
        <v>62</v>
      </c>
      <c r="AF50" s="139" t="s">
        <v>63</v>
      </c>
      <c r="AG50" s="178"/>
      <c r="AH50" s="65"/>
    </row>
    <row r="51" spans="1:35" x14ac:dyDescent="0.2">
      <c r="A51" s="108" t="s">
        <v>9</v>
      </c>
      <c r="B51" s="118">
        <f>($D$36/'Enter field data'!$F$54)</f>
        <v>0.93333333333333335</v>
      </c>
      <c r="C51" s="120">
        <f>VLOOKUP($D$29,'Expected guild %'!$A$19:$G$27,2,FALSE)</f>
        <v>0.5</v>
      </c>
      <c r="D51" s="118">
        <f>VLOOKUP($D$29,'Expected guild %'!$A$19:$G$27,3,FALSE)</f>
        <v>1</v>
      </c>
      <c r="E51" s="119" t="str">
        <f>IF(AND(C51&lt;=B51,B51&lt;= D51)=TRUE,"Y","N")</f>
        <v>Y</v>
      </c>
      <c r="F51" s="65"/>
      <c r="H51" s="148"/>
      <c r="I51" s="108" t="s">
        <v>9</v>
      </c>
      <c r="J51" s="118">
        <f>($D$36/'Enter field data'!$F$54)</f>
        <v>0.93333333333333335</v>
      </c>
      <c r="K51" s="120">
        <f>VLOOKUP(L$29,'Expected guild %'!$A$19:$G$27,2,FALSE)</f>
        <v>0</v>
      </c>
      <c r="L51" s="118">
        <f>VLOOKUP(L$29,'Expected guild %'!$A$19:$G$27,3,FALSE)</f>
        <v>0.5</v>
      </c>
      <c r="M51" s="119" t="str">
        <f>IF(AND(K51&lt;=J51,J51&lt;= L51)=TRUE,"Y","N")</f>
        <v>N</v>
      </c>
      <c r="N51" s="65"/>
      <c r="R51" s="108" t="s">
        <v>9</v>
      </c>
      <c r="S51" s="118">
        <f>($D$36/'Enter field data'!$F$54)</f>
        <v>0.93333333333333335</v>
      </c>
      <c r="T51" s="120">
        <f>VLOOKUP(U$29,'Expected guild %'!$A$19:$G$27,2,FALSE)</f>
        <v>0.5</v>
      </c>
      <c r="U51" s="118">
        <f>VLOOKUP(U$29,'Expected guild %'!$A$19:$G$27,3,FALSE)</f>
        <v>1</v>
      </c>
      <c r="V51" s="119" t="str">
        <f>IF(AND(T51&lt;=S51,S51&lt;= U51)=TRUE,"Y","N")</f>
        <v>Y</v>
      </c>
      <c r="W51" s="65"/>
      <c r="AC51" s="108" t="s">
        <v>9</v>
      </c>
      <c r="AD51" s="118">
        <f>($D$36/'Enter field data'!$F$54)</f>
        <v>0.93333333333333335</v>
      </c>
      <c r="AE51" s="120">
        <f>VLOOKUP(AF$29,'Expected guild %'!$A$19:$G$27,2,FALSE)</f>
        <v>0.5</v>
      </c>
      <c r="AF51" s="118">
        <f>VLOOKUP(AF$29,'Expected guild %'!$A$19:$G$27,3,FALSE)</f>
        <v>1</v>
      </c>
      <c r="AG51" s="119" t="str">
        <f>IF(AND(AE51&lt;=AD51,AD51&lt;= AF51)=TRUE,"Y","N")</f>
        <v>Y</v>
      </c>
      <c r="AH51" s="65"/>
    </row>
    <row r="52" spans="1:35" x14ac:dyDescent="0.2">
      <c r="A52" s="108" t="s">
        <v>10</v>
      </c>
      <c r="B52" s="118">
        <f>($D$37/'Enter field data'!$F$54)</f>
        <v>6.6666666666666666E-2</v>
      </c>
      <c r="C52" s="120">
        <f>VLOOKUP($D$29,'Expected guild %'!$A$19:$G$27,4,FALSE)</f>
        <v>0</v>
      </c>
      <c r="D52" s="118">
        <f>VLOOKUP($D$29,'Expected guild %'!$A$19:$G$27,5,FALSE)</f>
        <v>0.5</v>
      </c>
      <c r="E52" s="119" t="str">
        <f>IF(AND(C52&lt;=B52,B52&lt;= D52)=TRUE,"Y","N")</f>
        <v>Y</v>
      </c>
      <c r="F52" s="65"/>
      <c r="H52" s="148"/>
      <c r="I52" s="108" t="s">
        <v>10</v>
      </c>
      <c r="J52" s="118">
        <f>($D$37/'Enter field data'!$F$54)</f>
        <v>6.6666666666666666E-2</v>
      </c>
      <c r="K52" s="120">
        <f>VLOOKUP(L$29,'Expected guild %'!$A$19:$G$27,4,FALSE)</f>
        <v>0.5</v>
      </c>
      <c r="L52" s="118">
        <f>VLOOKUP(L$29,'Expected guild %'!$A$19:$G$27,5,FALSE)</f>
        <v>1</v>
      </c>
      <c r="M52" s="119" t="str">
        <f>IF(AND(K52&lt;=J52,J52&lt;= L52)=TRUE,"Y","N")</f>
        <v>N</v>
      </c>
      <c r="N52" s="65"/>
      <c r="R52" s="108" t="s">
        <v>10</v>
      </c>
      <c r="S52" s="118">
        <f>($D$37/'Enter field data'!$F$54)</f>
        <v>6.6666666666666666E-2</v>
      </c>
      <c r="T52" s="120">
        <f>VLOOKUP(U$29,'Expected guild %'!$A$19:$G$27,4,FALSE)</f>
        <v>0</v>
      </c>
      <c r="U52" s="118">
        <f>VLOOKUP(U$29,'Expected guild %'!$A$19:$G$27,5,FALSE)</f>
        <v>0.5</v>
      </c>
      <c r="V52" s="119" t="str">
        <f>IF(AND(T52&lt;=S52,S52&lt;= U52)=TRUE,"Y","N")</f>
        <v>Y</v>
      </c>
      <c r="W52" s="65"/>
      <c r="AC52" s="108" t="s">
        <v>10</v>
      </c>
      <c r="AD52" s="118">
        <f>($D$37/'Enter field data'!$F$54)</f>
        <v>6.6666666666666666E-2</v>
      </c>
      <c r="AE52" s="120">
        <f>VLOOKUP(AF$29,'Expected guild %'!$A$19:$G$27,4,FALSE)</f>
        <v>0</v>
      </c>
      <c r="AF52" s="118">
        <f>VLOOKUP(AF$29,'Expected guild %'!$A$19:$G$27,5,FALSE)</f>
        <v>0.5</v>
      </c>
      <c r="AG52" s="119" t="str">
        <f>IF(AND(AE52&lt;=AD52,AD52&lt;= AF52)=TRUE,"Y","N")</f>
        <v>Y</v>
      </c>
      <c r="AH52" s="65"/>
    </row>
    <row r="53" spans="1:35" x14ac:dyDescent="0.2">
      <c r="A53" s="108" t="s">
        <v>11</v>
      </c>
      <c r="B53" s="118">
        <f>($D$38/'Enter field data'!$F$54)</f>
        <v>0</v>
      </c>
      <c r="C53" s="120">
        <f>VLOOKUP($D$29,'Expected guild %'!$A$19:$G$27,6,FALSE)</f>
        <v>0</v>
      </c>
      <c r="D53" s="118">
        <f>VLOOKUP($D$29,'Expected guild %'!$A$19:$G$27,7,FALSE)</f>
        <v>0.1</v>
      </c>
      <c r="E53" s="119" t="str">
        <f>IF(AND(C53&lt;=B53,B53&lt;= D53)=TRUE,"Y","N")</f>
        <v>Y</v>
      </c>
      <c r="F53" s="65"/>
      <c r="H53" s="148"/>
      <c r="I53" s="108" t="s">
        <v>11</v>
      </c>
      <c r="J53" s="118">
        <f>($D$38/'Enter field data'!$F$54)</f>
        <v>0</v>
      </c>
      <c r="K53" s="120">
        <f>VLOOKUP(L$29,'Expected guild %'!$A$19:$G$27,6,FALSE)</f>
        <v>0</v>
      </c>
      <c r="L53" s="118">
        <f>VLOOKUP(L$29,'Expected guild %'!$A$19:$G$27,7,FALSE)</f>
        <v>0.5</v>
      </c>
      <c r="M53" s="119" t="str">
        <f>IF(AND(K53&lt;=J53,J53&lt;= L53)=TRUE,"Y","N")</f>
        <v>Y</v>
      </c>
      <c r="N53" s="65"/>
      <c r="R53" s="108" t="s">
        <v>11</v>
      </c>
      <c r="S53" s="118">
        <f>($D$38/'Enter field data'!$F$54)</f>
        <v>0</v>
      </c>
      <c r="T53" s="120">
        <f>VLOOKUP(U$29,'Expected guild %'!$A$19:$G$27,6,FALSE)</f>
        <v>0</v>
      </c>
      <c r="U53" s="118">
        <f>VLOOKUP(U$29,'Expected guild %'!$A$19:$G$27,7,FALSE)</f>
        <v>0.1</v>
      </c>
      <c r="V53" s="119" t="str">
        <f>IF(AND(T53&lt;=S53,S53&lt;= U53)=TRUE,"Y","N")</f>
        <v>Y</v>
      </c>
      <c r="W53" s="65"/>
      <c r="AC53" s="108" t="s">
        <v>11</v>
      </c>
      <c r="AD53" s="118">
        <f>($D$38/'Enter field data'!$F$54)</f>
        <v>0</v>
      </c>
      <c r="AE53" s="120">
        <f>VLOOKUP(AF$29,'Expected guild %'!$A$19:$G$27,6,FALSE)</f>
        <v>0</v>
      </c>
      <c r="AF53" s="118">
        <f>VLOOKUP(AF$29,'Expected guild %'!$A$19:$G$27,7,FALSE)</f>
        <v>0.1</v>
      </c>
      <c r="AG53" s="119" t="str">
        <f>IF(AND(AE53&lt;=AD53,AD53&lt;= AF53)=TRUE,"Y","N")</f>
        <v>Y</v>
      </c>
      <c r="AH53" s="65"/>
    </row>
    <row r="54" spans="1:35" x14ac:dyDescent="0.2">
      <c r="A54" s="65"/>
      <c r="B54" s="65"/>
      <c r="C54" s="65"/>
      <c r="D54" s="65"/>
      <c r="E54" s="65"/>
      <c r="F54" s="65"/>
      <c r="H54" s="148"/>
      <c r="I54" s="65"/>
      <c r="J54" s="65"/>
      <c r="K54" s="65"/>
      <c r="L54" s="65"/>
      <c r="M54" s="65"/>
      <c r="N54" s="65"/>
      <c r="R54" s="65"/>
      <c r="S54" s="65"/>
      <c r="T54" s="65"/>
      <c r="U54" s="65"/>
      <c r="V54" s="65"/>
      <c r="W54" s="65"/>
      <c r="AC54" s="65"/>
      <c r="AD54" s="65"/>
      <c r="AE54" s="65"/>
      <c r="AF54" s="65"/>
      <c r="AG54" s="65"/>
      <c r="AH54" s="65"/>
    </row>
    <row r="55" spans="1:35" x14ac:dyDescent="0.2">
      <c r="A55" s="93" t="s">
        <v>392</v>
      </c>
      <c r="B55" s="65"/>
      <c r="C55" s="65"/>
      <c r="D55" s="65"/>
      <c r="E55" s="65"/>
      <c r="F55" s="65"/>
      <c r="H55" s="148"/>
      <c r="I55" s="93" t="s">
        <v>392</v>
      </c>
      <c r="J55" s="65"/>
      <c r="K55" s="65"/>
      <c r="L55" s="65"/>
      <c r="M55" s="65"/>
      <c r="N55" s="65"/>
      <c r="R55" s="93" t="s">
        <v>392</v>
      </c>
      <c r="S55" s="65"/>
      <c r="T55" s="65"/>
      <c r="U55" s="65"/>
      <c r="V55" s="65"/>
      <c r="W55" s="65"/>
      <c r="AC55" s="93" t="s">
        <v>392</v>
      </c>
      <c r="AD55" s="65"/>
      <c r="AE55" s="65"/>
      <c r="AF55" s="65"/>
      <c r="AG55" s="65"/>
      <c r="AH55" s="65"/>
    </row>
    <row r="56" spans="1:35" x14ac:dyDescent="0.2">
      <c r="A56" s="93" t="s">
        <v>382</v>
      </c>
      <c r="B56" s="121"/>
      <c r="C56" s="121"/>
      <c r="D56" s="121"/>
      <c r="E56" s="121"/>
      <c r="F56" s="65"/>
      <c r="H56" s="148"/>
      <c r="I56" s="93" t="s">
        <v>382</v>
      </c>
      <c r="J56" s="121"/>
      <c r="K56" s="121"/>
      <c r="L56" s="121"/>
      <c r="M56" s="121"/>
      <c r="N56" s="65"/>
      <c r="R56" s="93" t="s">
        <v>382</v>
      </c>
      <c r="S56" s="121"/>
      <c r="T56" s="121"/>
      <c r="U56" s="121"/>
      <c r="V56" s="121"/>
      <c r="W56" s="65"/>
      <c r="AC56" s="93" t="s">
        <v>382</v>
      </c>
      <c r="AD56" s="121"/>
      <c r="AE56" s="121"/>
      <c r="AF56" s="121"/>
      <c r="AG56" s="121"/>
      <c r="AH56" s="65"/>
    </row>
    <row r="57" spans="1:35" ht="15" x14ac:dyDescent="0.25">
      <c r="A57" s="179"/>
      <c r="B57" s="191"/>
      <c r="C57" s="191"/>
      <c r="D57" s="191"/>
      <c r="E57" s="191"/>
      <c r="F57" s="180"/>
      <c r="G57" s="180"/>
      <c r="H57" s="148"/>
      <c r="I57" s="179"/>
      <c r="J57" s="191"/>
      <c r="K57" s="191"/>
      <c r="L57" s="191"/>
      <c r="M57" s="191"/>
      <c r="N57" s="180"/>
      <c r="O57" s="181"/>
      <c r="R57" s="179"/>
      <c r="S57" s="191"/>
      <c r="T57" s="191"/>
      <c r="U57" s="191"/>
      <c r="V57" s="191"/>
      <c r="W57" s="180"/>
      <c r="X57" s="181"/>
      <c r="AC57" s="179"/>
      <c r="AD57" s="191"/>
      <c r="AE57" s="191"/>
      <c r="AF57" s="191"/>
      <c r="AG57" s="191"/>
      <c r="AH57" s="180"/>
      <c r="AI57" s="181"/>
    </row>
    <row r="58" spans="1:35" x14ac:dyDescent="0.2">
      <c r="A58" s="122" t="s">
        <v>860</v>
      </c>
      <c r="B58" s="123"/>
      <c r="C58" s="123"/>
      <c r="D58" s="123"/>
      <c r="E58" s="123"/>
      <c r="F58" s="65"/>
      <c r="H58" s="148"/>
      <c r="I58" s="122" t="s">
        <v>860</v>
      </c>
      <c r="J58" s="123"/>
      <c r="K58" s="123"/>
      <c r="L58" s="123"/>
      <c r="M58" s="123"/>
      <c r="N58" s="65"/>
      <c r="R58" s="122" t="s">
        <v>860</v>
      </c>
      <c r="S58" s="123"/>
      <c r="T58" s="123"/>
      <c r="U58" s="123"/>
      <c r="V58" s="123"/>
      <c r="W58" s="65"/>
      <c r="AC58" s="122" t="s">
        <v>860</v>
      </c>
      <c r="AD58" s="123"/>
      <c r="AE58" s="123"/>
      <c r="AF58" s="123"/>
      <c r="AG58" s="123"/>
      <c r="AH58" s="65"/>
    </row>
    <row r="59" spans="1:35" s="125" customFormat="1" x14ac:dyDescent="0.2">
      <c r="A59" s="122" t="s">
        <v>861</v>
      </c>
      <c r="B59" s="124"/>
      <c r="C59" s="124"/>
      <c r="D59" s="124"/>
      <c r="E59" s="124"/>
      <c r="F59" s="65"/>
      <c r="H59" s="149"/>
      <c r="I59" s="122" t="s">
        <v>861</v>
      </c>
      <c r="J59" s="124"/>
      <c r="K59" s="124"/>
      <c r="L59" s="124"/>
      <c r="M59" s="124"/>
      <c r="N59" s="65"/>
      <c r="R59" s="122" t="s">
        <v>861</v>
      </c>
      <c r="S59" s="124"/>
      <c r="T59" s="124"/>
      <c r="U59" s="124"/>
      <c r="V59" s="124"/>
      <c r="W59" s="65"/>
      <c r="AC59" s="122" t="s">
        <v>861</v>
      </c>
      <c r="AD59" s="124"/>
      <c r="AE59" s="124"/>
      <c r="AF59" s="124"/>
      <c r="AG59" s="124"/>
      <c r="AH59" s="65"/>
    </row>
    <row r="60" spans="1:35" s="125" customFormat="1" x14ac:dyDescent="0.2">
      <c r="A60" s="122" t="s">
        <v>862</v>
      </c>
      <c r="B60" s="124"/>
      <c r="C60" s="124"/>
      <c r="D60" s="124"/>
      <c r="E60" s="124"/>
      <c r="F60" s="65"/>
      <c r="H60" s="149"/>
      <c r="I60" s="122" t="s">
        <v>862</v>
      </c>
      <c r="J60" s="124"/>
      <c r="K60" s="124"/>
      <c r="L60" s="124"/>
      <c r="M60" s="124"/>
      <c r="N60" s="65"/>
      <c r="R60" s="122" t="s">
        <v>862</v>
      </c>
      <c r="S60" s="124"/>
      <c r="T60" s="124"/>
      <c r="U60" s="124"/>
      <c r="V60" s="124"/>
      <c r="W60" s="65"/>
      <c r="AC60" s="122" t="s">
        <v>862</v>
      </c>
      <c r="AD60" s="124"/>
      <c r="AE60" s="124"/>
      <c r="AF60" s="124"/>
      <c r="AG60" s="124"/>
      <c r="AH60" s="65"/>
    </row>
    <row r="61" spans="1:35" s="125" customFormat="1" x14ac:dyDescent="0.2">
      <c r="A61" s="65"/>
      <c r="B61" s="65"/>
      <c r="C61" s="65"/>
      <c r="D61" s="65"/>
      <c r="E61" s="65"/>
      <c r="F61" s="65"/>
      <c r="H61" s="149"/>
      <c r="I61" s="65"/>
      <c r="J61" s="65"/>
      <c r="K61" s="65"/>
      <c r="L61" s="65"/>
      <c r="M61" s="65"/>
      <c r="N61" s="65"/>
      <c r="R61" s="65"/>
      <c r="S61" s="65"/>
      <c r="T61" s="65"/>
      <c r="U61" s="65"/>
      <c r="V61" s="65"/>
      <c r="W61" s="65"/>
      <c r="AC61" s="65"/>
      <c r="AD61" s="65"/>
      <c r="AE61" s="65"/>
      <c r="AF61" s="65"/>
      <c r="AG61" s="65"/>
      <c r="AH61" s="65"/>
    </row>
    <row r="62" spans="1:35" x14ac:dyDescent="0.2">
      <c r="A62" s="87" t="s">
        <v>834</v>
      </c>
      <c r="B62" s="65"/>
      <c r="C62" s="65"/>
      <c r="D62" s="65"/>
      <c r="E62" s="65"/>
      <c r="F62" s="65"/>
      <c r="H62" s="148"/>
      <c r="I62" s="87" t="s">
        <v>834</v>
      </c>
      <c r="J62" s="65"/>
      <c r="K62" s="65"/>
      <c r="L62" s="65"/>
      <c r="M62" s="65"/>
      <c r="N62" s="65"/>
      <c r="R62" s="87" t="s">
        <v>834</v>
      </c>
      <c r="S62" s="65"/>
      <c r="T62" s="65"/>
      <c r="U62" s="65"/>
      <c r="V62" s="65"/>
      <c r="W62" s="65"/>
      <c r="AC62" s="87" t="s">
        <v>834</v>
      </c>
      <c r="AD62" s="65"/>
      <c r="AE62" s="65"/>
      <c r="AF62" s="65"/>
      <c r="AG62" s="65"/>
      <c r="AH62" s="65"/>
    </row>
    <row r="63" spans="1:35" x14ac:dyDescent="0.2">
      <c r="A63" s="93" t="s">
        <v>383</v>
      </c>
      <c r="B63" s="65"/>
      <c r="C63" s="65"/>
      <c r="D63" s="65"/>
      <c r="E63" s="65"/>
      <c r="F63" s="65"/>
      <c r="H63" s="148"/>
      <c r="I63" s="93" t="s">
        <v>383</v>
      </c>
      <c r="J63" s="65"/>
      <c r="K63" s="65"/>
      <c r="L63" s="65"/>
      <c r="M63" s="65"/>
      <c r="N63" s="65"/>
      <c r="R63" s="93" t="s">
        <v>383</v>
      </c>
      <c r="S63" s="65"/>
      <c r="T63" s="65"/>
      <c r="U63" s="65"/>
      <c r="V63" s="65"/>
      <c r="W63" s="65"/>
      <c r="AC63" s="93" t="s">
        <v>383</v>
      </c>
      <c r="AD63" s="65"/>
      <c r="AE63" s="65"/>
      <c r="AF63" s="65"/>
      <c r="AG63" s="65"/>
      <c r="AH63" s="65"/>
    </row>
    <row r="64" spans="1:35" x14ac:dyDescent="0.2">
      <c r="A64" s="93" t="s">
        <v>384</v>
      </c>
      <c r="B64" s="65"/>
      <c r="C64" s="65"/>
      <c r="D64" s="65"/>
      <c r="E64" s="65"/>
      <c r="F64" s="65"/>
      <c r="H64" s="148"/>
      <c r="I64" s="93" t="s">
        <v>384</v>
      </c>
      <c r="J64" s="65"/>
      <c r="K64" s="65"/>
      <c r="L64" s="65"/>
      <c r="M64" s="65"/>
      <c r="N64" s="65"/>
      <c r="R64" s="93" t="s">
        <v>384</v>
      </c>
      <c r="S64" s="65"/>
      <c r="T64" s="65"/>
      <c r="U64" s="65"/>
      <c r="V64" s="65"/>
      <c r="W64" s="65"/>
      <c r="AC64" s="93" t="s">
        <v>384</v>
      </c>
      <c r="AD64" s="65"/>
      <c r="AE64" s="65"/>
      <c r="AF64" s="65"/>
      <c r="AG64" s="65"/>
      <c r="AH64" s="65"/>
    </row>
    <row r="65" spans="1:34" x14ac:dyDescent="0.2">
      <c r="A65" s="93" t="s">
        <v>385</v>
      </c>
      <c r="B65" s="65"/>
      <c r="C65" s="65"/>
      <c r="D65" s="65"/>
      <c r="E65" s="65"/>
      <c r="F65" s="65"/>
      <c r="H65" s="148"/>
      <c r="I65" s="93" t="s">
        <v>385</v>
      </c>
      <c r="J65" s="65"/>
      <c r="K65" s="65"/>
      <c r="L65" s="65"/>
      <c r="M65" s="65"/>
      <c r="N65" s="65"/>
      <c r="R65" s="93" t="s">
        <v>385</v>
      </c>
      <c r="S65" s="65"/>
      <c r="T65" s="65"/>
      <c r="U65" s="65"/>
      <c r="V65" s="65"/>
      <c r="W65" s="65"/>
      <c r="AC65" s="93" t="s">
        <v>385</v>
      </c>
      <c r="AD65" s="65"/>
      <c r="AE65" s="65"/>
      <c r="AF65" s="65"/>
      <c r="AG65" s="65"/>
      <c r="AH65" s="65"/>
    </row>
    <row r="66" spans="1:34" x14ac:dyDescent="0.2">
      <c r="A66" s="126" t="s">
        <v>858</v>
      </c>
      <c r="B66" s="65"/>
      <c r="C66" s="65"/>
      <c r="D66" s="65"/>
      <c r="E66" s="65"/>
      <c r="F66" s="65"/>
      <c r="H66" s="148"/>
      <c r="I66" s="126" t="s">
        <v>858</v>
      </c>
      <c r="J66" s="65"/>
      <c r="K66" s="65"/>
      <c r="L66" s="65"/>
      <c r="M66" s="65"/>
      <c r="N66" s="65"/>
      <c r="R66" s="126" t="s">
        <v>858</v>
      </c>
      <c r="S66" s="65"/>
      <c r="T66" s="65"/>
      <c r="U66" s="65"/>
      <c r="V66" s="65"/>
      <c r="W66" s="65"/>
      <c r="AC66" s="126" t="s">
        <v>858</v>
      </c>
      <c r="AD66" s="65"/>
      <c r="AE66" s="65"/>
      <c r="AF66" s="65"/>
      <c r="AG66" s="65"/>
      <c r="AH66" s="65"/>
    </row>
    <row r="67" spans="1:34" x14ac:dyDescent="0.2">
      <c r="A67" s="93" t="s">
        <v>387</v>
      </c>
      <c r="B67" s="65"/>
      <c r="C67" s="65"/>
      <c r="D67" s="65"/>
      <c r="E67" s="65"/>
      <c r="F67" s="65"/>
      <c r="H67" s="148"/>
      <c r="I67" s="93" t="s">
        <v>387</v>
      </c>
      <c r="J67" s="65"/>
      <c r="K67" s="65"/>
      <c r="L67" s="65"/>
      <c r="M67" s="65"/>
      <c r="N67" s="65"/>
      <c r="R67" s="93" t="s">
        <v>387</v>
      </c>
      <c r="S67" s="65"/>
      <c r="T67" s="65"/>
      <c r="U67" s="65"/>
      <c r="V67" s="65"/>
      <c r="W67" s="65"/>
      <c r="AC67" s="93" t="s">
        <v>387</v>
      </c>
      <c r="AD67" s="65"/>
      <c r="AE67" s="65"/>
      <c r="AF67" s="65"/>
      <c r="AG67" s="65"/>
      <c r="AH67" s="65"/>
    </row>
    <row r="68" spans="1:34" x14ac:dyDescent="0.2">
      <c r="A68" s="126" t="s">
        <v>859</v>
      </c>
      <c r="B68" s="65"/>
      <c r="C68" s="65"/>
      <c r="D68" s="65"/>
      <c r="E68" s="65"/>
      <c r="F68" s="65"/>
      <c r="H68" s="148"/>
      <c r="I68" s="126" t="s">
        <v>859</v>
      </c>
      <c r="J68" s="65"/>
      <c r="K68" s="65"/>
      <c r="L68" s="65"/>
      <c r="M68" s="65"/>
      <c r="N68" s="65"/>
      <c r="R68" s="126" t="s">
        <v>859</v>
      </c>
      <c r="S68" s="65"/>
      <c r="T68" s="65"/>
      <c r="U68" s="65"/>
      <c r="V68" s="65"/>
      <c r="W68" s="65"/>
      <c r="AC68" s="126" t="s">
        <v>859</v>
      </c>
      <c r="AD68" s="65"/>
      <c r="AE68" s="65"/>
      <c r="AF68" s="65"/>
      <c r="AG68" s="65"/>
      <c r="AH68" s="65"/>
    </row>
    <row r="69" spans="1:34" x14ac:dyDescent="0.2">
      <c r="A69" s="93" t="s">
        <v>388</v>
      </c>
      <c r="B69" s="65"/>
      <c r="C69" s="65"/>
      <c r="D69" s="65"/>
      <c r="E69" s="65"/>
      <c r="F69" s="65"/>
      <c r="H69" s="148"/>
      <c r="I69" s="93" t="s">
        <v>388</v>
      </c>
      <c r="J69" s="65"/>
      <c r="K69" s="65"/>
      <c r="L69" s="65"/>
      <c r="M69" s="65"/>
      <c r="N69" s="65"/>
      <c r="R69" s="93" t="s">
        <v>388</v>
      </c>
      <c r="S69" s="65"/>
      <c r="T69" s="65"/>
      <c r="U69" s="65"/>
      <c r="V69" s="65"/>
      <c r="W69" s="65"/>
      <c r="AC69" s="93" t="s">
        <v>388</v>
      </c>
      <c r="AD69" s="65"/>
      <c r="AE69" s="65"/>
      <c r="AF69" s="65"/>
      <c r="AG69" s="65"/>
      <c r="AH69" s="65"/>
    </row>
    <row r="70" spans="1:34" x14ac:dyDescent="0.2">
      <c r="A70" s="93"/>
      <c r="B70" s="65"/>
      <c r="C70" s="65"/>
      <c r="D70" s="65"/>
      <c r="E70" s="65"/>
      <c r="F70" s="65"/>
      <c r="H70" s="148"/>
      <c r="I70" s="93"/>
      <c r="J70" s="65"/>
      <c r="K70" s="65"/>
      <c r="L70" s="65"/>
      <c r="M70" s="65"/>
      <c r="N70" s="65"/>
      <c r="R70" s="93"/>
      <c r="S70" s="65"/>
      <c r="T70" s="65"/>
      <c r="U70" s="65"/>
      <c r="V70" s="65"/>
      <c r="W70" s="65"/>
      <c r="AC70" s="93"/>
      <c r="AD70" s="65"/>
      <c r="AE70" s="65"/>
      <c r="AF70" s="65"/>
      <c r="AG70" s="65"/>
      <c r="AH70" s="65"/>
    </row>
    <row r="71" spans="1:34" x14ac:dyDescent="0.2">
      <c r="A71" s="184" t="s">
        <v>1</v>
      </c>
      <c r="B71" s="185"/>
      <c r="C71" s="185"/>
      <c r="D71" s="185"/>
      <c r="E71" s="186"/>
      <c r="F71" s="65"/>
      <c r="H71" s="148"/>
      <c r="I71" s="184" t="s">
        <v>1</v>
      </c>
      <c r="J71" s="185"/>
      <c r="K71" s="185"/>
      <c r="L71" s="185"/>
      <c r="M71" s="186"/>
      <c r="N71" s="65"/>
      <c r="R71" s="184" t="s">
        <v>1</v>
      </c>
      <c r="S71" s="185"/>
      <c r="T71" s="185"/>
      <c r="U71" s="185"/>
      <c r="V71" s="186"/>
      <c r="W71" s="65"/>
      <c r="AC71" s="184" t="s">
        <v>1</v>
      </c>
      <c r="AD71" s="185"/>
      <c r="AE71" s="185"/>
      <c r="AF71" s="185"/>
      <c r="AG71" s="186"/>
      <c r="AH71" s="65"/>
    </row>
    <row r="72" spans="1:34" ht="12.75" customHeight="1" x14ac:dyDescent="0.2">
      <c r="A72" s="187" t="s">
        <v>55</v>
      </c>
      <c r="B72" s="187" t="s">
        <v>65</v>
      </c>
      <c r="C72" s="189" t="s">
        <v>66</v>
      </c>
      <c r="D72" s="190"/>
      <c r="E72" s="177" t="s">
        <v>56</v>
      </c>
      <c r="F72" s="65"/>
      <c r="H72" s="148"/>
      <c r="I72" s="187" t="s">
        <v>55</v>
      </c>
      <c r="J72" s="187" t="s">
        <v>65</v>
      </c>
      <c r="K72" s="189" t="s">
        <v>66</v>
      </c>
      <c r="L72" s="190"/>
      <c r="M72" s="177" t="s">
        <v>56</v>
      </c>
      <c r="N72" s="65"/>
      <c r="R72" s="187" t="s">
        <v>55</v>
      </c>
      <c r="S72" s="187" t="s">
        <v>65</v>
      </c>
      <c r="T72" s="189" t="s">
        <v>66</v>
      </c>
      <c r="U72" s="190"/>
      <c r="V72" s="177" t="s">
        <v>56</v>
      </c>
      <c r="W72" s="65"/>
      <c r="AC72" s="187" t="s">
        <v>55</v>
      </c>
      <c r="AD72" s="187" t="s">
        <v>65</v>
      </c>
      <c r="AE72" s="189" t="s">
        <v>66</v>
      </c>
      <c r="AF72" s="190"/>
      <c r="AG72" s="177" t="s">
        <v>56</v>
      </c>
      <c r="AH72" s="65"/>
    </row>
    <row r="73" spans="1:34" x14ac:dyDescent="0.2">
      <c r="A73" s="188"/>
      <c r="B73" s="188"/>
      <c r="C73" s="115" t="s">
        <v>62</v>
      </c>
      <c r="D73" s="116" t="s">
        <v>63</v>
      </c>
      <c r="E73" s="178"/>
      <c r="F73" s="65"/>
      <c r="H73" s="148"/>
      <c r="I73" s="188"/>
      <c r="J73" s="188"/>
      <c r="K73" s="115" t="s">
        <v>62</v>
      </c>
      <c r="L73" s="139" t="s">
        <v>63</v>
      </c>
      <c r="M73" s="178"/>
      <c r="N73" s="65"/>
      <c r="R73" s="188"/>
      <c r="S73" s="188"/>
      <c r="T73" s="115" t="s">
        <v>62</v>
      </c>
      <c r="U73" s="139" t="s">
        <v>63</v>
      </c>
      <c r="V73" s="178"/>
      <c r="W73" s="65"/>
      <c r="AC73" s="188"/>
      <c r="AD73" s="188"/>
      <c r="AE73" s="115" t="s">
        <v>62</v>
      </c>
      <c r="AF73" s="139" t="s">
        <v>63</v>
      </c>
      <c r="AG73" s="178"/>
      <c r="AH73" s="65"/>
    </row>
    <row r="74" spans="1:34" x14ac:dyDescent="0.2">
      <c r="A74" s="108" t="s">
        <v>12</v>
      </c>
      <c r="B74" s="117">
        <f>($F$36/'Enter field data'!$F$54)</f>
        <v>1.6666666666666666E-2</v>
      </c>
      <c r="C74" s="127" t="str">
        <f>VLOOKUP($D$29,'Expected guild %'!$A$33:$G$41,2,FALSE)</f>
        <v>PRESENT</v>
      </c>
      <c r="D74" s="118">
        <f>VLOOKUP($D$29,'Expected guild %'!$A$33:$G$41,3,FALSE)</f>
        <v>1</v>
      </c>
      <c r="E74" s="119" t="str">
        <f>IF(AND($B$74&gt;0,$B$74&lt;= $D$74)=TRUE,"Y","N")</f>
        <v>Y</v>
      </c>
      <c r="F74" s="65"/>
      <c r="H74" s="148"/>
      <c r="I74" s="108" t="s">
        <v>12</v>
      </c>
      <c r="J74" s="117">
        <f>($F$36/'Enter field data'!$F$54)</f>
        <v>1.6666666666666666E-2</v>
      </c>
      <c r="K74" s="127" t="str">
        <f>VLOOKUP(L$29,'Expected guild %'!$A$33:$G$41,2,FALSE)</f>
        <v>PRESENT</v>
      </c>
      <c r="L74" s="118">
        <f>VLOOKUP(L$29,'Expected guild %'!$A$33:$G$41,3,FALSE)</f>
        <v>1</v>
      </c>
      <c r="M74" s="119" t="str">
        <f>IF(AND($J$74&gt;0,$J$74&lt;= $L$74)=TRUE,"Y","N")</f>
        <v>Y</v>
      </c>
      <c r="N74" s="65"/>
      <c r="R74" s="108" t="s">
        <v>12</v>
      </c>
      <c r="S74" s="117">
        <f>($F$36/'Enter field data'!$F$54)</f>
        <v>1.6666666666666666E-2</v>
      </c>
      <c r="T74" s="127" t="str">
        <f>VLOOKUP(U$29,'Expected guild %'!$A$33:$G$41,2,FALSE)</f>
        <v>PRESENT</v>
      </c>
      <c r="U74" s="118">
        <f>VLOOKUP(U$29,'Expected guild %'!$A$33:$G$41,3,FALSE)</f>
        <v>1</v>
      </c>
      <c r="V74" s="119" t="str">
        <f>IF(AND($S$74&gt;0,$S$74&lt;= $U$74)=TRUE,"Y","N")</f>
        <v>Y</v>
      </c>
      <c r="W74" s="65"/>
      <c r="AC74" s="108" t="s">
        <v>12</v>
      </c>
      <c r="AD74" s="117">
        <f>($F$36/'Enter field data'!$F$54)</f>
        <v>1.6666666666666666E-2</v>
      </c>
      <c r="AE74" s="127" t="str">
        <f>VLOOKUP(AF$29,'Expected guild %'!$A$33:$G$41,2,FALSE)</f>
        <v>PRESENT</v>
      </c>
      <c r="AF74" s="118">
        <f>VLOOKUP(AF$29,'Expected guild %'!$A$33:$G$41,3,FALSE)</f>
        <v>1</v>
      </c>
      <c r="AG74" s="119" t="str">
        <f>IF(AND($AD$74&gt;0,$AD$74&lt;= $AF$74)=TRUE,"Y","N")</f>
        <v>Y</v>
      </c>
      <c r="AH74" s="65"/>
    </row>
    <row r="75" spans="1:34" x14ac:dyDescent="0.2">
      <c r="A75" s="108" t="s">
        <v>386</v>
      </c>
      <c r="B75" s="117">
        <f>($F$37/'Enter field data'!$F$54)</f>
        <v>0.25</v>
      </c>
      <c r="C75" s="127">
        <f>VLOOKUP($D$29,'Expected guild %'!$A$33:$G$41,4,FALSE)</f>
        <v>0</v>
      </c>
      <c r="D75" s="118">
        <f>VLOOKUP($D$29,'Expected guild %'!$A$33:$G$41,5,FALSE)</f>
        <v>1</v>
      </c>
      <c r="E75" s="119" t="str">
        <f>IF(AND($C$75&lt;=$B$75,$B$75&lt;= $D$75)=TRUE,"Y","N")</f>
        <v>Y</v>
      </c>
      <c r="H75" s="148"/>
      <c r="I75" s="108" t="s">
        <v>386</v>
      </c>
      <c r="J75" s="117">
        <f>($F$37/'Enter field data'!$F$54)</f>
        <v>0.25</v>
      </c>
      <c r="K75" s="127">
        <f>VLOOKUP(L$29,'Expected guild %'!$A$33:$G$41,4,FALSE)</f>
        <v>0</v>
      </c>
      <c r="L75" s="118">
        <f>VLOOKUP(L$29,'Expected guild %'!$A$33:$G$41,5,FALSE)</f>
        <v>1</v>
      </c>
      <c r="M75" s="119" t="str">
        <f>IF(AND($K$75&lt;=$J$75,$J$75&lt;= $L$75)=TRUE,"Y","N")</f>
        <v>Y</v>
      </c>
      <c r="R75" s="108" t="s">
        <v>386</v>
      </c>
      <c r="S75" s="117">
        <f>($F$37/'Enter field data'!$F$54)</f>
        <v>0.25</v>
      </c>
      <c r="T75" s="127">
        <f>VLOOKUP(U$29,'Expected guild %'!$A$33:$G$41,4,FALSE)</f>
        <v>0</v>
      </c>
      <c r="U75" s="118">
        <f>VLOOKUP(U$29,'Expected guild %'!$A$33:$G$41,5,FALSE)</f>
        <v>1</v>
      </c>
      <c r="V75" s="119" t="str">
        <f>IF(AND($T$75&lt;=$S$75,$S$75&lt;= $U$75)=TRUE,"Y","N")</f>
        <v>Y</v>
      </c>
      <c r="AC75" s="108" t="s">
        <v>386</v>
      </c>
      <c r="AD75" s="117">
        <f>($F$37/'Enter field data'!$F$54)</f>
        <v>0.25</v>
      </c>
      <c r="AE75" s="127">
        <f>VLOOKUP(AF$29,'Expected guild %'!$A$33:$G$41,4,FALSE)</f>
        <v>0</v>
      </c>
      <c r="AF75" s="118">
        <f>VLOOKUP(AF$29,'Expected guild %'!$A$33:$G$41,5,FALSE)</f>
        <v>1</v>
      </c>
      <c r="AG75" s="119" t="str">
        <f>IF(AND($AE$75&lt;=$AD$75,$AD$75&lt;= $AF$75)=TRUE,"Y","N")</f>
        <v>Y</v>
      </c>
    </row>
    <row r="76" spans="1:34" x14ac:dyDescent="0.2">
      <c r="A76" s="108" t="s">
        <v>14</v>
      </c>
      <c r="B76" s="117">
        <f>($F$38/'Enter field data'!$F$54)</f>
        <v>0.73333333333333328</v>
      </c>
      <c r="C76" s="127">
        <f>VLOOKUP($D$29,'Expected guild %'!$A$33:$G$41,6,FALSE)</f>
        <v>0</v>
      </c>
      <c r="D76" s="118">
        <f>VLOOKUP($D$29,'Expected guild %'!$A$33:$G$41,7,FALSE)</f>
        <v>0.75</v>
      </c>
      <c r="E76" s="119" t="str">
        <f>IF(AND($C$76&lt;=$B$76,$B$76&lt;= $D$76)=TRUE,"Y","N")</f>
        <v>Y</v>
      </c>
      <c r="F76" s="65"/>
      <c r="H76" s="148"/>
      <c r="I76" s="108" t="s">
        <v>14</v>
      </c>
      <c r="J76" s="117">
        <f>($F$38/'Enter field data'!$F$54)</f>
        <v>0.73333333333333328</v>
      </c>
      <c r="K76" s="127">
        <f>VLOOKUP(L$29,'Expected guild %'!$A$33:$G$41,6,FALSE)</f>
        <v>0</v>
      </c>
      <c r="L76" s="118">
        <f>VLOOKUP(L$29,'Expected guild %'!$A$33:$G$41,7,FALSE)</f>
        <v>0.6</v>
      </c>
      <c r="M76" s="119" t="str">
        <f>IF(AND($K$76&lt;=$J$76,$J$76&lt;= $L$76)=TRUE,"Y","N")</f>
        <v>N</v>
      </c>
      <c r="N76" s="65"/>
      <c r="R76" s="108" t="s">
        <v>14</v>
      </c>
      <c r="S76" s="117">
        <f>($F$38/'Enter field data'!$F$54)</f>
        <v>0.73333333333333328</v>
      </c>
      <c r="T76" s="127">
        <f>VLOOKUP(U$29,'Expected guild %'!$A$33:$G$41,6,FALSE)</f>
        <v>0</v>
      </c>
      <c r="U76" s="118">
        <f>VLOOKUP(U$29,'Expected guild %'!$A$33:$G$41,7,FALSE)</f>
        <v>0.75</v>
      </c>
      <c r="V76" s="119" t="str">
        <f>IF(AND($T$76&lt;=$S$76,$S$76&lt;= $U$76)=TRUE,"Y","N")</f>
        <v>Y</v>
      </c>
      <c r="W76" s="65"/>
      <c r="AC76" s="108" t="s">
        <v>14</v>
      </c>
      <c r="AD76" s="117">
        <f>($F$38/'Enter field data'!$F$54)</f>
        <v>0.73333333333333328</v>
      </c>
      <c r="AE76" s="127">
        <f>VLOOKUP(AF$29,'Expected guild %'!$A$33:$G$41,6,FALSE)</f>
        <v>0</v>
      </c>
      <c r="AF76" s="118">
        <f>VLOOKUP(AF$29,'Expected guild %'!$A$33:$G$41,7,FALSE)</f>
        <v>0.75</v>
      </c>
      <c r="AG76" s="119" t="str">
        <f>IF(AND($AE$76&lt;=$AD$76,$AD$76&lt;= $AF$76)=TRUE,"Y","N")</f>
        <v>Y</v>
      </c>
      <c r="AH76" s="65"/>
    </row>
    <row r="77" spans="1:34" x14ac:dyDescent="0.2">
      <c r="A77" s="65" t="s">
        <v>389</v>
      </c>
      <c r="B77" s="65"/>
      <c r="C77" s="65"/>
      <c r="D77" s="65"/>
      <c r="E77" s="65"/>
      <c r="F77" s="65"/>
      <c r="H77" s="148"/>
      <c r="I77" s="65" t="s">
        <v>389</v>
      </c>
      <c r="J77" s="65"/>
      <c r="K77" s="65"/>
      <c r="L77" s="65"/>
      <c r="M77" s="65"/>
      <c r="N77" s="65"/>
      <c r="R77" s="65" t="s">
        <v>389</v>
      </c>
      <c r="S77" s="65"/>
      <c r="T77" s="65"/>
      <c r="U77" s="65"/>
      <c r="V77" s="65"/>
      <c r="W77" s="65"/>
      <c r="AC77" s="65" t="s">
        <v>389</v>
      </c>
      <c r="AD77" s="65"/>
      <c r="AE77" s="65"/>
      <c r="AF77" s="65"/>
      <c r="AG77" s="65"/>
      <c r="AH77" s="65"/>
    </row>
    <row r="78" spans="1:34" x14ac:dyDescent="0.2">
      <c r="A78" s="65"/>
      <c r="B78" s="65"/>
      <c r="C78" s="65"/>
      <c r="D78" s="65"/>
      <c r="E78" s="65"/>
      <c r="F78" s="65"/>
      <c r="H78" s="148"/>
      <c r="I78" s="65"/>
      <c r="J78" s="65"/>
      <c r="K78" s="65"/>
      <c r="L78" s="65"/>
      <c r="M78" s="65"/>
      <c r="N78" s="65"/>
      <c r="R78" s="65"/>
      <c r="S78" s="65"/>
      <c r="T78" s="65"/>
      <c r="U78" s="65"/>
      <c r="V78" s="65"/>
      <c r="W78" s="65"/>
      <c r="AC78" s="65"/>
      <c r="AD78" s="65"/>
      <c r="AE78" s="65"/>
      <c r="AF78" s="65"/>
      <c r="AG78" s="65"/>
      <c r="AH78" s="65"/>
    </row>
    <row r="79" spans="1:34" x14ac:dyDescent="0.2">
      <c r="A79" s="93" t="s">
        <v>847</v>
      </c>
      <c r="B79" s="65"/>
      <c r="C79" s="65"/>
      <c r="D79" s="65"/>
      <c r="E79" s="65"/>
      <c r="F79" s="65"/>
      <c r="H79" s="148"/>
      <c r="I79" s="93" t="s">
        <v>847</v>
      </c>
      <c r="J79" s="65"/>
      <c r="K79" s="65"/>
      <c r="L79" s="65"/>
      <c r="M79" s="65"/>
      <c r="N79" s="65"/>
      <c r="R79" s="93" t="s">
        <v>847</v>
      </c>
      <c r="S79" s="65"/>
      <c r="T79" s="65"/>
      <c r="U79" s="65"/>
      <c r="V79" s="65"/>
      <c r="W79" s="65"/>
      <c r="AC79" s="93" t="s">
        <v>847</v>
      </c>
      <c r="AD79" s="65"/>
      <c r="AE79" s="65"/>
      <c r="AF79" s="65"/>
      <c r="AG79" s="65"/>
      <c r="AH79" s="65"/>
    </row>
    <row r="80" spans="1:34" x14ac:dyDescent="0.2">
      <c r="A80" s="93" t="s">
        <v>848</v>
      </c>
      <c r="B80" s="65"/>
      <c r="C80" s="65"/>
      <c r="D80" s="65"/>
      <c r="E80" s="65"/>
      <c r="F80" s="65"/>
      <c r="H80" s="148"/>
      <c r="I80" s="93" t="s">
        <v>848</v>
      </c>
      <c r="J80" s="65"/>
      <c r="K80" s="65"/>
      <c r="L80" s="65"/>
      <c r="M80" s="65"/>
      <c r="N80" s="65"/>
      <c r="R80" s="93" t="s">
        <v>848</v>
      </c>
      <c r="S80" s="65"/>
      <c r="T80" s="65"/>
      <c r="U80" s="65"/>
      <c r="V80" s="65"/>
      <c r="W80" s="65"/>
      <c r="AC80" s="93" t="s">
        <v>848</v>
      </c>
      <c r="AD80" s="65"/>
      <c r="AE80" s="65"/>
      <c r="AF80" s="65"/>
      <c r="AG80" s="65"/>
      <c r="AH80" s="65"/>
    </row>
    <row r="81" spans="1:35" x14ac:dyDescent="0.2">
      <c r="A81" s="93" t="s">
        <v>382</v>
      </c>
      <c r="B81" s="121"/>
      <c r="C81" s="121"/>
      <c r="D81" s="121"/>
      <c r="E81" s="121"/>
      <c r="F81" s="65"/>
      <c r="H81" s="148"/>
      <c r="I81" s="93" t="s">
        <v>382</v>
      </c>
      <c r="J81" s="121"/>
      <c r="K81" s="121"/>
      <c r="L81" s="121"/>
      <c r="M81" s="121"/>
      <c r="N81" s="65"/>
      <c r="R81" s="93" t="s">
        <v>382</v>
      </c>
      <c r="S81" s="121"/>
      <c r="T81" s="121"/>
      <c r="U81" s="121"/>
      <c r="V81" s="121"/>
      <c r="W81" s="65"/>
      <c r="AC81" s="93" t="s">
        <v>382</v>
      </c>
      <c r="AD81" s="121"/>
      <c r="AE81" s="121"/>
      <c r="AF81" s="121"/>
      <c r="AG81" s="121"/>
      <c r="AH81" s="65"/>
    </row>
    <row r="82" spans="1:35" ht="15" x14ac:dyDescent="0.25">
      <c r="A82" s="179"/>
      <c r="B82" s="180"/>
      <c r="C82" s="180"/>
      <c r="D82" s="180"/>
      <c r="E82" s="180"/>
      <c r="F82" s="180"/>
      <c r="G82" s="180"/>
      <c r="H82" s="148"/>
      <c r="I82" s="179"/>
      <c r="J82" s="180"/>
      <c r="K82" s="180"/>
      <c r="L82" s="180"/>
      <c r="M82" s="180"/>
      <c r="N82" s="180"/>
      <c r="O82" s="181"/>
      <c r="R82" s="179"/>
      <c r="S82" s="180"/>
      <c r="T82" s="180"/>
      <c r="U82" s="180"/>
      <c r="V82" s="180"/>
      <c r="W82" s="180"/>
      <c r="X82" s="181"/>
      <c r="AC82" s="179"/>
      <c r="AD82" s="180"/>
      <c r="AE82" s="180"/>
      <c r="AF82" s="180"/>
      <c r="AG82" s="180"/>
      <c r="AH82" s="180"/>
      <c r="AI82" s="181"/>
    </row>
    <row r="83" spans="1:35" x14ac:dyDescent="0.2">
      <c r="H83" s="148"/>
    </row>
    <row r="84" spans="1:35" x14ac:dyDescent="0.2">
      <c r="A84" s="128" t="s">
        <v>835</v>
      </c>
      <c r="H84" s="148"/>
      <c r="I84" s="128" t="s">
        <v>835</v>
      </c>
      <c r="R84" s="128" t="s">
        <v>835</v>
      </c>
      <c r="AC84" s="128" t="s">
        <v>835</v>
      </c>
    </row>
    <row r="85" spans="1:35" x14ac:dyDescent="0.2">
      <c r="A85" s="101" t="s">
        <v>843</v>
      </c>
      <c r="H85" s="148"/>
      <c r="I85" s="101" t="s">
        <v>912</v>
      </c>
      <c r="R85" s="101" t="s">
        <v>912</v>
      </c>
      <c r="AC85" s="101" t="s">
        <v>912</v>
      </c>
    </row>
    <row r="86" spans="1:35" x14ac:dyDescent="0.2">
      <c r="A86" s="101" t="s">
        <v>844</v>
      </c>
      <c r="H86" s="148"/>
    </row>
    <row r="87" spans="1:35" x14ac:dyDescent="0.2">
      <c r="H87" s="148"/>
      <c r="I87" s="129" t="s">
        <v>913</v>
      </c>
      <c r="R87" s="129" t="s">
        <v>913</v>
      </c>
      <c r="AC87" s="129" t="s">
        <v>913</v>
      </c>
    </row>
    <row r="88" spans="1:35" ht="12.75" customHeight="1" x14ac:dyDescent="0.2">
      <c r="A88" s="204" t="s">
        <v>817</v>
      </c>
      <c r="B88" s="71" t="s">
        <v>818</v>
      </c>
      <c r="C88" s="72"/>
      <c r="D88" s="73" t="e">
        <f>'Weather Results'!$C$17</f>
        <v>#DIV/0!</v>
      </c>
      <c r="H88" s="148"/>
    </row>
    <row r="89" spans="1:35" x14ac:dyDescent="0.2">
      <c r="A89" s="204"/>
      <c r="B89" s="71" t="s">
        <v>819</v>
      </c>
      <c r="C89" s="72"/>
      <c r="D89" s="73">
        <f>'Weather Results'!$C$18</f>
        <v>17.298708666666666</v>
      </c>
      <c r="H89" s="148"/>
    </row>
    <row r="90" spans="1:35" x14ac:dyDescent="0.2">
      <c r="A90" s="204"/>
      <c r="B90" s="71" t="s">
        <v>820</v>
      </c>
      <c r="C90" s="72"/>
      <c r="D90" s="73">
        <f>'Weather Results'!$C$19</f>
        <v>20.799674666666665</v>
      </c>
      <c r="H90" s="148"/>
    </row>
    <row r="91" spans="1:35" x14ac:dyDescent="0.2">
      <c r="A91" s="204"/>
      <c r="B91" s="74" t="s">
        <v>821</v>
      </c>
      <c r="C91" s="72"/>
      <c r="D91" s="75" t="e">
        <f>'Weather Results'!$C$20</f>
        <v>#DIV/0!</v>
      </c>
      <c r="H91" s="148"/>
    </row>
    <row r="92" spans="1:35" x14ac:dyDescent="0.2">
      <c r="H92" s="148"/>
    </row>
    <row r="93" spans="1:35" ht="12.75" customHeight="1" x14ac:dyDescent="0.2">
      <c r="A93" s="203" t="s">
        <v>822</v>
      </c>
      <c r="B93" s="71" t="s">
        <v>823</v>
      </c>
      <c r="C93" s="72"/>
      <c r="D93" s="73" t="e">
        <f>'Weather Results'!$C$22</f>
        <v>#DIV/0!</v>
      </c>
      <c r="H93" s="148"/>
    </row>
    <row r="94" spans="1:35" x14ac:dyDescent="0.2">
      <c r="A94" s="203"/>
      <c r="B94" s="71" t="s">
        <v>824</v>
      </c>
      <c r="C94" s="72"/>
      <c r="D94" s="73" t="e">
        <f>'Weather Results'!$C$23</f>
        <v>#DIV/0!</v>
      </c>
      <c r="H94" s="148"/>
    </row>
    <row r="95" spans="1:35" x14ac:dyDescent="0.2">
      <c r="A95" s="203"/>
      <c r="B95" s="71" t="s">
        <v>825</v>
      </c>
      <c r="C95" s="72"/>
      <c r="D95" s="73" t="e">
        <f>'Weather Results'!$C$24</f>
        <v>#DIV/0!</v>
      </c>
      <c r="H95" s="148"/>
    </row>
    <row r="96" spans="1:35" x14ac:dyDescent="0.2">
      <c r="A96" s="203"/>
      <c r="B96" s="71" t="s">
        <v>826</v>
      </c>
      <c r="C96" s="72"/>
      <c r="D96" s="73" t="e">
        <f>'Weather Results'!$C$25</f>
        <v>#DIV/0!</v>
      </c>
      <c r="H96" s="148"/>
    </row>
    <row r="97" spans="1:8" x14ac:dyDescent="0.2">
      <c r="A97" s="203"/>
      <c r="B97" s="71" t="s">
        <v>827</v>
      </c>
      <c r="C97" s="72"/>
      <c r="D97" s="73" t="e">
        <f>'Weather Results'!$C$26</f>
        <v>#DIV/0!</v>
      </c>
      <c r="H97" s="148"/>
    </row>
    <row r="98" spans="1:8" x14ac:dyDescent="0.2">
      <c r="A98" s="203"/>
      <c r="B98" s="71" t="s">
        <v>828</v>
      </c>
      <c r="C98" s="72"/>
      <c r="D98" s="73">
        <f>'Weather Results'!$C$27</f>
        <v>1.9273744000000002</v>
      </c>
      <c r="H98" s="148"/>
    </row>
    <row r="99" spans="1:8" x14ac:dyDescent="0.2">
      <c r="A99" s="203"/>
      <c r="B99" s="71" t="s">
        <v>829</v>
      </c>
      <c r="C99" s="72"/>
      <c r="D99" s="73">
        <f>'Weather Results'!$C$28</f>
        <v>3.8268144666666668</v>
      </c>
      <c r="H99" s="148"/>
    </row>
    <row r="100" spans="1:8" x14ac:dyDescent="0.2">
      <c r="A100" s="203"/>
      <c r="B100" s="74" t="s">
        <v>830</v>
      </c>
      <c r="C100" s="77"/>
      <c r="D100" s="75" t="e">
        <f>'Weather Results'!$C$29</f>
        <v>#DIV/0!</v>
      </c>
      <c r="H100" s="148"/>
    </row>
    <row r="101" spans="1:8" x14ac:dyDescent="0.2">
      <c r="H101" s="148"/>
    </row>
    <row r="102" spans="1:8" x14ac:dyDescent="0.2">
      <c r="A102" s="101" t="s">
        <v>849</v>
      </c>
      <c r="H102" s="148"/>
    </row>
    <row r="103" spans="1:8" ht="16.5" customHeight="1" x14ac:dyDescent="0.25">
      <c r="A103" s="201"/>
      <c r="B103" s="202"/>
      <c r="C103" s="202"/>
      <c r="D103" s="202"/>
      <c r="E103" s="202"/>
      <c r="F103" s="180"/>
      <c r="G103" s="180"/>
      <c r="H103" s="148"/>
    </row>
    <row r="104" spans="1:8" x14ac:dyDescent="0.2">
      <c r="A104" s="101" t="s">
        <v>845</v>
      </c>
      <c r="H104" s="148"/>
    </row>
    <row r="105" spans="1:8" x14ac:dyDescent="0.2">
      <c r="A105" s="101" t="s">
        <v>853</v>
      </c>
      <c r="H105" s="148"/>
    </row>
    <row r="106" spans="1:8" x14ac:dyDescent="0.2">
      <c r="A106" s="101" t="s">
        <v>846</v>
      </c>
      <c r="H106" s="148"/>
    </row>
    <row r="107" spans="1:8" x14ac:dyDescent="0.2">
      <c r="A107" s="101" t="s">
        <v>854</v>
      </c>
      <c r="H107" s="148"/>
    </row>
    <row r="108" spans="1:8" ht="15" x14ac:dyDescent="0.25">
      <c r="A108" s="201"/>
      <c r="B108" s="180"/>
      <c r="C108" s="180"/>
      <c r="D108" s="180"/>
      <c r="E108" s="180"/>
      <c r="F108" s="180"/>
      <c r="G108" s="180"/>
      <c r="H108" s="148"/>
    </row>
    <row r="110" spans="1:8" x14ac:dyDescent="0.2">
      <c r="A110" s="129" t="s">
        <v>914</v>
      </c>
    </row>
    <row r="111" spans="1:8" x14ac:dyDescent="0.2">
      <c r="A111" s="129"/>
    </row>
  </sheetData>
  <mergeCells count="92">
    <mergeCell ref="D18:E18"/>
    <mergeCell ref="A18:C18"/>
    <mergeCell ref="B4:C4"/>
    <mergeCell ref="B5:C5"/>
    <mergeCell ref="B6:C6"/>
    <mergeCell ref="B7:C7"/>
    <mergeCell ref="B8:C8"/>
    <mergeCell ref="B9:C9"/>
    <mergeCell ref="B11:C11"/>
    <mergeCell ref="B12:C12"/>
    <mergeCell ref="B13:C13"/>
    <mergeCell ref="B14:C14"/>
    <mergeCell ref="B15:C15"/>
    <mergeCell ref="A103:G103"/>
    <mergeCell ref="A108:G108"/>
    <mergeCell ref="A82:G82"/>
    <mergeCell ref="B72:B73"/>
    <mergeCell ref="C72:D72"/>
    <mergeCell ref="E72:E73"/>
    <mergeCell ref="A93:A100"/>
    <mergeCell ref="A88:A91"/>
    <mergeCell ref="A72:A73"/>
    <mergeCell ref="A19:C19"/>
    <mergeCell ref="D19:E19"/>
    <mergeCell ref="D23:E23"/>
    <mergeCell ref="D24:E24"/>
    <mergeCell ref="A71:E71"/>
    <mergeCell ref="I19:K19"/>
    <mergeCell ref="A57:G57"/>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L29:M29"/>
    <mergeCell ref="I41:M41"/>
    <mergeCell ref="J42:J43"/>
    <mergeCell ref="K42:L42"/>
    <mergeCell ref="M42:M43"/>
    <mergeCell ref="J49:J50"/>
    <mergeCell ref="K49:L49"/>
    <mergeCell ref="M49:M50"/>
    <mergeCell ref="I82:O82"/>
    <mergeCell ref="I57:O57"/>
    <mergeCell ref="I71:M71"/>
    <mergeCell ref="I72:I73"/>
    <mergeCell ref="J72:J73"/>
    <mergeCell ref="K72:L72"/>
    <mergeCell ref="M72:M73"/>
    <mergeCell ref="U29:V29"/>
    <mergeCell ref="R41:V41"/>
    <mergeCell ref="S42:S43"/>
    <mergeCell ref="T42:U42"/>
    <mergeCell ref="V42:V43"/>
    <mergeCell ref="R48:V48"/>
    <mergeCell ref="R49:R50"/>
    <mergeCell ref="S49:S50"/>
    <mergeCell ref="T49:U49"/>
    <mergeCell ref="V49:V50"/>
    <mergeCell ref="AD72:AD73"/>
    <mergeCell ref="AE72:AF72"/>
    <mergeCell ref="R57:X57"/>
    <mergeCell ref="R71:V71"/>
    <mergeCell ref="R72:R73"/>
    <mergeCell ref="S72:S73"/>
    <mergeCell ref="T72:U72"/>
    <mergeCell ref="V72:V73"/>
    <mergeCell ref="AG72:AG73"/>
    <mergeCell ref="AC82:AI82"/>
    <mergeCell ref="R82:X82"/>
    <mergeCell ref="AF29:AG29"/>
    <mergeCell ref="AC41:AG41"/>
    <mergeCell ref="AD42:AD43"/>
    <mergeCell ref="AE42:AF42"/>
    <mergeCell ref="AG42:AG43"/>
    <mergeCell ref="AC48:AG48"/>
    <mergeCell ref="AC49:AC50"/>
    <mergeCell ref="AD49:AD50"/>
    <mergeCell ref="AE49:AF49"/>
    <mergeCell ref="AG49:AG50"/>
    <mergeCell ref="AC57:AI57"/>
    <mergeCell ref="AC71:AG71"/>
    <mergeCell ref="AC72:AC73"/>
  </mergeCells>
  <dataValidations count="2">
    <dataValidation type="list" allowBlank="1" showInputMessage="1" showErrorMessage="1" error="Your entry is invalid." sqref="D20:E20 L29 U29 AF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402</v>
      </c>
      <c r="B1" s="55" t="s">
        <v>403</v>
      </c>
      <c r="C1" s="55" t="s">
        <v>404</v>
      </c>
      <c r="D1" s="55" t="s">
        <v>405</v>
      </c>
      <c r="F1" s="32" t="s">
        <v>842</v>
      </c>
    </row>
    <row r="2" spans="1:6" x14ac:dyDescent="0.25">
      <c r="A2" s="53"/>
      <c r="B2" s="53"/>
      <c r="C2" s="53"/>
      <c r="D2" s="53"/>
      <c r="F2" s="32" t="s">
        <v>841</v>
      </c>
    </row>
    <row r="3" spans="1:6" x14ac:dyDescent="0.25">
      <c r="A3" s="53"/>
      <c r="B3" s="53"/>
      <c r="C3" s="53"/>
      <c r="D3" s="53"/>
    </row>
    <row r="4" spans="1:6" x14ac:dyDescent="0.25">
      <c r="A4" s="53"/>
      <c r="B4" s="53"/>
      <c r="C4" s="53"/>
      <c r="D4" s="53"/>
      <c r="F4" s="52" t="s">
        <v>839</v>
      </c>
    </row>
    <row r="5" spans="1:6" x14ac:dyDescent="0.25">
      <c r="A5" s="53"/>
      <c r="B5" s="53"/>
      <c r="C5" s="53"/>
      <c r="D5" s="53"/>
      <c r="F5" s="32" t="s">
        <v>840</v>
      </c>
    </row>
    <row r="6" spans="1:6" x14ac:dyDescent="0.25">
      <c r="A6" s="53"/>
      <c r="B6" s="53"/>
      <c r="C6" s="53"/>
      <c r="D6" s="53"/>
      <c r="F6" s="32" t="s">
        <v>869</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ht="14.45" x14ac:dyDescent="0.3">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ColWidth="9.140625" defaultRowHeight="15" x14ac:dyDescent="0.25"/>
  <cols>
    <col min="1" max="1" width="149.85546875" style="34" customWidth="1"/>
    <col min="2" max="16384" width="9.140625" style="34"/>
  </cols>
  <sheetData>
    <row r="1" spans="1:1" ht="91.5" customHeight="1" x14ac:dyDescent="0.25">
      <c r="A1" s="33" t="s">
        <v>911</v>
      </c>
    </row>
    <row r="2" spans="1:1" ht="23.25" customHeight="1" x14ac:dyDescent="0.25">
      <c r="A2" s="35" t="s">
        <v>393</v>
      </c>
    </row>
    <row r="3" spans="1:1" ht="23.25" customHeight="1" x14ac:dyDescent="0.25">
      <c r="A3" s="36" t="s">
        <v>394</v>
      </c>
    </row>
    <row r="4" spans="1:1" ht="23.25" customHeight="1" x14ac:dyDescent="0.25">
      <c r="A4" s="36" t="s">
        <v>395</v>
      </c>
    </row>
    <row r="5" spans="1:1" ht="23.25" customHeight="1" x14ac:dyDescent="0.25">
      <c r="A5" s="36" t="s">
        <v>396</v>
      </c>
    </row>
    <row r="6" spans="1:1" ht="23.25" customHeight="1" x14ac:dyDescent="0.25">
      <c r="A6" s="36" t="s">
        <v>397</v>
      </c>
    </row>
    <row r="7" spans="1:1" ht="23.25" customHeight="1" x14ac:dyDescent="0.25">
      <c r="A7" s="36" t="s">
        <v>398</v>
      </c>
    </row>
    <row r="8" spans="1:1" ht="23.25" customHeight="1" x14ac:dyDescent="0.25">
      <c r="A8" s="36" t="s">
        <v>399</v>
      </c>
    </row>
    <row r="9" spans="1:1" ht="23.25" customHeight="1" x14ac:dyDescent="0.25">
      <c r="A9" s="36" t="s">
        <v>400</v>
      </c>
    </row>
    <row r="10" spans="1:1" ht="23.25" customHeight="1" x14ac:dyDescent="0.25">
      <c r="A10" s="36" t="s">
        <v>401</v>
      </c>
    </row>
    <row r="11" spans="1:1" ht="23.25" customHeight="1" x14ac:dyDescent="0.25">
      <c r="A11" s="36" t="s">
        <v>902</v>
      </c>
    </row>
    <row r="12" spans="1:1" ht="37.5" customHeight="1" x14ac:dyDescent="0.25">
      <c r="A12" s="36" t="s">
        <v>903</v>
      </c>
    </row>
    <row r="13" spans="1:1" ht="23.25" customHeight="1" x14ac:dyDescent="0.25">
      <c r="A13" s="36" t="s">
        <v>904</v>
      </c>
    </row>
    <row r="14" spans="1:1" ht="23.25" customHeight="1" x14ac:dyDescent="0.25">
      <c r="A14" s="36" t="s">
        <v>905</v>
      </c>
    </row>
    <row r="15" spans="1:1" ht="39.75" customHeight="1" x14ac:dyDescent="0.25">
      <c r="A15" s="36" t="s">
        <v>906</v>
      </c>
    </row>
    <row r="16" spans="1:1" ht="23.25" customHeight="1" x14ac:dyDescent="0.25">
      <c r="A16" s="36" t="s">
        <v>907</v>
      </c>
    </row>
    <row r="17" spans="1:1" ht="38.25" customHeight="1" x14ac:dyDescent="0.25">
      <c r="A17" s="36" t="s">
        <v>908</v>
      </c>
    </row>
    <row r="18" spans="1:1" ht="53.25" customHeight="1" x14ac:dyDescent="0.25">
      <c r="A18" s="36" t="s">
        <v>909</v>
      </c>
    </row>
    <row r="19" spans="1:1" ht="53.25" customHeight="1" x14ac:dyDescent="0.25">
      <c r="A19" s="36" t="s">
        <v>910</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ColWidth="9.140625"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2" t="s">
        <v>803</v>
      </c>
      <c r="B1" s="61" t="s">
        <v>804</v>
      </c>
      <c r="C1" s="59">
        <f>'Enter field data'!B6</f>
        <v>42193</v>
      </c>
    </row>
    <row r="2" spans="1:5" s="39" customFormat="1" x14ac:dyDescent="0.25">
      <c r="A2" s="212"/>
      <c r="B2" s="61" t="s">
        <v>805</v>
      </c>
      <c r="C2" s="60" t="str">
        <f>'Enter field data'!$B$15</f>
        <v>0403020211</v>
      </c>
      <c r="E2" s="78" t="s">
        <v>866</v>
      </c>
    </row>
    <row r="3" spans="1:5" s="39" customFormat="1" x14ac:dyDescent="0.25">
      <c r="A3" s="48"/>
      <c r="B3" s="48"/>
      <c r="C3" s="49"/>
    </row>
    <row r="4" spans="1:5" hidden="1" x14ac:dyDescent="0.25">
      <c r="A4" s="37"/>
      <c r="B4" s="37" t="s">
        <v>41</v>
      </c>
      <c r="C4" s="50" t="str">
        <f>CONCATENATE(YEAR(C1),IF(MONTH(C1)&lt;10,"0"&amp;MONTH(C1),MONTH(C1)),IF(DAY(C1)&lt;10,"0"&amp;DAY(C1),DAY(C1)))</f>
        <v>20150708</v>
      </c>
    </row>
    <row r="5" spans="1:5" hidden="1" x14ac:dyDescent="0.25">
      <c r="A5" s="37"/>
      <c r="B5" s="37" t="s">
        <v>806</v>
      </c>
      <c r="C5" s="50" t="str">
        <f>CONCATENATE(YEAR(C1-30),IF(MONTH(C1-30)&lt;10,"0"&amp;MONTH(C1-30),MONTH(C1-30)),IF(DAY(C1-30)&lt;10,"0"&amp;DAY(C1-30),DAY(C1-30)))</f>
        <v>20150608</v>
      </c>
    </row>
    <row r="6" spans="1:5" hidden="1" x14ac:dyDescent="0.25">
      <c r="A6" s="37"/>
      <c r="B6" s="37" t="s">
        <v>807</v>
      </c>
      <c r="C6" s="50" t="str">
        <f>CONCATENATE(YEAR(C1-90),IF(MONTH(C1-90)&lt;10,"0"&amp;MONTH(C1-90),MONTH(C1-90)),IF(DAY(C1-90)&lt;10,"0"&amp;DAY(C1-90),DAY(C1-90)))</f>
        <v>20150409</v>
      </c>
    </row>
    <row r="7" spans="1:5" hidden="1" x14ac:dyDescent="0.25">
      <c r="A7" s="37"/>
      <c r="B7" s="37" t="s">
        <v>808</v>
      </c>
      <c r="C7" s="50" t="str">
        <f>CONCATENATE(YEAR(C1-365),IF(MONTH(C1-365)&lt;10,"0"&amp;MONTH(C1-365),MONTH(C1-365)),IF(DAY(C1-365)&lt;10,"0"&amp;DAY(C1-365),DAY(C1-365)))</f>
        <v>20140708</v>
      </c>
    </row>
    <row r="8" spans="1:5" hidden="1" x14ac:dyDescent="0.25">
      <c r="A8" s="37"/>
      <c r="B8" s="37" t="s">
        <v>809</v>
      </c>
      <c r="C8" s="50" t="str">
        <f>CONCATENATE(YEAR(C1-1460),IF(MONTH(C1-1460)&lt;10,"0"&amp;MONTH(C1-1460),MONTH(C1-1460)),IF(DAY(C1-1460)&lt;10,"0"&amp;DAY(C1-1460),DAY(C1-1460)))</f>
        <v>20110709</v>
      </c>
    </row>
    <row r="9" spans="1:5" hidden="1" x14ac:dyDescent="0.25">
      <c r="A9" s="37"/>
      <c r="B9" s="37" t="s">
        <v>810</v>
      </c>
      <c r="C9" s="50">
        <f>IF(MONTH($C$1)=4,DAY($C$1),0)+IF(MONTH($C$1)=5,30-DAY($C$1),0)</f>
        <v>0</v>
      </c>
    </row>
    <row r="10" spans="1:5" hidden="1" x14ac:dyDescent="0.25">
      <c r="A10" s="37"/>
      <c r="B10" s="37" t="s">
        <v>811</v>
      </c>
      <c r="C10" s="50">
        <f>IF(MONTH($C$1)=5,DAY($C$1),0)+IF(MONTH($C$1)=6,30-DAY($C$1),0)</f>
        <v>0</v>
      </c>
    </row>
    <row r="11" spans="1:5" hidden="1" x14ac:dyDescent="0.25">
      <c r="A11" s="37"/>
      <c r="B11" s="37" t="s">
        <v>812</v>
      </c>
      <c r="C11" s="50">
        <f>IF(MONTH($C$1)=6,DAY($C$1),0)+IF(MONTH($C$1)=7,30-DAY($C$1),0)</f>
        <v>22</v>
      </c>
    </row>
    <row r="12" spans="1:5" hidden="1" x14ac:dyDescent="0.25">
      <c r="A12" s="37"/>
      <c r="B12" s="37" t="s">
        <v>813</v>
      </c>
      <c r="C12" s="50">
        <f>IF(MONTH($C$1)=7,DAY($C$1),0)+IF(MONTH($C$1)=8,30-DAY($C$1),0)</f>
        <v>8</v>
      </c>
    </row>
    <row r="13" spans="1:5" hidden="1" x14ac:dyDescent="0.25">
      <c r="A13" s="37"/>
      <c r="B13" s="37" t="s">
        <v>814</v>
      </c>
      <c r="C13" s="50">
        <f>IF(MONTH($C$1)=8,DAY($C$1),0)+IF(MONTH($C$1)=9,30-DAY($C$1),0)</f>
        <v>0</v>
      </c>
    </row>
    <row r="14" spans="1:5" hidden="1" x14ac:dyDescent="0.25">
      <c r="A14" s="37"/>
      <c r="B14" s="37" t="s">
        <v>815</v>
      </c>
      <c r="C14" s="50">
        <f>IF(MONTH($C$1)=9,DAY($C$1),0)+IF(MONTH($C$1)=10,30-DAY($C$1),0)</f>
        <v>0</v>
      </c>
    </row>
    <row r="15" spans="1:5" hidden="1" x14ac:dyDescent="0.25">
      <c r="A15" s="37"/>
      <c r="B15" s="37" t="s">
        <v>816</v>
      </c>
      <c r="C15" s="50">
        <f>IF(MONTH($C$1)=10,DAY($C$1),0)+IF(MONTH($C$1)=11,30-DAY($C$1),0)</f>
        <v>0</v>
      </c>
    </row>
    <row r="16" spans="1:5" hidden="1" x14ac:dyDescent="0.25">
      <c r="A16" s="37"/>
      <c r="B16" s="37"/>
      <c r="C16" s="50"/>
    </row>
    <row r="17" spans="1:3" x14ac:dyDescent="0.25">
      <c r="A17" s="213" t="s">
        <v>817</v>
      </c>
      <c r="B17" s="58" t="s">
        <v>818</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3"/>
      <c r="B18" s="58" t="s">
        <v>819</v>
      </c>
      <c r="C18" s="56">
        <f>(VLOOKUP($C$2,temp!$A$1:$O$369,2,FALSE)*$C$9+VLOOKUP($C$2,temp!$A$1:$O$369,4,FALSE)*$C$10+VLOOKUP($C$2,temp!$A$1:$O$369,6,FALSE)*$C$11+VLOOKUP($C$2,temp!$A$1:$O$369,8,FALSE)*$C$12+VLOOKUP($C$2,temp!$A$1:$O$369,10,FALSE)*$C$13+VLOOKUP($C$2,temp!$A$1:$O$369,12,FALSE)*$C$14+VLOOKUP($C$2,temp!$A$1:$O$369,14,FALSE)*$C$15)/30</f>
        <v>17.298708666666666</v>
      </c>
    </row>
    <row r="19" spans="1:3" x14ac:dyDescent="0.25">
      <c r="A19" s="213"/>
      <c r="B19" s="58" t="s">
        <v>820</v>
      </c>
      <c r="C19" s="56">
        <f>(VLOOKUP($C$2,temp!$A$1:$O$369,3,FALSE)*$C$9+VLOOKUP($C$2,temp!$A$1:$O$369,5,FALSE)*$C$10+VLOOKUP($C$2,temp!$A$1:$O$369,7,FALSE)*$C$11+VLOOKUP($C$2,temp!$A$1:$O$369,9,FALSE)*$C$12+VLOOKUP($C$2,temp!$A$1:$O$369,11,FALSE)*$C$13+VLOOKUP($C$2,temp!$A$1:$O$369,13,FALSE)*$C$14+VLOOKUP($C$2,temp!$A$1:$O$369,15,FALSE)*$C$15)/30</f>
        <v>20.799674666666665</v>
      </c>
    </row>
    <row r="20" spans="1:3" x14ac:dyDescent="0.25">
      <c r="A20" s="213"/>
      <c r="B20" s="62" t="s">
        <v>821</v>
      </c>
      <c r="C20" s="63" t="e">
        <f>IF(C17&gt;C19,"WARM",IF(C17&lt;C18,"COOL","NO"))</f>
        <v>#DIV/0!</v>
      </c>
    </row>
    <row r="21" spans="1:3" x14ac:dyDescent="0.25">
      <c r="A21" s="37"/>
      <c r="B21" s="37"/>
      <c r="C21" s="50"/>
    </row>
    <row r="22" spans="1:3" x14ac:dyDescent="0.25">
      <c r="A22" s="213" t="s">
        <v>822</v>
      </c>
      <c r="B22" s="58" t="s">
        <v>823</v>
      </c>
      <c r="C22" s="57" t="e">
        <f>AVERAGEIFS('Enter weather'!$B:$B,'Enter weather'!$A:$A,"&lt;="&amp;$C$4,'Enter weather'!$A:$A,"&gt;="&amp;$C$5,'Enter weather'!$B:$B,"&lt;&gt;"&amp;-9999)</f>
        <v>#DIV/0!</v>
      </c>
    </row>
    <row r="23" spans="1:3" x14ac:dyDescent="0.25">
      <c r="A23" s="213"/>
      <c r="B23" s="58" t="s">
        <v>824</v>
      </c>
      <c r="C23" s="57" t="e">
        <f>AVERAGEIFS('Enter weather'!$B:$B,'Enter weather'!$A:$A,"&lt;="&amp;$C$5,'Enter weather'!$A:$A,"&gt;="&amp;$C$6,'Enter weather'!$B:$B,"&lt;&gt;"&amp;-9999)</f>
        <v>#DIV/0!</v>
      </c>
    </row>
    <row r="24" spans="1:3" x14ac:dyDescent="0.25">
      <c r="A24" s="213"/>
      <c r="B24" s="58" t="s">
        <v>825</v>
      </c>
      <c r="C24" s="57" t="e">
        <f>AVERAGEIFS('Enter weather'!$B:$B,'Enter weather'!$A:$A,"&lt;="&amp;$C$6,'Enter weather'!$A:$A,"&gt;="&amp;$C$7,'Enter weather'!$B:$B,"&lt;&gt;"&amp;-9999)</f>
        <v>#DIV/0!</v>
      </c>
    </row>
    <row r="25" spans="1:3" x14ac:dyDescent="0.25">
      <c r="A25" s="213"/>
      <c r="B25" s="58" t="s">
        <v>826</v>
      </c>
      <c r="C25" s="57" t="e">
        <f>AVERAGEIFS('Enter weather'!$B:$B,'Enter weather'!$A:$A,"&lt;="&amp;$C$7,'Enter weather'!$A:$A,"&gt;="&amp;$C$8,'Enter weather'!$B:$B,"&lt;&gt;"&amp;-9999)</f>
        <v>#DIV/0!</v>
      </c>
    </row>
    <row r="26" spans="1:3" x14ac:dyDescent="0.25">
      <c r="A26" s="213"/>
      <c r="B26" s="58" t="s">
        <v>827</v>
      </c>
      <c r="C26" s="57" t="e">
        <f>$C$22*0.4+$C$23*0.3+$C$24*0.15+$C$25*0.15</f>
        <v>#DIV/0!</v>
      </c>
    </row>
    <row r="27" spans="1:3" x14ac:dyDescent="0.25">
      <c r="A27" s="213"/>
      <c r="B27" s="58" t="s">
        <v>828</v>
      </c>
      <c r="C27" s="56">
        <f>(VLOOKUP($C$2,prcp!$A$1:$O$369,2,FALSE)*$C$9+VLOOKUP($C$2,prcp!$A$1:$O$369,4,FALSE)*$C$10+VLOOKUP($C$2,prcp!$A$1:$O$369,6,FALSE)*$C$11+VLOOKUP($C$2,prcp!$A$1:$O$369,8,FALSE)*$C$12+VLOOKUP($C$2,prcp!$A$1:$O$369,10,FALSE)*$C$13+VLOOKUP($C$2,prcp!$A$1:$O$369,12,FALSE)*$C$14+VLOOKUP($C$2,prcp!$A$1:$O$369,14,FALSE)*$C$15)/30</f>
        <v>1.9273744000000002</v>
      </c>
    </row>
    <row r="28" spans="1:3" x14ac:dyDescent="0.25">
      <c r="A28" s="213"/>
      <c r="B28" s="58" t="s">
        <v>829</v>
      </c>
      <c r="C28" s="56">
        <f>(VLOOKUP($C$2,prcp!$A$1:$O$369,3,FALSE)*$C$9+VLOOKUP($C$2,prcp!$A$1:$O$369,5,FALSE)*$C$10+VLOOKUP($C$2,prcp!$A$1:$O$369,7,FALSE)*$C$11+VLOOKUP($C$2,prcp!$A$1:$O$369,9,FALSE)*$C$12+VLOOKUP($C$2,prcp!$A$1:$O$369,11,FALSE)*$C$13+VLOOKUP($C$2,prcp!$A$1:$O$369,13,FALSE)*$C$14+VLOOKUP($C$2,prcp!$A$1:$O$369,15,FALSE)*$C$15)/30</f>
        <v>3.8268144666666668</v>
      </c>
    </row>
    <row r="29" spans="1:3" x14ac:dyDescent="0.25">
      <c r="A29" s="213"/>
      <c r="B29" s="62" t="s">
        <v>830</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ColWidth="9.140625" defaultRowHeight="15" x14ac:dyDescent="0.25"/>
  <cols>
    <col min="1" max="1" width="11" style="37" bestFit="1" customWidth="1"/>
    <col min="2" max="15" width="9.140625" style="38"/>
    <col min="16" max="16384" width="9.140625" style="37"/>
  </cols>
  <sheetData>
    <row r="1" spans="1:17" x14ac:dyDescent="0.25">
      <c r="A1" s="37" t="s">
        <v>406</v>
      </c>
      <c r="B1" s="38" t="s">
        <v>407</v>
      </c>
      <c r="C1" s="38" t="s">
        <v>408</v>
      </c>
      <c r="D1" s="38" t="s">
        <v>409</v>
      </c>
      <c r="E1" s="38" t="s">
        <v>410</v>
      </c>
      <c r="F1" s="38" t="s">
        <v>411</v>
      </c>
      <c r="G1" s="38" t="s">
        <v>412</v>
      </c>
      <c r="H1" s="38" t="s">
        <v>413</v>
      </c>
      <c r="I1" s="38" t="s">
        <v>414</v>
      </c>
      <c r="J1" s="38" t="s">
        <v>415</v>
      </c>
      <c r="K1" s="38" t="s">
        <v>416</v>
      </c>
      <c r="L1" s="38" t="s">
        <v>417</v>
      </c>
      <c r="M1" s="38" t="s">
        <v>418</v>
      </c>
      <c r="N1" s="38" t="s">
        <v>419</v>
      </c>
      <c r="O1" s="38" t="s">
        <v>420</v>
      </c>
    </row>
    <row r="2" spans="1:17" x14ac:dyDescent="0.25">
      <c r="A2" s="37" t="s">
        <v>421</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422</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423</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424</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425</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426</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427</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428</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429</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430</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431</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432</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433</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434</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435</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436</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437</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438</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439</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440</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441</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442</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443</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444</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445</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446</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447</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448</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449</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450</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451</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452</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453</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454</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455</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456</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457</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ht="14.45" x14ac:dyDescent="0.3">
      <c r="A39" s="37" t="s">
        <v>458</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459</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460</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461</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462</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463</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464</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465</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466</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467</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468</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469</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470</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471</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472</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473</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474</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475</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476</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477</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478</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479</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480</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481</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482</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483</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484</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485</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486</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487</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488</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489</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490</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491</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492</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493</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494</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495</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496</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497</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498</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499</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500</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501</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502</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503</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504</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505</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506</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507</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508</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509</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510</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511</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512</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513</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514</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515</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516</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517</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518</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519</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520</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521</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522</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523</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524</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525</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526</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527</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528</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529</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530</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531</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532</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533</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534</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535</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536</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537</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538</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539</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540</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541</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542</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543</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544</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545</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546</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547</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548</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549</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550</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551</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552</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553</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554</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555</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556</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557</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558</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559</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560</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561</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562</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563</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564</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565</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566</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567</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568</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569</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570</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571</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572</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573</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574</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575</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576</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577</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578</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579</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580</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581</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582</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583</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584</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585</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586</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587</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588</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589</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590</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591</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592</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593</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594</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595</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596</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597</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598</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599</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600</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601</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602</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603</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604</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605</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606</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607</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608</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609</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610</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611</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612</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613</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614</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615</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616</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617</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618</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619</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620</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621</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622</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623</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624</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625</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626</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627</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628</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629</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630</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631</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632</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633</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634</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635</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636</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637</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638</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639</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640</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641</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642</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643</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644</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645</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646</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647</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648</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649</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650</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651</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652</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653</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654</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655</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656</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657</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658</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659</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660</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661</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662</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663</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664</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665</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666</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667</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668</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669</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670</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671</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672</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673</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674</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675</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676</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677</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678</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679</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680</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681</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682</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683</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684</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685</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686</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687</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688</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689</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690</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691</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692</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693</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694</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695</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696</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697</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698</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699</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700</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701</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702</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703</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704</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705</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706</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707</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708</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709</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710</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711</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712</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713</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714</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715</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716</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717</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718</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719</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720</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721</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722</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723</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724</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725</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726</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727</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728</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729</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730</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731</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732</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733</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734</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735</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736</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737</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738</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739</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740</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741</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742</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743</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744</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745</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746</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747</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748</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749</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750</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751</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752</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753</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754</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755</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756</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757</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758</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759</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760</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761</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762</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763</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764</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765</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766</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767</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768</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769</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770</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771</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772</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773</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774</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775</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776</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777</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778</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779</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780</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781</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782</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783</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784</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785</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786</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787</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788</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40625"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406</v>
      </c>
      <c r="B1" s="38" t="s">
        <v>789</v>
      </c>
      <c r="C1" s="38" t="s">
        <v>790</v>
      </c>
      <c r="D1" s="38" t="s">
        <v>791</v>
      </c>
      <c r="E1" s="38" t="s">
        <v>792</v>
      </c>
      <c r="F1" s="38" t="s">
        <v>793</v>
      </c>
      <c r="G1" s="38" t="s">
        <v>794</v>
      </c>
      <c r="H1" s="38" t="s">
        <v>795</v>
      </c>
      <c r="I1" s="38" t="s">
        <v>796</v>
      </c>
      <c r="J1" s="38" t="s">
        <v>797</v>
      </c>
      <c r="K1" s="38" t="s">
        <v>798</v>
      </c>
      <c r="L1" s="38" t="s">
        <v>799</v>
      </c>
      <c r="M1" s="38" t="s">
        <v>800</v>
      </c>
      <c r="N1" s="38" t="s">
        <v>801</v>
      </c>
      <c r="O1" s="38" t="s">
        <v>802</v>
      </c>
    </row>
    <row r="2" spans="1:15" x14ac:dyDescent="0.25">
      <c r="A2" s="51" t="s">
        <v>421</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422</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423</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424</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425</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426</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427</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428</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429</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430</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431</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432</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433</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434</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435</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436</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437</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438</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439</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440</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441</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442</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443</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444</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445</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446</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447</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448</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449</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450</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451</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452</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453</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454</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455</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456</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457</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ht="14.45" x14ac:dyDescent="0.3">
      <c r="A39" s="51" t="s">
        <v>458</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459</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460</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461</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462</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463</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464</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465</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466</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467</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468</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469</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470</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471</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472</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473</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474</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475</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476</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477</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478</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479</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480</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481</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482</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483</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484</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485</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486</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487</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488</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489</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490</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491</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492</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493</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494</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495</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496</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497</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498</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499</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500</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501</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502</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503</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504</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505</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506</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507</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508</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509</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510</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511</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512</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513</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514</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515</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516</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517</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518</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519</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520</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521</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522</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523</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524</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525</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526</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527</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528</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529</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530</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531</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532</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533</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534</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535</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536</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537</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538</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539</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540</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541</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542</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543</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544</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545</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546</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547</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548</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549</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550</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551</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552</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553</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554</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555</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556</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557</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558</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559</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560</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561</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562</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563</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564</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565</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566</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567</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568</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569</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570</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571</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572</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573</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574</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575</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576</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577</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578</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579</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580</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581</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582</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583</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584</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585</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586</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587</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588</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589</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590</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591</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592</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593</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594</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595</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596</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597</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598</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599</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600</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601</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602</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603</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604</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605</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606</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607</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608</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609</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610</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611</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612</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613</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614</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615</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616</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617</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618</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619</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620</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621</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622</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623</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624</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625</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626</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627</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628</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629</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630</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631</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632</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633</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634</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635</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636</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637</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638</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639</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640</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641</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642</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643</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644</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645</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646</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647</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648</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649</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650</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651</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652</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653</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654</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655</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656</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657</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658</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659</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660</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661</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662</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663</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664</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665</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666</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667</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668</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669</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670</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671</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672</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673</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674</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675</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676</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677</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678</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679</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680</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681</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682</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683</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684</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685</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686</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687</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688</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689</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690</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691</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692</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693</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694</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695</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696</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697</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698</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699</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700</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701</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702</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703</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704</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705</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706</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707</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708</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709</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710</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711</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712</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713</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714</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715</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716</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717</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718</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719</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720</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721</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722</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723</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724</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725</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726</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727</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728</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729</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730</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731</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732</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733</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734</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735</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736</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737</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738</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739</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740</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741</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742</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743</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744</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745</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746</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747</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748</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749</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750</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751</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752</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753</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754</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755</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756</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757</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758</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759</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760</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761</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762</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763</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764</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765</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766</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767</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768</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769</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770</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771</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772</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773</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774</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775</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776</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777</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778</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779</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780</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781</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782</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783</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784</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785</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786</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787</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788</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6" workbookViewId="0">
      <selection activeCell="B35" sqref="B35"/>
    </sheetView>
  </sheetViews>
  <sheetFormatPr defaultColWidth="9.140625"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6384" width="9.140625" style="28"/>
  </cols>
  <sheetData>
    <row r="2" spans="1:10" x14ac:dyDescent="0.25">
      <c r="A2" s="2" t="s">
        <v>15</v>
      </c>
    </row>
    <row r="3" spans="1:10" x14ac:dyDescent="0.25">
      <c r="A3" s="214" t="s">
        <v>16</v>
      </c>
      <c r="B3" s="216" t="s">
        <v>18</v>
      </c>
      <c r="C3" s="217"/>
      <c r="D3" s="216" t="s">
        <v>17</v>
      </c>
      <c r="E3" s="217"/>
      <c r="F3" s="216" t="s">
        <v>19</v>
      </c>
      <c r="G3" s="217"/>
      <c r="J3" s="214" t="s">
        <v>381</v>
      </c>
    </row>
    <row r="4" spans="1:10" x14ac:dyDescent="0.25">
      <c r="A4" s="215"/>
      <c r="B4" s="5" t="s">
        <v>62</v>
      </c>
      <c r="C4" s="5" t="s">
        <v>63</v>
      </c>
      <c r="D4" s="5" t="s">
        <v>62</v>
      </c>
      <c r="E4" s="5" t="s">
        <v>63</v>
      </c>
      <c r="F4" s="5" t="s">
        <v>62</v>
      </c>
      <c r="G4" s="5" t="s">
        <v>63</v>
      </c>
      <c r="J4" s="215"/>
    </row>
    <row r="5" spans="1:10" x14ac:dyDescent="0.25">
      <c r="A5" s="29" t="s">
        <v>20</v>
      </c>
      <c r="B5" s="29" t="s">
        <v>26</v>
      </c>
      <c r="C5" s="29" t="s">
        <v>26</v>
      </c>
      <c r="D5" s="29" t="s">
        <v>26</v>
      </c>
      <c r="E5" s="29" t="s">
        <v>26</v>
      </c>
      <c r="F5" s="29" t="s">
        <v>26</v>
      </c>
      <c r="G5" s="29" t="s">
        <v>26</v>
      </c>
      <c r="J5" s="29" t="s">
        <v>20</v>
      </c>
    </row>
    <row r="6" spans="1:10" x14ac:dyDescent="0.25">
      <c r="A6" s="29" t="s">
        <v>6</v>
      </c>
      <c r="B6" s="8">
        <v>0.75</v>
      </c>
      <c r="C6" s="8">
        <v>1</v>
      </c>
      <c r="D6" s="8">
        <v>0</v>
      </c>
      <c r="E6" s="8">
        <v>0.25</v>
      </c>
      <c r="F6" s="8">
        <v>0</v>
      </c>
      <c r="G6" s="8">
        <v>0.05</v>
      </c>
      <c r="J6" s="29" t="s">
        <v>6</v>
      </c>
    </row>
    <row r="7" spans="1:10" x14ac:dyDescent="0.25">
      <c r="A7" s="29" t="s">
        <v>21</v>
      </c>
      <c r="B7" s="8">
        <v>0.05</v>
      </c>
      <c r="C7" s="8">
        <v>0.75</v>
      </c>
      <c r="D7" s="8">
        <v>0.25</v>
      </c>
      <c r="E7" s="8">
        <v>1</v>
      </c>
      <c r="F7" s="8">
        <v>0</v>
      </c>
      <c r="G7" s="8">
        <v>0.25</v>
      </c>
      <c r="J7" s="29" t="s">
        <v>21</v>
      </c>
    </row>
    <row r="8" spans="1:10" x14ac:dyDescent="0.25">
      <c r="A8" s="29" t="s">
        <v>22</v>
      </c>
      <c r="B8" s="8">
        <v>0.05</v>
      </c>
      <c r="C8" s="8">
        <v>0.75</v>
      </c>
      <c r="D8" s="8">
        <v>0.25</v>
      </c>
      <c r="E8" s="8">
        <v>1</v>
      </c>
      <c r="F8" s="8">
        <v>0</v>
      </c>
      <c r="G8" s="8">
        <v>0.25</v>
      </c>
      <c r="J8" s="29" t="s">
        <v>22</v>
      </c>
    </row>
    <row r="9" spans="1:10" x14ac:dyDescent="0.25">
      <c r="A9" s="29" t="s">
        <v>23</v>
      </c>
      <c r="B9" s="8">
        <v>0</v>
      </c>
      <c r="C9" s="8">
        <v>0.05</v>
      </c>
      <c r="D9" s="8">
        <v>0.25</v>
      </c>
      <c r="E9" s="8">
        <v>1</v>
      </c>
      <c r="F9" s="8">
        <v>0</v>
      </c>
      <c r="G9" s="8">
        <v>0.75</v>
      </c>
      <c r="J9" s="29" t="s">
        <v>23</v>
      </c>
    </row>
    <row r="10" spans="1:10" x14ac:dyDescent="0.25">
      <c r="A10" s="29" t="s">
        <v>24</v>
      </c>
      <c r="B10" s="8">
        <v>0</v>
      </c>
      <c r="C10" s="8">
        <v>0.05</v>
      </c>
      <c r="D10" s="8">
        <v>0.25</v>
      </c>
      <c r="E10" s="8">
        <v>1</v>
      </c>
      <c r="F10" s="8">
        <v>0</v>
      </c>
      <c r="G10" s="8">
        <v>0.75</v>
      </c>
      <c r="J10" s="29" t="s">
        <v>24</v>
      </c>
    </row>
    <row r="11" spans="1:10" x14ac:dyDescent="0.25">
      <c r="A11" s="29" t="s">
        <v>25</v>
      </c>
      <c r="B11" s="8">
        <v>0</v>
      </c>
      <c r="C11" s="8">
        <v>0.05</v>
      </c>
      <c r="D11" s="8">
        <v>0</v>
      </c>
      <c r="E11" s="8">
        <v>0.25</v>
      </c>
      <c r="F11" s="8">
        <v>0.75</v>
      </c>
      <c r="G11" s="8">
        <v>1</v>
      </c>
      <c r="J11" s="29" t="s">
        <v>25</v>
      </c>
    </row>
    <row r="12" spans="1:10" x14ac:dyDescent="0.25">
      <c r="A12" s="29" t="s">
        <v>58</v>
      </c>
      <c r="B12" s="8">
        <v>0</v>
      </c>
      <c r="C12" s="8">
        <v>0.05</v>
      </c>
      <c r="D12" s="8">
        <v>0</v>
      </c>
      <c r="E12" s="8">
        <v>0.25</v>
      </c>
      <c r="F12" s="8">
        <v>0.75</v>
      </c>
      <c r="G12" s="8">
        <v>1</v>
      </c>
      <c r="J12" s="29" t="s">
        <v>58</v>
      </c>
    </row>
    <row r="13" spans="1:10" ht="30" x14ac:dyDescent="0.25">
      <c r="A13" s="3" t="s">
        <v>57</v>
      </c>
      <c r="B13" s="8">
        <v>0</v>
      </c>
      <c r="C13" s="8">
        <v>0.05</v>
      </c>
      <c r="D13" s="8">
        <v>0</v>
      </c>
      <c r="E13" s="8">
        <v>0.25</v>
      </c>
      <c r="F13" s="8">
        <v>0.75</v>
      </c>
      <c r="G13" s="8">
        <v>1</v>
      </c>
      <c r="J13" s="3" t="s">
        <v>57</v>
      </c>
    </row>
    <row r="16" spans="1:10" x14ac:dyDescent="0.25">
      <c r="A16" s="2" t="s">
        <v>27</v>
      </c>
    </row>
    <row r="17" spans="1:7" x14ac:dyDescent="0.25">
      <c r="A17" s="214" t="s">
        <v>16</v>
      </c>
      <c r="B17" s="216" t="s">
        <v>9</v>
      </c>
      <c r="C17" s="217"/>
      <c r="D17" s="216" t="s">
        <v>10</v>
      </c>
      <c r="E17" s="217"/>
      <c r="F17" s="216" t="s">
        <v>11</v>
      </c>
      <c r="G17" s="217"/>
    </row>
    <row r="18" spans="1:7" x14ac:dyDescent="0.25">
      <c r="A18" s="215"/>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4" t="s">
        <v>16</v>
      </c>
      <c r="B31" s="216" t="s">
        <v>12</v>
      </c>
      <c r="C31" s="217"/>
      <c r="D31" s="216" t="s">
        <v>13</v>
      </c>
      <c r="E31" s="217"/>
      <c r="F31" s="216" t="s">
        <v>14</v>
      </c>
      <c r="G31" s="217"/>
    </row>
    <row r="32" spans="1:7" x14ac:dyDescent="0.25">
      <c r="A32" s="215"/>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3" sqref="A3:XFD3"/>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901</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873</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880</v>
      </c>
      <c r="C22" s="13" t="s">
        <v>43</v>
      </c>
      <c r="D22" s="13" t="s">
        <v>41</v>
      </c>
      <c r="E22" s="13" t="s">
        <v>46</v>
      </c>
      <c r="F22" s="13"/>
      <c r="G22" s="14"/>
      <c r="H22" s="13"/>
      <c r="I22" s="13"/>
      <c r="K22" s="13"/>
      <c r="L22" s="13"/>
    </row>
    <row r="23" spans="1:12" x14ac:dyDescent="0.25">
      <c r="A23" s="13" t="s">
        <v>875</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881</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ht="14.45" x14ac:dyDescent="0.3">
      <c r="A38" s="13" t="s">
        <v>882</v>
      </c>
      <c r="B38" s="14" t="s">
        <v>883</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884</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885</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886</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887</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888</v>
      </c>
      <c r="B51" s="14" t="s">
        <v>900</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889</v>
      </c>
      <c r="C53" s="13" t="s">
        <v>43</v>
      </c>
      <c r="D53" s="13" t="s">
        <v>40</v>
      </c>
      <c r="E53" s="13" t="s">
        <v>46</v>
      </c>
      <c r="F53" s="13"/>
      <c r="G53" s="14"/>
      <c r="H53" s="13"/>
      <c r="I53" s="13"/>
      <c r="K53" s="13"/>
      <c r="L53" s="13"/>
    </row>
    <row r="54" spans="1:12" x14ac:dyDescent="0.25">
      <c r="A54" s="13" t="s">
        <v>153</v>
      </c>
      <c r="B54" s="14" t="s">
        <v>890</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891</v>
      </c>
      <c r="C59" s="13" t="s">
        <v>42</v>
      </c>
      <c r="D59" s="13" t="s">
        <v>41</v>
      </c>
      <c r="E59" s="13" t="s">
        <v>46</v>
      </c>
      <c r="F59" s="13"/>
      <c r="G59" s="14"/>
      <c r="H59" s="13"/>
      <c r="I59" s="13"/>
      <c r="K59" s="13"/>
      <c r="L59" s="13"/>
    </row>
    <row r="60" spans="1:12" x14ac:dyDescent="0.25">
      <c r="A60" s="13" t="s">
        <v>163</v>
      </c>
      <c r="B60" s="14" t="s">
        <v>892</v>
      </c>
      <c r="C60" s="13" t="s">
        <v>43</v>
      </c>
      <c r="D60" s="13" t="s">
        <v>41</v>
      </c>
      <c r="E60" s="13" t="s">
        <v>46</v>
      </c>
      <c r="F60" s="13"/>
      <c r="G60" s="14"/>
      <c r="H60" s="13"/>
      <c r="I60" s="13"/>
      <c r="K60" s="13"/>
      <c r="L60" s="13"/>
    </row>
    <row r="61" spans="1:12" x14ac:dyDescent="0.25">
      <c r="A61" s="13" t="s">
        <v>164</v>
      </c>
      <c r="B61" s="14" t="s">
        <v>893</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894</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895</v>
      </c>
      <c r="B74" s="14" t="s">
        <v>896</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897</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879</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898</v>
      </c>
      <c r="B142" s="14" t="s">
        <v>899</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Dickmann, Jake C</cp:lastModifiedBy>
  <cp:lastPrinted>2014-05-02T22:32:20Z</cp:lastPrinted>
  <dcterms:created xsi:type="dcterms:W3CDTF">2013-05-15T16:35:53Z</dcterms:created>
  <dcterms:modified xsi:type="dcterms:W3CDTF">2017-04-03T20:24:03Z</dcterms:modified>
</cp:coreProperties>
</file>