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J29" i="1"/>
  <c r="C29" i="9"/>
  <c r="D100" i="4" s="1"/>
  <c r="O30" i="1"/>
  <c r="J30" i="1"/>
  <c r="M29" i="1"/>
  <c r="F29" i="1" s="1"/>
  <c r="G31" i="1"/>
  <c r="J31" i="1" s="1"/>
  <c r="N29" i="1"/>
  <c r="O29" i="1"/>
  <c r="L31" i="1"/>
  <c r="M34" i="1"/>
  <c r="F34" i="1" s="1"/>
  <c r="M23" i="1"/>
  <c r="F23" i="1" s="1"/>
  <c r="J53" i="1"/>
  <c r="I53" i="1"/>
  <c r="H53" i="1"/>
  <c r="J51" i="1"/>
  <c r="I51" i="1"/>
  <c r="H51" i="1"/>
  <c r="J49" i="1"/>
  <c r="I49" i="1"/>
  <c r="H49" i="1"/>
  <c r="J47" i="1"/>
  <c r="I47" i="1"/>
  <c r="H47" i="1"/>
  <c r="J45" i="1"/>
  <c r="I45" i="1"/>
  <c r="H45" i="1"/>
  <c r="J41" i="1"/>
  <c r="H41" i="1"/>
  <c r="H40" i="1"/>
  <c r="H35" i="1"/>
  <c r="H33" i="1"/>
  <c r="H26" i="1"/>
  <c r="M21" i="1"/>
  <c r="L52" i="1"/>
  <c r="N52" i="1"/>
  <c r="K52" i="1"/>
  <c r="L50" i="1"/>
  <c r="N50" i="1"/>
  <c r="K50" i="1"/>
  <c r="L48" i="1"/>
  <c r="N48" i="1"/>
  <c r="K48" i="1"/>
  <c r="L46" i="1"/>
  <c r="N46" i="1"/>
  <c r="K46" i="1"/>
  <c r="L44" i="1"/>
  <c r="N44" i="1"/>
  <c r="K44" i="1"/>
  <c r="L42" i="1"/>
  <c r="N42" i="1"/>
  <c r="K42" i="1"/>
  <c r="L40" i="1"/>
  <c r="K40" i="1"/>
  <c r="N35" i="1"/>
  <c r="K35" i="1"/>
  <c r="G35" i="1"/>
  <c r="J35" i="1" s="1"/>
  <c r="L35" i="1"/>
  <c r="G33" i="1"/>
  <c r="I33" i="1" s="1"/>
  <c r="K33" i="1"/>
  <c r="N27" i="1"/>
  <c r="K27" i="1"/>
  <c r="N25" i="1"/>
  <c r="Q52" i="1"/>
  <c r="P52" i="1"/>
  <c r="O52" i="1"/>
  <c r="Q50" i="1"/>
  <c r="P50" i="1"/>
  <c r="O50" i="1"/>
  <c r="Q48" i="1"/>
  <c r="P48" i="1"/>
  <c r="O48" i="1"/>
  <c r="Q46" i="1"/>
  <c r="P46" i="1"/>
  <c r="O46" i="1"/>
  <c r="Q44" i="1"/>
  <c r="P44" i="1"/>
  <c r="O44" i="1"/>
  <c r="P42" i="1"/>
  <c r="O42" i="1"/>
  <c r="Q40" i="1"/>
  <c r="P40" i="1"/>
  <c r="Q35" i="1"/>
  <c r="P35" i="1"/>
  <c r="O35" i="1"/>
  <c r="Q33" i="1"/>
  <c r="O33" i="1"/>
  <c r="Q28" i="1"/>
  <c r="O26" i="1"/>
  <c r="Q38" i="1"/>
  <c r="P38" i="1"/>
  <c r="O38" i="1"/>
  <c r="J38" i="1"/>
  <c r="I38" i="1"/>
  <c r="H38" i="1"/>
  <c r="Q37" i="1"/>
  <c r="O37" i="1"/>
  <c r="Q36" i="1"/>
  <c r="P36" i="1"/>
  <c r="J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L26" i="1"/>
  <c r="G26" i="1"/>
  <c r="J26" i="1" s="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Q27" i="1"/>
  <c r="O27" i="1"/>
  <c r="O25" i="1"/>
  <c r="Q23" i="1"/>
  <c r="P23" i="1"/>
  <c r="O23" i="1"/>
  <c r="L38" i="1"/>
  <c r="N38" i="1"/>
  <c r="K38" i="1"/>
  <c r="N37" i="1"/>
  <c r="K37" i="1"/>
  <c r="G37" i="1"/>
  <c r="P37" i="1" s="1"/>
  <c r="I37" i="1"/>
  <c r="H37" i="1"/>
  <c r="L36" i="1"/>
  <c r="K36" i="1"/>
  <c r="G22" i="1"/>
  <c r="I22" i="1" s="1"/>
  <c r="G52" i="1"/>
  <c r="G48" i="1"/>
  <c r="G44" i="1"/>
  <c r="G40" i="1"/>
  <c r="J40" i="1" s="1"/>
  <c r="G36" i="1"/>
  <c r="N36" i="1" s="1"/>
  <c r="G32" i="1"/>
  <c r="J32" i="1" s="1"/>
  <c r="G25" i="1"/>
  <c r="L25" i="1" s="1"/>
  <c r="H50" i="1"/>
  <c r="H46" i="1"/>
  <c r="N23" i="1"/>
  <c r="L23" i="1"/>
  <c r="K23" i="1"/>
  <c r="H21" i="1" l="1"/>
  <c r="O28" i="1"/>
  <c r="I26" i="1"/>
  <c r="K26" i="1"/>
  <c r="I35" i="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<sst xmlns="http://schemas.openxmlformats.org/spreadsheetml/2006/main" count="2122" uniqueCount="930">
  <si>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</si>
  <si>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</si>
  <si>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</si>
  <si>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</si>
  <si>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</si>
  <si>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</si>
  <si>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</si>
  <si>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</si>
  <si>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</si>
  <si>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</si>
  <si>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</si>
  <si>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</si>
  <si>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</si>
  <si>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</si>
  <si>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</si>
  <si>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</si>
  <si>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</si>
  <si>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</si>
  <si>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</si>
  <si>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</si>
  <si>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</si>
  <si>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</si>
  <si>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</si>
  <si>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</si>
  <si>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</si>
  <si>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</si>
  <si>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</si>
  <si>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</si>
  <si>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</si>
  <si>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</si>
  <si>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</si>
  <si>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</si>
  <si>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</si>
  <si>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</si>
  <si>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</si>
  <si>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</si>
  <si>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</si>
  <si>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</si>
  <si>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</si>
  <si>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</si>
  <si>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</si>
  <si>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</si>
  <si>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</si>
  <si>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</si>
  <si>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</si>
  <si>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</si>
  <si>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</si>
  <si>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</si>
  <si>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</si>
  <si>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</si>
  <si>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</si>
  <si>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</si>
  <si>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</si>
  <si>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</si>
  <si>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</si>
  <si>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</si>
  <si>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</si>
  <si>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</si>
  <si>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</si>
  <si>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</si>
  <si>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</si>
  <si>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</si>
  <si>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</si>
  <si>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</si>
  <si>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</si>
  <si>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</si>
  <si>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</si>
  <si>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</si>
  <si>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</si>
  <si>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</si>
  <si>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</si>
  <si>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</si>
  <si>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</si>
  <si>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</si>
  <si>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</si>
  <si>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</si>
  <si>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</si>
  <si>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</si>
  <si>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</si>
  <si>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</si>
  <si>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</si>
  <si>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</si>
  <si>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</si>
  <si>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</si>
  <si>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</si>
  <si>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</si>
  <si>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</si>
  <si>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</si>
  <si>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</si>
  <si>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</si>
  <si>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</si>
  <si>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</si>
  <si>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</si>
  <si>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</si>
  <si>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</si>
  <si>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</si>
  <si>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</si>
  <si>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</si>
  <si>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</si>
  <si>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</si>
  <si>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</si>
  <si>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</si>
  <si>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</si>
  <si>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</si>
  <si>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</si>
  <si>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</si>
  <si>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</si>
  <si>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</si>
  <si>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</si>
  <si>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</si>
  <si>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</si>
  <si>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</si>
  <si>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</si>
  <si>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</si>
  <si>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</si>
  <si>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</si>
  <si>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</si>
  <si>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</si>
  <si>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</si>
  <si>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</si>
  <si>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</si>
  <si>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</si>
  <si>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</si>
  <si>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</si>
  <si>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</si>
  <si>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</si>
  <si>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</si>
  <si>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</si>
  <si>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</si>
  <si>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</si>
  <si>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</si>
  <si>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</si>
  <si>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</si>
  <si>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</si>
  <si>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</si>
  <si>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</si>
  <si>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</si>
  <si>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</si>
  <si>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</si>
  <si>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</si>
  <si>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</si>
  <si>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</si>
  <si>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</si>
  <si>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</si>
  <si>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</si>
  <si>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</si>
  <si>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</si>
  <si>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</si>
  <si>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</si>
  <si>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</si>
  <si>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</si>
  <si>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</si>
  <si>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</si>
  <si>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</si>
  <si>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</si>
  <si>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</si>
  <si>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</si>
  <si>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</si>
  <si>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</si>
  <si>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</si>
  <si>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</si>
  <si>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</si>
  <si>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</si>
  <si>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</si>
  <si>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</si>
  <si>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</si>
  <si>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</si>
  <si>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</si>
  <si>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</si>
  <si>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</si>
  <si>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</si>
  <si>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</si>
  <si>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</si>
  <si>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</si>
  <si>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</si>
  <si>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</si>
  <si>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</si>
  <si>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</si>
  <si>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</si>
  <si>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</si>
  <si>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</si>
  <si>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</si>
  <si>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</si>
  <si>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</si>
  <si>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</si>
  <si>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</si>
  <si>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</si>
  <si>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</si>
  <si>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</si>
  <si>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</si>
  <si>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</si>
  <si>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</si>
  <si>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</si>
  <si>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</si>
  <si>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</si>
  <si>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</si>
  <si>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</si>
  <si>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</si>
  <si>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</si>
  <si>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</si>
  <si>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</si>
  <si>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</si>
  <si>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</si>
  <si>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</si>
  <si>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</si>
  <si>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</si>
  <si>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</si>
  <si>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</si>
  <si>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</si>
  <si>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</si>
  <si>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</si>
  <si>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</si>
  <si>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</si>
  <si>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</si>
  <si>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</si>
  <si>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</si>
  <si>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</si>
  <si>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</si>
  <si>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</si>
  <si>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</si>
  <si>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</si>
  <si>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</si>
  <si>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</si>
  <si>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</si>
  <si>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</si>
  <si>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</si>
  <si>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</si>
  <si>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</si>
  <si>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</si>
  <si>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</si>
  <si>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</si>
  <si>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</si>
  <si>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</si>
  <si>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</si>
  <si>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</si>
  <si>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</si>
  <si>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</si>
  <si>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</si>
  <si>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</si>
  <si>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</si>
  <si>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</si>
  <si>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</si>
  <si>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</si>
  <si>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</si>
  <si>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</si>
  <si>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</si>
  <si>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</si>
  <si>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</si>
  <si>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</si>
  <si>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</si>
  <si>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</si>
  <si>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</si>
  <si>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</si>
  <si>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</si>
  <si>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</si>
  <si>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</si>
  <si>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</si>
  <si>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</si>
  <si>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</si>
  <si>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</si>
  <si>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</si>
  <si>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</si>
  <si>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</si>
  <si>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</si>
  <si>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</si>
  <si>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</si>
  <si>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</si>
  <si>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</si>
  <si>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</si>
  <si>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</si>
  <si>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</si>
  <si>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</si>
  <si>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</si>
  <si>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</si>
  <si>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</si>
  <si>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</si>
  <si>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</si>
  <si>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</si>
  <si>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</si>
  <si>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</si>
  <si>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</si>
  <si>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</si>
  <si>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</si>
  <si>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</si>
  <si>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</si>
  <si>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</si>
  <si>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</si>
  <si>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</si>
  <si>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</si>
  <si>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</si>
  <si>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</si>
  <si>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</si>
  <si>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</si>
  <si>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</si>
  <si>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</si>
  <si>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</si>
  <si>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</si>
  <si>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</si>
  <si>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</si>
  <si>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</si>
  <si>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</si>
  <si>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</si>
  <si>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</si>
  <si>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</si>
  <si>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</si>
  <si>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</si>
  <si>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</si>
  <si>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</si>
  <si>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</si>
  <si>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</si>
  <si>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</si>
  <si>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</si>
  <si>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</si>
  <si>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</si>
  <si>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</si>
  <si>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</si>
  <si>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</si>
  <si>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</si>
  <si>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</si>
  <si>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</si>
  <si>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</si>
  <si>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</si>
  <si>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</si>
  <si>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</si>
  <si>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</si>
  <si>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</si>
  <si>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</si>
  <si>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</si>
  <si>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</si>
  <si>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</si>
  <si>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</si>
  <si>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</si>
  <si>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</si>
  <si>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</si>
  <si>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</si>
  <si>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</si>
  <si>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</si>
  <si>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</si>
  <si>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</si>
  <si>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</si>
  <si>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</si>
  <si>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</si>
  <si>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</si>
  <si>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</si>
  <si>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</si>
  <si>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</si>
  <si>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</si>
  <si>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</si>
  <si>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</si>
  <si>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</si>
  <si>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</si>
  <si>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</si>
  <si>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</si>
  <si>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</si>
  <si>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</si>
  <si>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</si>
  <si>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</si>
  <si>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</si>
  <si>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</si>
  <si>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</si>
  <si>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</si>
  <si>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</si>
  <si>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</si>
  <si>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</si>
  <si>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</si>
  <si>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</si>
  <si>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</si>
  <si>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</si>
  <si>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</si>
  <si>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</si>
  <si>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</si>
  <si>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</si>
  <si>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</si>
  <si>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</si>
  <si>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</si>
  <si>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</si>
  <si>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</si>
  <si>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</si>
  <si>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</si>
  <si>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</si>
  <si>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</si>
  <si>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</si>
  <si>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</si>
  <si>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</si>
  <si>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</si>
  <si>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</si>
  <si>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</si>
  <si>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</si>
  <si>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</si>
  <si>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</si>
  <si>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</si>
  <si>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</si>
  <si>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</si>
  <si>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</si>
  <si>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</si>
  <si>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</si>
  <si>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</si>
  <si>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</si>
  <si>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</si>
  <si>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</si>
  <si>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</si>
  <si>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</si>
  <si>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</si>
  <si>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</si>
  <si>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</si>
  <si>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</si>
  <si>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</si>
  <si>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</si>
  <si>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</si>
  <si>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</si>
  <si>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</si>
  <si>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</si>
  <si>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</si>
  <si>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</si>
  <si>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</si>
  <si>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</si>
  <si>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</si>
  <si>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</si>
  <si>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</si>
  <si>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</si>
  <si>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</si>
  <si>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</si>
  <si>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</si>
  <si>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</si>
  <si>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</si>
  <si>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</si>
  <si>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</si>
  <si>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</si>
  <si>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</si>
  <si>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</si>
  <si>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</si>
  <si>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</si>
  <si>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</si>
  <si>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</si>
  <si>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</si>
  <si>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</si>
  <si>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</si>
  <si>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</si>
  <si>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</si>
  <si>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</si>
  <si>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</si>
  <si>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</si>
  <si>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</si>
  <si>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</si>
  <si>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</si>
  <si>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</si>
  <si>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</si>
  <si>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</si>
  <si>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</si>
  <si>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</si>
  <si>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</si>
  <si>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</si>
  <si>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</si>
  <si>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</si>
  <si>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</si>
  <si>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</si>
  <si>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</si>
  <si>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</si>
  <si>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</si>
  <si>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</si>
  <si>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</si>
  <si>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</si>
  <si>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</si>
  <si>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</si>
  <si>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</si>
  <si>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</si>
  <si>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</si>
  <si>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</si>
  <si>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</si>
  <si>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</si>
  <si>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</si>
  <si>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</si>
  <si>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</si>
  <si>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</si>
  <si>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</si>
  <si>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</si>
  <si>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</si>
  <si>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</si>
  <si>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</si>
  <si>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</si>
  <si>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</si>
  <si>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</si>
  <si>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</si>
  <si>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</si>
  <si>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</si>
  <si>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</si>
  <si>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</si>
  <si>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</si>
  <si>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</si>
  <si>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</si>
  <si>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</si>
  <si>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</si>
  <si>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</si>
  <si>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</si>
  <si>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</si>
  <si>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</si>
  <si>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</si>
  <si>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</si>
  <si>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</si>
  <si>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</si>
  <si>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</si>
  <si>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</si>
  <si>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</si>
  <si>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</si>
  <si>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</si>
  <si>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</si>
  <si>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</si>
  <si>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</si>
  <si>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</si>
  <si>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</si>
  <si>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</si>
  <si>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</si>
  <si>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</si>
  <si>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</si>
  <si>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</si>
  <si>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</si>
  <si>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</si>
  <si>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</si>
  <si>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</si>
  <si>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</si>
  <si>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</si>
  <si>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</si>
  <si>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</si>
  <si>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</si>
  <si>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</si>
  <si>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</si>
  <si>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</si>
  <si>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</si>
  <si>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</si>
  <si>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</si>
  <si>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</si>
  <si>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</si>
  <si>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</si>
  <si>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</si>
  <si>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</si>
  <si>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</si>
  <si>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</si>
  <si>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</si>
  <si>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</si>
  <si>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</si>
  <si>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</si>
  <si>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</si>
  <si>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</si>
  <si>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</si>
  <si>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</si>
  <si>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</si>
  <si>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</si>
  <si>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</si>
  <si>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</si>
  <si>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</si>
  <si>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</si>
  <si>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</si>
  <si>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</si>
  <si>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</si>
  <si>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</si>
  <si>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</si>
  <si>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</si>
  <si>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</si>
  <si>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</si>
  <si>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</si>
  <si>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</si>
  <si>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</si>
  <si>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</si>
  <si>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</si>
  <si>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</si>
  <si>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</si>
  <si>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</si>
  <si>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</si>
  <si>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</si>
  <si>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</si>
  <si>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</si>
  <si>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</si>
  <si>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</si>
  <si>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</si>
  <si>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</si>
  <si>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</si>
  <si>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</si>
  <si>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</si>
  <si>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</si>
  <si>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</si>
  <si>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</si>
  <si>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</si>
  <si>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</si>
  <si>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</si>
  <si>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</si>
  <si>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</si>
  <si>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</si>
  <si>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</si>
  <si>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</si>
  <si>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</si>
  <si>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</si>
  <si>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</si>
  <si>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</si>
  <si>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</si>
  <si>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</si>
  <si>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</si>
  <si>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</si>
  <si>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</si>
  <si>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</si>
  <si>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</si>
  <si>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</si>
  <si>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</si>
  <si>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</si>
  <si>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</si>
  <si>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</si>
  <si>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</si>
  <si>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</si>
  <si>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</si>
  <si>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</si>
  <si>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</si>
  <si>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</si>
  <si>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</si>
  <si>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</si>
  <si>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</si>
  <si>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</si>
  <si>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</si>
  <si>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</si>
  <si>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</si>
  <si>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</si>
  <si>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</si>
  <si>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</si>
  <si>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</si>
  <si>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</si>
  <si>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</si>
  <si>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</si>
  <si>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</si>
  <si>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</si>
  <si>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</si>
  <si>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</si>
  <si>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</si>
  <si>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</si>
  <si>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</si>
  <si>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</si>
  <si>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</si>
  <si>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</si>
  <si>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</si>
  <si>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</si>
  <si>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</si>
  <si>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</si>
  <si>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</si>
  <si>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</si>
  <si>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</si>
  <si>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</si>
  <si>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</si>
  <si>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</si>
  <si>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</si>
  <si>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</si>
  <si>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</si>
  <si>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</si>
  <si>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</si>
  <si>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</si>
  <si>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</si>
  <si>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</si>
  <si>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</si>
  <si>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</si>
  <si>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</si>
  <si>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</si>
  <si>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</si>
  <si>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</si>
  <si>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</si>
  <si>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</si>
  <si>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</si>
  <si>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</si>
  <si>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</si>
  <si>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</si>
  <si>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</si>
  <si>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</si>
  <si>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</si>
  <si>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</si>
  <si>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</si>
  <si>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</si>
  <si>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</si>
  <si>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</si>
  <si>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</si>
  <si>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</si>
  <si>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</si>
  <si>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</si>
  <si>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</si>
  <si>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</si>
  <si>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</si>
  <si>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</si>
  <si>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</si>
  <si>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</si>
  <si>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</si>
  <si>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</si>
  <si>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</si>
  <si>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</si>
  <si>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</si>
  <si>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</si>
  <si>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</si>
  <si>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</si>
  <si>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</si>
  <si>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</si>
  <si>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</si>
  <si>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</si>
  <si>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</si>
  <si>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</si>
  <si>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</si>
  <si>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</si>
  <si>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</si>
  <si>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</si>
  <si>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</si>
  <si>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</si>
  <si>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</si>
  <si>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</si>
  <si>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</si>
  <si>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</si>
  <si>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</si>
  <si>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</si>
  <si>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</si>
  <si>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</si>
  <si>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</si>
  <si>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</si>
  <si>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</si>
  <si>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</si>
  <si>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</si>
  <si>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</si>
  <si>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</si>
  <si>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</si>
  <si>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</si>
  <si>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</si>
  <si>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</si>
  <si>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</si>
  <si>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</si>
  <si>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</si>
  <si>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</si>
  <si>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</si>
  <si>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</si>
  <si>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</si>
  <si>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</si>
  <si>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</si>
  <si>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</si>
  <si>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</si>
  <si>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</si>
  <si>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</si>
  <si>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</si>
  <si>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</si>
  <si>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</si>
  <si>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</si>
  <si>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</si>
  <si>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</si>
  <si>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</si>
  <si>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</si>
  <si>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</si>
  <si>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</si>
  <si>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</si>
  <si>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</si>
  <si>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</si>
  <si>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</si>
  <si>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</si>
  <si>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</si>
  <si>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</si>
  <si>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</si>
  <si>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</si>
  <si>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</si>
  <si>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</si>
  <si>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</si>
  <si>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</si>
  <si>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</si>
  <si>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</si>
  <si>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</si>
  <si>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</si>
  <si>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</si>
  <si>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</si>
  <si>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</si>
  <si>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</si>
  <si>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</si>
  <si>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</si>
  <si>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</si>
  <si>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</si>
  <si>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</si>
  <si>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</si>
  <si>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</si>
  <si>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</si>
  <si>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</si>
  <si>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</si>
  <si>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</si>
  <si>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</si>
  <si>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</si>
  <si>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</si>
  <si>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</si>
  <si>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</si>
  <si>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</si>
  <si>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</si>
  <si>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</si>
  <si>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</si>
  <si>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</si>
  <si>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</si>
  <si>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</si>
  <si>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</si>
  <si>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</si>
  <si>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</si>
  <si>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</si>
  <si>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</si>
  <si>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</si>
  <si>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</si>
  <si>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</si>
  <si>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</si>
  <si>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</si>
  <si>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</si>
  <si>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</si>
  <si>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</si>
  <si>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</si>
  <si>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</si>
  <si>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</si>
  <si>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</si>
  <si>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</si>
  <si>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</si>
  <si>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</si>
  <si>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</si>
  <si>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</si>
  <si>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</si>
  <si>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</si>
  <si>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</si>
  <si>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</si>
  <si>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</si>
  <si>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</si>
  <si>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</si>
  <si>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</si>
  <si>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</si>
  <si>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</si>
  <si>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</si>
  <si>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</si>
  <si>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</si>
  <si>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</si>
  <si>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</si>
  <si>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</si>
  <si>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</si>
  <si>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</si>
  <si>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</si>
  <si>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</si>
  <si>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</si>
  <si>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</si>
  <si>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</si>
  <si>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</si>
  <si>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</si>
  <si>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</si>
  <si>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</si>
  <si>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</si>
  <si>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</si>
  <si>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</si>
  <si>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</si>
  <si>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</si>
  <si>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</si>
  <si>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</si>
  <si>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</si>
  <si>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</si>
  <si>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</si>
  <si>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</si>
  <si>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</si>
  <si>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</si>
  <si>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</si>
  <si>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</si>
  <si>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</si>
  <si>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</si>
  <si>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</si>
  <si>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</si>
  <si>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</si>
  <si>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</si>
  <si>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</si>
  <si>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</si>
  <si>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</si>
  <si>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</si>
  <si>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</si>
  <si>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</si>
  <si>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</si>
  <si>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</si>
  <si>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</si>
  <si>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</si>
  <si>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</si>
  <si>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</si>
  <si>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</si>
  <si>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</si>
  <si>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</si>
  <si>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</si>
  <si>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</si>
  <si>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</si>
  <si>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</si>
  <si>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</si>
  <si>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</si>
  <si>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</si>
  <si>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</si>
  <si>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</si>
  <si>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</si>
  <si>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</si>
  <si>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</si>
  <si>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</si>
  <si>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</si>
  <si>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</si>
  <si>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</si>
  <si>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</si>
  <si>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</si>
  <si>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</si>
  <si>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</si>
  <si>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</si>
  <si>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</si>
  <si>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</si>
  <si>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</si>
  <si>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</si>
  <si>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</si>
  <si>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</si>
  <si>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</si>
  <si>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</si>
  <si>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</si>
  <si>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</si>
  <si>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</si>
  <si>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</si>
  <si>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</si>
  <si>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</si>
  <si>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</si>
  <si>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</si>
  <si>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</si>
  <si>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</si>
  <si>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</si>
  <si>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</si>
  <si>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</si>
  <si>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</si>
  <si>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</si>
  <si>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</si>
  <si>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</si>
  <si>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</si>
  <si>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</si>
  <si>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</si>
  <si>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Central mudminnow</t>
  </si>
  <si>
    <t>Creek chub</t>
  </si>
  <si>
    <t>Verified as correct</t>
  </si>
  <si>
    <t>Brook trout</t>
  </si>
  <si>
    <t>Unnamed Trib to Pigeon Lake</t>
  </si>
  <si>
    <t>Unnamed Trib to N Br Pigeon River US Knitt Road</t>
  </si>
  <si>
    <t>D. Bolha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</si>
</sst>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23">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0" xfId="0" applyFill="1" applyBorder="1" applyAlignment="1" applyProtection="1">
      <alignment vertical="top"/>
      <protection locked="0"/>
    </xf>
    <xf numFmtId="0" fontId="0" fillId="5" borderId="2" xfId="0" applyFill="1" applyBorder="1" applyAlignment="1" applyProtection="1">
      <alignment vertical="top"/>
      <protection locked="0"/>
    </xf>
    <xf numFmtId="0" fontId="0" fillId="5" borderId="7"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0" borderId="2" xfId="0" applyBorder="1" applyAlignment="1" applyProtection="1">
      <alignment wrapText="1"/>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A23" sqref="A23"/>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62" t="s">
        <v>929</v>
      </c>
      <c r="C4" s="163"/>
      <c r="D4" s="164"/>
      <c r="F4" s="2" t="s">
        <v>837</v>
      </c>
    </row>
    <row r="5" spans="1:20" x14ac:dyDescent="0.25">
      <c r="A5" s="1" t="s">
        <v>833</v>
      </c>
      <c r="B5" s="179">
        <v>42824</v>
      </c>
      <c r="C5" s="180"/>
      <c r="D5" s="181"/>
      <c r="F5" s="82"/>
      <c r="G5" s="28"/>
      <c r="H5" s="28"/>
      <c r="I5" s="28"/>
      <c r="J5" s="28"/>
      <c r="K5" s="28"/>
      <c r="L5" s="28"/>
      <c r="M5" s="28"/>
      <c r="N5" s="28"/>
      <c r="O5" s="28"/>
      <c r="P5" s="28"/>
      <c r="Q5" s="28"/>
      <c r="R5" s="28" t="s">
        <v>868</v>
      </c>
    </row>
    <row r="6" spans="1:20" x14ac:dyDescent="0.25">
      <c r="A6" s="1" t="s">
        <v>831</v>
      </c>
      <c r="B6" s="176">
        <v>41086</v>
      </c>
      <c r="C6" s="177"/>
      <c r="D6" s="178"/>
      <c r="F6" s="26"/>
      <c r="G6" s="28"/>
      <c r="H6" s="28"/>
      <c r="I6" s="28"/>
      <c r="J6" s="28"/>
      <c r="K6" s="28"/>
      <c r="L6" s="28"/>
      <c r="M6" s="28"/>
      <c r="N6" s="28"/>
      <c r="O6" s="28"/>
      <c r="P6" s="28"/>
      <c r="Q6" s="28"/>
      <c r="R6" s="28" t="s">
        <v>378</v>
      </c>
    </row>
    <row r="7" spans="1:20" s="28" customFormat="1" x14ac:dyDescent="0.25">
      <c r="A7" s="28" t="s">
        <v>871</v>
      </c>
      <c r="B7" s="173">
        <v>10016706</v>
      </c>
      <c r="C7" s="174"/>
      <c r="D7" s="175"/>
      <c r="F7" s="27"/>
    </row>
    <row r="8" spans="1:20" s="28" customFormat="1" x14ac:dyDescent="0.25">
      <c r="A8" s="28" t="s">
        <v>874</v>
      </c>
      <c r="B8" s="155" t="s">
        <v>928</v>
      </c>
      <c r="C8" s="153"/>
      <c r="D8" s="154"/>
      <c r="F8" s="27"/>
    </row>
    <row r="9" spans="1:20" x14ac:dyDescent="0.25">
      <c r="A9" s="1" t="s">
        <v>49</v>
      </c>
      <c r="B9" s="162" t="s">
        <v>872</v>
      </c>
      <c r="C9" s="163"/>
      <c r="D9" s="164"/>
    </row>
    <row r="10" spans="1:20" x14ac:dyDescent="0.25">
      <c r="B10" s="86"/>
      <c r="C10" s="86"/>
      <c r="D10" s="86"/>
    </row>
    <row r="11" spans="1:20" x14ac:dyDescent="0.25">
      <c r="A11" s="1" t="s">
        <v>34</v>
      </c>
      <c r="B11" s="167" t="s">
        <v>927</v>
      </c>
      <c r="C11" s="168"/>
      <c r="D11" s="169"/>
      <c r="F11" s="27"/>
      <c r="G11" s="27"/>
      <c r="H11" s="27"/>
      <c r="I11" s="27"/>
      <c r="J11" s="27"/>
      <c r="K11" s="27"/>
      <c r="L11" s="27"/>
      <c r="M11" s="27"/>
      <c r="N11" s="27"/>
      <c r="O11" s="27"/>
      <c r="P11" s="27"/>
      <c r="Q11" s="27"/>
      <c r="R11" s="27"/>
    </row>
    <row r="12" spans="1:20" x14ac:dyDescent="0.25">
      <c r="A12" s="1" t="s">
        <v>37</v>
      </c>
      <c r="B12" s="162" t="s">
        <v>922</v>
      </c>
      <c r="C12" s="163"/>
      <c r="D12" s="164"/>
    </row>
    <row r="13" spans="1:20" x14ac:dyDescent="0.25">
      <c r="A13" s="1" t="s">
        <v>35</v>
      </c>
      <c r="B13" s="162">
        <v>5534868</v>
      </c>
      <c r="C13" s="163"/>
      <c r="D13" s="164"/>
      <c r="F13" s="27"/>
      <c r="G13" s="27"/>
      <c r="H13" s="27"/>
      <c r="I13" s="27"/>
      <c r="J13" s="27"/>
      <c r="K13" s="27"/>
      <c r="L13" s="27"/>
      <c r="M13" s="27"/>
      <c r="N13" s="27"/>
      <c r="O13" s="27"/>
      <c r="P13" s="27"/>
      <c r="Q13" s="27"/>
      <c r="R13" s="27"/>
    </row>
    <row r="14" spans="1:20" x14ac:dyDescent="0.25">
      <c r="A14" s="1" t="s">
        <v>36</v>
      </c>
      <c r="B14" s="162">
        <v>293800</v>
      </c>
      <c r="C14" s="163"/>
      <c r="D14" s="164"/>
      <c r="F14" s="27"/>
      <c r="G14" s="27"/>
      <c r="H14" s="27"/>
      <c r="I14" s="27"/>
      <c r="J14" s="27"/>
      <c r="K14" s="27"/>
      <c r="L14" s="27"/>
      <c r="M14" s="27"/>
      <c r="N14" s="27"/>
      <c r="O14" s="27"/>
      <c r="P14" s="27"/>
      <c r="Q14" s="27"/>
      <c r="R14" s="27"/>
    </row>
    <row r="15" spans="1:20" s="28" customFormat="1" x14ac:dyDescent="0.25">
      <c r="A15" s="28" t="s">
        <v>836</v>
      </c>
      <c r="B15" s="170" t="s">
        <v>503</v>
      </c>
      <c r="C15" s="171"/>
      <c r="D15" s="172"/>
      <c r="E15" s="11" t="s">
        <v>870</v>
      </c>
      <c r="F15" s="27"/>
    </row>
    <row r="16" spans="1:20" x14ac:dyDescent="0.25">
      <c r="B16" s="130"/>
      <c r="C16" s="130"/>
      <c r="D16" s="130"/>
      <c r="T16" s="37"/>
    </row>
    <row r="17" spans="1:25" x14ac:dyDescent="0.25">
      <c r="A17" s="1" t="s">
        <v>33</v>
      </c>
      <c r="B17" s="162" t="s">
        <v>6</v>
      </c>
      <c r="C17" s="163"/>
      <c r="D17" s="164"/>
      <c r="E17" s="11" t="s">
        <v>838</v>
      </c>
      <c r="F17" s="24"/>
      <c r="G17" s="24"/>
      <c r="S17" s="11"/>
    </row>
    <row r="18" spans="1:25" x14ac:dyDescent="0.25">
      <c r="G18" s="165" t="s">
        <v>59</v>
      </c>
      <c r="H18" s="166"/>
      <c r="I18" s="166"/>
      <c r="J18" s="166"/>
      <c r="K18" s="166"/>
      <c r="L18" s="166"/>
      <c r="M18" s="166"/>
      <c r="N18" s="166"/>
      <c r="O18" s="166"/>
      <c r="P18" s="166"/>
      <c r="Q18" s="166"/>
    </row>
    <row r="19" spans="1:25" x14ac:dyDescent="0.25">
      <c r="A19" s="2" t="s">
        <v>867</v>
      </c>
      <c r="C19" s="28"/>
      <c r="D19" s="28"/>
      <c r="E19" s="28"/>
      <c r="F19" s="28"/>
      <c r="G19" s="157" t="s">
        <v>377</v>
      </c>
      <c r="H19" s="159" t="s">
        <v>5</v>
      </c>
      <c r="I19" s="160"/>
      <c r="J19" s="161"/>
      <c r="K19" s="159" t="s">
        <v>64</v>
      </c>
      <c r="L19" s="160"/>
      <c r="M19" s="160"/>
      <c r="N19" s="161"/>
      <c r="O19" s="159" t="s">
        <v>1</v>
      </c>
      <c r="P19" s="160"/>
      <c r="Q19" s="161"/>
      <c r="R19" s="28"/>
    </row>
    <row r="20" spans="1:25" ht="45" x14ac:dyDescent="0.25">
      <c r="A20" s="5" t="s">
        <v>50</v>
      </c>
      <c r="B20" s="4" t="s">
        <v>4</v>
      </c>
      <c r="C20" s="5" t="s">
        <v>2</v>
      </c>
      <c r="D20" s="5" t="s">
        <v>3</v>
      </c>
      <c r="E20" s="5" t="s">
        <v>44</v>
      </c>
      <c r="F20" s="30" t="s">
        <v>376</v>
      </c>
      <c r="G20" s="158"/>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6" t="s">
        <v>926</v>
      </c>
      <c r="B21" s="156">
        <v>61</v>
      </c>
      <c r="C21" s="26" t="str">
        <f>IFERROR(VLOOKUP($A21,'Species guilds'!$A$3:$F$301,3,FALSE),0)</f>
        <v>C</v>
      </c>
      <c r="D21" s="26" t="str">
        <f>IFERROR(VLOOKUP($A21,'Species guilds'!$A$3:$F$301,4,FALSE),0)</f>
        <v>S</v>
      </c>
      <c r="E21" s="26" t="str">
        <f>IFERROR(VLOOKUP($A21,'Species guilds'!$A$3:$F$301,5,FALSE),0)</f>
        <v>IT</v>
      </c>
      <c r="F21" s="26">
        <f t="shared" ref="F21:F53" si="0">IF(AND(M21&gt;0,B21&gt;0)=FALSE,B21,0)</f>
        <v>61</v>
      </c>
      <c r="G21" s="26">
        <f>IF(D21="Lake",0,1)</f>
        <v>1</v>
      </c>
      <c r="H21" s="26">
        <f>IF($C21=H$20,$B21*G21,0)</f>
        <v>61</v>
      </c>
      <c r="I21" s="26">
        <f>IF($C21=I$20,$B21*G21,0)</f>
        <v>0</v>
      </c>
      <c r="J21" s="26">
        <f>IF($C21=J$20,$B21*G21,0)</f>
        <v>0</v>
      </c>
      <c r="K21" s="26">
        <f>IF($D21=K$20,$B21*G21,0)</f>
        <v>61</v>
      </c>
      <c r="L21" s="26">
        <f>IF($D21=L$20,$B21*G21,0)</f>
        <v>0</v>
      </c>
      <c r="M21" s="26">
        <f>IF($D21=M$20,$B21,0)</f>
        <v>0</v>
      </c>
      <c r="N21" s="26">
        <f>IF($D21=N$20,$B21*G21,0)</f>
        <v>0</v>
      </c>
      <c r="O21" s="26">
        <f>IF($E21=O$20,$B21*G21,0)</f>
        <v>61</v>
      </c>
      <c r="P21" s="26">
        <f>IF($E21=P$20,$B21*G21,0)</f>
        <v>0</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6" t="s">
        <v>923</v>
      </c>
      <c r="B22" s="156">
        <v>2</v>
      </c>
      <c r="C22" s="26" t="str">
        <f>IFERROR(VLOOKUP($A22,'Species guilds'!$A$3:$F$301,3,FALSE),0)</f>
        <v>T</v>
      </c>
      <c r="D22" s="26" t="str">
        <f>IFERROR(VLOOKUP($A22,'Species guilds'!$A$3:$F$301,4,FALSE),0)</f>
        <v>S</v>
      </c>
      <c r="E22" s="26" t="str">
        <f>IFERROR(VLOOKUP($A22,'Species guilds'!$A$3:$F$301,5,FALSE),0)</f>
        <v>T</v>
      </c>
      <c r="F22" s="26">
        <f t="shared" si="0"/>
        <v>2</v>
      </c>
      <c r="G22" s="26">
        <f t="shared" ref="G22:G53" si="1">IF(D22="Lake",0,1)</f>
        <v>1</v>
      </c>
      <c r="H22" s="26">
        <f t="shared" ref="H22:H53" si="2">IF($C22=H$20,$B22*G22,0)</f>
        <v>0</v>
      </c>
      <c r="I22" s="26">
        <f t="shared" ref="I22:I53" si="3">IF($C22=I$20,$B22*G22,0)</f>
        <v>2</v>
      </c>
      <c r="J22" s="26">
        <f t="shared" ref="J22:J53" si="4">IF($C22=J$20,$B22*G22,0)</f>
        <v>0</v>
      </c>
      <c r="K22" s="26">
        <f t="shared" ref="K22:K53" si="5">IF($D22=K$20,$B22*G22,0)</f>
        <v>2</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2</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6" t="s">
        <v>924</v>
      </c>
      <c r="B23" s="156">
        <v>1</v>
      </c>
      <c r="C23" s="26" t="str">
        <f>IFERROR(VLOOKUP($A23,'Species guilds'!$A$3:$F$301,3,FALSE),0)</f>
        <v>T</v>
      </c>
      <c r="D23" s="26" t="str">
        <f>IFERROR(VLOOKUP($A23,'Species guilds'!$A$3:$F$301,4,FALSE),0)</f>
        <v>S</v>
      </c>
      <c r="E23" s="26" t="str">
        <f>IFERROR(VLOOKUP($A23,'Species guilds'!$A$3:$F$301,5,FALSE),0)</f>
        <v>T</v>
      </c>
      <c r="F23" s="26">
        <f t="shared" si="0"/>
        <v>1</v>
      </c>
      <c r="G23" s="26">
        <f t="shared" si="1"/>
        <v>1</v>
      </c>
      <c r="H23" s="26">
        <f t="shared" si="2"/>
        <v>0</v>
      </c>
      <c r="I23" s="26">
        <f t="shared" si="3"/>
        <v>1</v>
      </c>
      <c r="J23" s="26">
        <f t="shared" si="4"/>
        <v>0</v>
      </c>
      <c r="K23" s="26">
        <f t="shared" si="5"/>
        <v>1</v>
      </c>
      <c r="L23" s="26">
        <f t="shared" si="6"/>
        <v>0</v>
      </c>
      <c r="M23" s="26">
        <f t="shared" si="7"/>
        <v>0</v>
      </c>
      <c r="N23" s="26">
        <f t="shared" si="8"/>
        <v>0</v>
      </c>
      <c r="O23" s="26">
        <f t="shared" si="9"/>
        <v>0</v>
      </c>
      <c r="P23" s="26">
        <f t="shared" si="10"/>
        <v>0</v>
      </c>
      <c r="Q23" s="26">
        <f t="shared" si="11"/>
        <v>1</v>
      </c>
      <c r="R23" s="79" t="str">
        <f t="shared" si="12"/>
        <v/>
      </c>
      <c r="T23" s="43"/>
      <c r="U23" s="43"/>
      <c r="V23" s="43"/>
      <c r="W23" s="43"/>
      <c r="X23" s="43"/>
      <c r="Y23" s="43"/>
    </row>
    <row r="24" spans="1:25" x14ac:dyDescent="0.25">
      <c r="A24" s="152"/>
      <c r="B24" s="152"/>
      <c r="C24" s="26">
        <f>IFERROR(VLOOKUP($A24,'Species guilds'!$A$3:$F$301,3,FALSE),0)</f>
        <v>0</v>
      </c>
      <c r="D24" s="26">
        <f>IFERROR(VLOOKUP($A24,'Species guilds'!$A$3:$F$301,4,FALSE),0)</f>
        <v>0</v>
      </c>
      <c r="E24" s="26">
        <f>IFERROR(VLOOKUP($A24,'Species guilds'!$A$3:$F$301,5,FALSE),0)</f>
        <v>0</v>
      </c>
      <c r="F24" s="26">
        <f t="shared" si="0"/>
        <v>0</v>
      </c>
      <c r="G24" s="26">
        <f t="shared" si="1"/>
        <v>1</v>
      </c>
      <c r="H24" s="26">
        <f t="shared" si="2"/>
        <v>0</v>
      </c>
      <c r="I24" s="26">
        <f t="shared" si="3"/>
        <v>0</v>
      </c>
      <c r="J24" s="26">
        <f t="shared" si="4"/>
        <v>0</v>
      </c>
      <c r="K24" s="26">
        <f t="shared" si="5"/>
        <v>0</v>
      </c>
      <c r="L24" s="26">
        <f t="shared" si="6"/>
        <v>0</v>
      </c>
      <c r="M24" s="26">
        <f t="shared" si="7"/>
        <v>0</v>
      </c>
      <c r="N24" s="26">
        <f t="shared" si="8"/>
        <v>0</v>
      </c>
      <c r="O24" s="26">
        <f t="shared" si="9"/>
        <v>0</v>
      </c>
      <c r="P24" s="26">
        <f t="shared" si="10"/>
        <v>0</v>
      </c>
      <c r="Q24" s="26">
        <f t="shared" si="11"/>
        <v>0</v>
      </c>
      <c r="R24" s="79" t="str">
        <f t="shared" si="12"/>
        <v/>
      </c>
      <c r="T24" s="43"/>
      <c r="U24" s="43"/>
      <c r="V24" s="43"/>
      <c r="W24" s="43"/>
      <c r="X24" s="43"/>
      <c r="Y24" s="43"/>
    </row>
    <row r="25" spans="1:25" x14ac:dyDescent="0.25">
      <c r="A25" s="152"/>
      <c r="B25" s="152"/>
      <c r="C25" s="26">
        <f>IFERROR(VLOOKUP($A25,'Species guilds'!$A$3:$F$301,3,FALSE),0)</f>
        <v>0</v>
      </c>
      <c r="D25" s="26">
        <f>IFERROR(VLOOKUP($A25,'Species guilds'!$A$3:$F$301,4,FALSE),0)</f>
        <v>0</v>
      </c>
      <c r="E25" s="26">
        <f>IFERROR(VLOOKUP($A25,'Species guilds'!$A$3:$F$301,5,FALSE),0)</f>
        <v>0</v>
      </c>
      <c r="F25" s="26">
        <f t="shared" si="0"/>
        <v>0</v>
      </c>
      <c r="G25" s="26">
        <f t="shared" si="1"/>
        <v>1</v>
      </c>
      <c r="H25" s="26">
        <f t="shared" si="2"/>
        <v>0</v>
      </c>
      <c r="I25" s="26">
        <f t="shared" si="3"/>
        <v>0</v>
      </c>
      <c r="J25" s="26">
        <f t="shared" si="4"/>
        <v>0</v>
      </c>
      <c r="K25" s="26">
        <f t="shared" si="5"/>
        <v>0</v>
      </c>
      <c r="L25" s="26">
        <f t="shared" si="6"/>
        <v>0</v>
      </c>
      <c r="M25" s="26">
        <f t="shared" si="7"/>
        <v>0</v>
      </c>
      <c r="N25" s="26">
        <f t="shared" si="8"/>
        <v>0</v>
      </c>
      <c r="O25" s="26">
        <f t="shared" si="9"/>
        <v>0</v>
      </c>
      <c r="P25" s="26">
        <f t="shared" si="10"/>
        <v>0</v>
      </c>
      <c r="Q25" s="26">
        <f t="shared" si="11"/>
        <v>0</v>
      </c>
      <c r="R25" s="79" t="str">
        <f t="shared" si="12"/>
        <v/>
      </c>
      <c r="T25" s="43"/>
      <c r="U25" s="43"/>
      <c r="V25" s="43"/>
      <c r="W25" s="43"/>
      <c r="X25" s="43"/>
      <c r="Y25" s="43"/>
    </row>
    <row r="26" spans="1:25" x14ac:dyDescent="0.25">
      <c r="A26" s="152"/>
      <c r="B26" s="152"/>
      <c r="C26" s="26">
        <f>IFERROR(VLOOKUP($A26,'Species guilds'!$A$3:$F$301,3,FALSE),0)</f>
        <v>0</v>
      </c>
      <c r="D26" s="26">
        <f>IFERROR(VLOOKUP($A26,'Species guilds'!$A$3:$F$301,4,FALSE),0)</f>
        <v>0</v>
      </c>
      <c r="E26" s="26">
        <f>IFERROR(VLOOKUP($A26,'Species guilds'!$A$3:$F$301,5,FALSE),0)</f>
        <v>0</v>
      </c>
      <c r="F26" s="26">
        <f t="shared" si="0"/>
        <v>0</v>
      </c>
      <c r="G26" s="26">
        <f t="shared" si="1"/>
        <v>1</v>
      </c>
      <c r="H26" s="26">
        <f t="shared" si="2"/>
        <v>0</v>
      </c>
      <c r="I26" s="26">
        <f t="shared" si="3"/>
        <v>0</v>
      </c>
      <c r="J26" s="26">
        <f t="shared" si="4"/>
        <v>0</v>
      </c>
      <c r="K26" s="26">
        <f t="shared" si="5"/>
        <v>0</v>
      </c>
      <c r="L26" s="26">
        <f t="shared" si="6"/>
        <v>0</v>
      </c>
      <c r="M26" s="26">
        <f t="shared" si="7"/>
        <v>0</v>
      </c>
      <c r="N26" s="26">
        <f t="shared" si="8"/>
        <v>0</v>
      </c>
      <c r="O26" s="26">
        <f t="shared" si="9"/>
        <v>0</v>
      </c>
      <c r="P26" s="26">
        <f t="shared" si="10"/>
        <v>0</v>
      </c>
      <c r="Q26" s="26">
        <f t="shared" si="11"/>
        <v>0</v>
      </c>
      <c r="R26" s="79" t="str">
        <f t="shared" si="12"/>
        <v/>
      </c>
      <c r="T26" s="43"/>
      <c r="U26" s="43"/>
      <c r="V26" s="43"/>
      <c r="W26" s="43"/>
      <c r="X26" s="43"/>
      <c r="Y26" s="43"/>
    </row>
    <row r="27" spans="1:25" x14ac:dyDescent="0.25">
      <c r="A27" s="152"/>
      <c r="B27" s="152"/>
      <c r="C27" s="26">
        <f>IFERROR(VLOOKUP($A27,'Species guilds'!$A$3:$F$301,3,FALSE),0)</f>
        <v>0</v>
      </c>
      <c r="D27" s="26">
        <f>IFERROR(VLOOKUP($A27,'Species guilds'!$A$3:$F$301,4,FALSE),0)</f>
        <v>0</v>
      </c>
      <c r="E27" s="26">
        <f>IFERROR(VLOOKUP($A27,'Species guilds'!$A$3:$F$301,5,FALSE),0)</f>
        <v>0</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79" t="str">
        <f t="shared" si="12"/>
        <v/>
      </c>
      <c r="T27" s="43"/>
      <c r="U27" s="43"/>
      <c r="V27" s="43"/>
      <c r="W27" s="43"/>
      <c r="X27" s="43"/>
      <c r="Y27" s="43"/>
    </row>
    <row r="28" spans="1:25" x14ac:dyDescent="0.25">
      <c r="A28" s="151"/>
      <c r="B28" s="151"/>
      <c r="C28" s="26">
        <f>IFERROR(VLOOKUP($A28,'Species guilds'!$A$3:$F$301,3,FALSE),0)</f>
        <v>0</v>
      </c>
      <c r="D28" s="26">
        <f>IFERROR(VLOOKUP($A28,'Species guilds'!$A$3:$F$301,4,FALSE),0)</f>
        <v>0</v>
      </c>
      <c r="E28" s="26">
        <f>IFERROR(VLOOKUP($A28,'Species guilds'!$A$3:$F$301,5,FALSE),0)</f>
        <v>0</v>
      </c>
      <c r="F28" s="26">
        <f t="shared" si="0"/>
        <v>0</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79" t="str">
        <f t="shared" si="12"/>
        <v/>
      </c>
      <c r="T28" s="31"/>
      <c r="U28" s="43"/>
      <c r="V28" s="43"/>
      <c r="W28" s="43"/>
      <c r="X28" s="43"/>
      <c r="Y28" s="43"/>
    </row>
    <row r="29" spans="1:25" x14ac:dyDescent="0.25">
      <c r="A29" s="151"/>
      <c r="B29" s="151"/>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79" t="str">
        <f t="shared" si="12"/>
        <v/>
      </c>
      <c r="T29" s="45"/>
      <c r="U29" s="45"/>
      <c r="V29" s="45"/>
      <c r="W29" s="45"/>
      <c r="X29" s="45"/>
      <c r="Y29" s="43"/>
    </row>
    <row r="30" spans="1:25" x14ac:dyDescent="0.25">
      <c r="A30" s="151"/>
      <c r="B30" s="151"/>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151"/>
      <c r="B31" s="151"/>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151"/>
      <c r="B32" s="151"/>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151"/>
      <c r="B33" s="151"/>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151"/>
      <c r="B34" s="151"/>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151"/>
      <c r="B35" s="151"/>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151"/>
      <c r="B36" s="151"/>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151"/>
      <c r="B37" s="151"/>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151"/>
      <c r="B38" s="151"/>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151"/>
      <c r="B39" s="151"/>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ht="14.45" x14ac:dyDescent="0.3">
      <c r="A40" s="151"/>
      <c r="B40" s="151"/>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ht="14.45" x14ac:dyDescent="0.3">
      <c r="A41" s="151"/>
      <c r="B41" s="151"/>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ht="14.45" x14ac:dyDescent="0.3">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ht="14.4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ht="14.4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ht="14.4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ht="14.4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ht="14.4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ht="14.4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ht="14.4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ht="14.4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64</v>
      </c>
      <c r="F54" s="9">
        <f>SUM(F21:F53)</f>
        <v>64</v>
      </c>
      <c r="G54" s="2"/>
      <c r="H54" s="9">
        <f>SUM(H21:H53)</f>
        <v>61</v>
      </c>
      <c r="I54" s="9">
        <f t="shared" ref="I54:Q54" si="14">SUM(I21:I53)</f>
        <v>3</v>
      </c>
      <c r="J54" s="9">
        <f t="shared" si="14"/>
        <v>0</v>
      </c>
      <c r="K54" s="9">
        <f t="shared" si="14"/>
        <v>64</v>
      </c>
      <c r="L54" s="9">
        <f t="shared" si="14"/>
        <v>0</v>
      </c>
      <c r="M54" s="9">
        <f t="shared" si="14"/>
        <v>0</v>
      </c>
      <c r="N54" s="9">
        <f t="shared" si="14"/>
        <v>0</v>
      </c>
      <c r="O54" s="9">
        <f t="shared" si="14"/>
        <v>61</v>
      </c>
      <c r="P54" s="9">
        <f t="shared" si="14"/>
        <v>0</v>
      </c>
      <c r="Q54" s="9">
        <f t="shared" si="14"/>
        <v>3</v>
      </c>
    </row>
  </sheetData>
  <mergeCells count="16">
    <mergeCell ref="B4:D4"/>
    <mergeCell ref="B7:D7"/>
    <mergeCell ref="B6:D6"/>
    <mergeCell ref="B5:D5"/>
    <mergeCell ref="B13:D13"/>
    <mergeCell ref="G19:G20"/>
    <mergeCell ref="H19:J19"/>
    <mergeCell ref="B17:D17"/>
    <mergeCell ref="G18:Q18"/>
    <mergeCell ref="B9:D9"/>
    <mergeCell ref="B11:D11"/>
    <mergeCell ref="K19:N19"/>
    <mergeCell ref="O19:Q19"/>
    <mergeCell ref="B14:D14"/>
    <mergeCell ref="B12:D12"/>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H18" sqref="H18"/>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185" t="str">
        <f>'Enter field data'!B4</f>
        <v>D. Bolha</v>
      </c>
      <c r="C4" s="186"/>
      <c r="D4" s="85"/>
      <c r="E4" s="65"/>
      <c r="F4" s="89" t="s">
        <v>837</v>
      </c>
      <c r="G4" s="83"/>
      <c r="H4" s="83"/>
      <c r="I4" s="83"/>
      <c r="J4" s="83"/>
      <c r="K4" s="83"/>
      <c r="L4" s="83"/>
      <c r="M4" s="83"/>
      <c r="N4" s="83"/>
      <c r="O4" s="83"/>
      <c r="P4" s="83"/>
      <c r="Q4" s="83"/>
      <c r="R4" s="83"/>
    </row>
    <row r="5" spans="1:18" ht="15" x14ac:dyDescent="0.2">
      <c r="A5" s="65" t="s">
        <v>832</v>
      </c>
      <c r="B5" s="187">
        <f>'Enter field data'!B5</f>
        <v>42824</v>
      </c>
      <c r="C5" s="188"/>
      <c r="D5" s="85"/>
      <c r="E5" s="65"/>
      <c r="F5" s="90"/>
      <c r="G5" s="83" t="s">
        <v>877</v>
      </c>
      <c r="H5" s="83"/>
      <c r="I5" s="83"/>
      <c r="J5" s="83"/>
      <c r="K5" s="83"/>
      <c r="L5" s="83"/>
      <c r="M5" s="83"/>
      <c r="N5" s="83"/>
      <c r="O5" s="83"/>
      <c r="P5" s="83"/>
      <c r="Q5" s="83"/>
      <c r="R5" s="83" t="s">
        <v>868</v>
      </c>
    </row>
    <row r="6" spans="1:18" ht="15" x14ac:dyDescent="0.2">
      <c r="A6" s="65" t="s">
        <v>831</v>
      </c>
      <c r="B6" s="187">
        <f>'Enter field data'!B6</f>
        <v>41086</v>
      </c>
      <c r="C6" s="188"/>
      <c r="D6" s="85"/>
      <c r="E6" s="65"/>
      <c r="F6" s="91"/>
      <c r="G6" s="83" t="s">
        <v>878</v>
      </c>
      <c r="H6" s="83"/>
      <c r="I6" s="83"/>
      <c r="J6" s="83"/>
      <c r="K6" s="83"/>
      <c r="L6" s="83"/>
      <c r="M6" s="83"/>
      <c r="N6" s="83"/>
      <c r="O6" s="83"/>
      <c r="P6" s="83"/>
      <c r="Q6" s="83"/>
      <c r="R6" s="83" t="s">
        <v>378</v>
      </c>
    </row>
    <row r="7" spans="1:18" x14ac:dyDescent="0.2">
      <c r="A7" s="65" t="s">
        <v>871</v>
      </c>
      <c r="B7" s="185">
        <f>'Enter field data'!B7</f>
        <v>10016706</v>
      </c>
      <c r="C7" s="189"/>
      <c r="D7" s="85"/>
      <c r="E7" s="65"/>
      <c r="F7" s="65"/>
    </row>
    <row r="8" spans="1:18" x14ac:dyDescent="0.2">
      <c r="A8" s="65" t="s">
        <v>874</v>
      </c>
      <c r="B8" s="185" t="str">
        <f>'Enter field data'!B8</f>
        <v>Unnamed Trib to N Br Pigeon River US Knitt Road</v>
      </c>
      <c r="C8" s="189"/>
      <c r="D8" s="85"/>
      <c r="E8" s="65"/>
      <c r="F8" s="65"/>
    </row>
    <row r="9" spans="1:18" x14ac:dyDescent="0.2">
      <c r="A9" s="65" t="s">
        <v>49</v>
      </c>
      <c r="B9" s="185" t="str">
        <f>'Enter field data'!B9</f>
        <v>Fish survey</v>
      </c>
      <c r="C9" s="189"/>
      <c r="D9" s="85"/>
      <c r="E9" s="65"/>
      <c r="F9" s="65"/>
    </row>
    <row r="10" spans="1:18" x14ac:dyDescent="0.2">
      <c r="A10" s="65"/>
      <c r="B10" s="66"/>
      <c r="C10" s="85"/>
      <c r="D10" s="85"/>
      <c r="E10" s="65"/>
      <c r="F10" s="65"/>
    </row>
    <row r="11" spans="1:18" x14ac:dyDescent="0.2">
      <c r="A11" s="65" t="s">
        <v>34</v>
      </c>
      <c r="B11" s="185" t="str">
        <f>'Enter field data'!B11</f>
        <v>Unnamed Trib to Pigeon Lake</v>
      </c>
      <c r="C11" s="189"/>
      <c r="D11" s="85"/>
      <c r="E11" s="65"/>
      <c r="F11" s="92"/>
    </row>
    <row r="12" spans="1:18" x14ac:dyDescent="0.2">
      <c r="A12" s="65" t="s">
        <v>37</v>
      </c>
      <c r="B12" s="185" t="str">
        <f>'Enter field data'!B12</f>
        <v>Waupaca</v>
      </c>
      <c r="C12" s="189"/>
      <c r="D12" s="85"/>
      <c r="E12" s="65"/>
      <c r="F12" s="65"/>
    </row>
    <row r="13" spans="1:18" x14ac:dyDescent="0.2">
      <c r="A13" s="65" t="s">
        <v>35</v>
      </c>
      <c r="B13" s="185">
        <f>'Enter field data'!B13</f>
        <v>5534868</v>
      </c>
      <c r="C13" s="189"/>
      <c r="D13" s="85"/>
      <c r="E13" s="65"/>
      <c r="F13" s="92"/>
    </row>
    <row r="14" spans="1:18" x14ac:dyDescent="0.2">
      <c r="A14" s="65" t="s">
        <v>36</v>
      </c>
      <c r="B14" s="185">
        <f>'Enter field data'!B14</f>
        <v>293800</v>
      </c>
      <c r="C14" s="189"/>
      <c r="D14" s="85"/>
      <c r="E14" s="65"/>
      <c r="F14" s="92"/>
    </row>
    <row r="15" spans="1:18" ht="15" x14ac:dyDescent="0.2">
      <c r="A15" s="65" t="s">
        <v>865</v>
      </c>
      <c r="B15" s="190" t="str">
        <f>'Enter field data'!B15</f>
        <v>0403020211</v>
      </c>
      <c r="C15" s="191"/>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83" t="s">
        <v>920</v>
      </c>
      <c r="B18" s="183"/>
      <c r="C18" s="184"/>
      <c r="D18" s="182" t="str">
        <f>'Enter field data'!$B$17</f>
        <v>Coldwater</v>
      </c>
      <c r="E18" s="166"/>
      <c r="F18" s="68"/>
      <c r="I18" s="141"/>
      <c r="J18" s="68"/>
      <c r="K18" s="68"/>
      <c r="L18" s="68"/>
      <c r="M18" s="68"/>
      <c r="N18" s="68"/>
    </row>
    <row r="19" spans="1:36" ht="12.75" customHeight="1" x14ac:dyDescent="0.2">
      <c r="A19" s="183" t="s">
        <v>851</v>
      </c>
      <c r="B19" s="183"/>
      <c r="C19" s="184"/>
      <c r="D19" s="204" t="s">
        <v>925</v>
      </c>
      <c r="E19" s="205"/>
      <c r="F19" s="93"/>
      <c r="I19" s="210"/>
      <c r="J19" s="210"/>
      <c r="K19" s="210"/>
      <c r="L19" s="143"/>
      <c r="M19" s="143"/>
      <c r="N19" s="142"/>
    </row>
    <row r="20" spans="1:36" x14ac:dyDescent="0.2">
      <c r="A20" s="65" t="s">
        <v>852</v>
      </c>
      <c r="B20" s="65"/>
      <c r="C20" s="67"/>
      <c r="D20" s="212"/>
      <c r="E20" s="213"/>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206"/>
      <c r="E23" s="206"/>
      <c r="F23" s="93"/>
      <c r="I23" s="68"/>
      <c r="J23" s="68"/>
      <c r="K23" s="68"/>
      <c r="L23" s="68"/>
      <c r="M23" s="68"/>
      <c r="N23" s="142"/>
    </row>
    <row r="24" spans="1:36" x14ac:dyDescent="0.2">
      <c r="A24" s="96" t="s">
        <v>855</v>
      </c>
      <c r="B24" s="97"/>
      <c r="C24" s="97"/>
      <c r="D24" s="206"/>
      <c r="E24" s="206"/>
      <c r="F24" s="93"/>
      <c r="I24" s="87"/>
      <c r="J24" s="65"/>
      <c r="K24" s="85"/>
      <c r="L24" s="145"/>
      <c r="M24" s="145"/>
    </row>
    <row r="25" spans="1:36" x14ac:dyDescent="0.2">
      <c r="A25" s="98" t="s">
        <v>864</v>
      </c>
      <c r="B25" s="99"/>
      <c r="C25" s="99"/>
      <c r="D25" s="206"/>
      <c r="E25" s="206"/>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82" t="str">
        <f>'Enter field data'!$B$17</f>
        <v>Coldwater</v>
      </c>
      <c r="E29" s="166"/>
      <c r="H29" s="148"/>
      <c r="I29" s="100" t="s">
        <v>917</v>
      </c>
      <c r="L29" s="214"/>
      <c r="M29" s="215"/>
      <c r="N29" s="11"/>
      <c r="R29" s="100" t="s">
        <v>918</v>
      </c>
      <c r="U29" s="214"/>
      <c r="V29" s="215"/>
      <c r="W29" s="11"/>
      <c r="AC29" s="100" t="s">
        <v>919</v>
      </c>
      <c r="AF29" s="214"/>
      <c r="AG29" s="215"/>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ht="13.9" x14ac:dyDescent="0.3">
      <c r="A36" s="108" t="s">
        <v>6</v>
      </c>
      <c r="B36" s="81">
        <f>'Enter field data'!$H$54</f>
        <v>61</v>
      </c>
      <c r="C36" s="109" t="s">
        <v>9</v>
      </c>
      <c r="D36" s="110">
        <f>'Enter field data'!$K$54</f>
        <v>64</v>
      </c>
      <c r="E36" s="111" t="s">
        <v>12</v>
      </c>
      <c r="F36" s="112">
        <f>'Enter field data'!$O$54</f>
        <v>61</v>
      </c>
      <c r="H36" s="148"/>
      <c r="I36" s="108" t="s">
        <v>6</v>
      </c>
      <c r="J36" s="81">
        <f>'Enter field data'!$H$54</f>
        <v>61</v>
      </c>
      <c r="K36" s="109" t="s">
        <v>9</v>
      </c>
      <c r="L36" s="110">
        <f>'Enter field data'!$K$54</f>
        <v>64</v>
      </c>
      <c r="M36" s="111" t="s">
        <v>12</v>
      </c>
      <c r="N36" s="112">
        <f>'Enter field data'!$O$54</f>
        <v>61</v>
      </c>
      <c r="R36" s="108" t="s">
        <v>6</v>
      </c>
      <c r="S36" s="81">
        <f>'Enter field data'!$H$54</f>
        <v>61</v>
      </c>
      <c r="T36" s="109" t="s">
        <v>9</v>
      </c>
      <c r="U36" s="110">
        <f>'Enter field data'!$K$54</f>
        <v>64</v>
      </c>
      <c r="V36" s="111" t="s">
        <v>12</v>
      </c>
      <c r="W36" s="112">
        <f>'Enter field data'!$O$54</f>
        <v>61</v>
      </c>
      <c r="AC36" s="108" t="s">
        <v>6</v>
      </c>
      <c r="AD36" s="81">
        <f>'Enter field data'!$H$54</f>
        <v>61</v>
      </c>
      <c r="AE36" s="109" t="s">
        <v>9</v>
      </c>
      <c r="AF36" s="110">
        <f>'Enter field data'!$K$54</f>
        <v>64</v>
      </c>
      <c r="AG36" s="111" t="s">
        <v>12</v>
      </c>
      <c r="AH36" s="112">
        <f>'Enter field data'!$O$54</f>
        <v>61</v>
      </c>
    </row>
    <row r="37" spans="1:34" ht="13.9" x14ac:dyDescent="0.3">
      <c r="A37" s="108" t="s">
        <v>7</v>
      </c>
      <c r="B37" s="81">
        <f>'Enter field data'!$I$54</f>
        <v>3</v>
      </c>
      <c r="C37" s="109" t="s">
        <v>10</v>
      </c>
      <c r="D37" s="110">
        <f>'Enter field data'!$L$54</f>
        <v>0</v>
      </c>
      <c r="E37" s="111" t="s">
        <v>13</v>
      </c>
      <c r="F37" s="112">
        <f>'Enter field data'!$P$54</f>
        <v>0</v>
      </c>
      <c r="H37" s="148"/>
      <c r="I37" s="108" t="s">
        <v>7</v>
      </c>
      <c r="J37" s="81">
        <f>'Enter field data'!$I$54</f>
        <v>3</v>
      </c>
      <c r="K37" s="109" t="s">
        <v>10</v>
      </c>
      <c r="L37" s="110">
        <f>'Enter field data'!$L$54</f>
        <v>0</v>
      </c>
      <c r="M37" s="111" t="s">
        <v>13</v>
      </c>
      <c r="N37" s="112">
        <f>'Enter field data'!$P$54</f>
        <v>0</v>
      </c>
      <c r="R37" s="108" t="s">
        <v>7</v>
      </c>
      <c r="S37" s="81">
        <f>'Enter field data'!$I$54</f>
        <v>3</v>
      </c>
      <c r="T37" s="109" t="s">
        <v>10</v>
      </c>
      <c r="U37" s="110">
        <f>'Enter field data'!$L$54</f>
        <v>0</v>
      </c>
      <c r="V37" s="111" t="s">
        <v>13</v>
      </c>
      <c r="W37" s="112">
        <f>'Enter field data'!$P$54</f>
        <v>0</v>
      </c>
      <c r="AC37" s="108" t="s">
        <v>7</v>
      </c>
      <c r="AD37" s="81">
        <f>'Enter field data'!$I$54</f>
        <v>3</v>
      </c>
      <c r="AE37" s="109" t="s">
        <v>10</v>
      </c>
      <c r="AF37" s="110">
        <f>'Enter field data'!$L$54</f>
        <v>0</v>
      </c>
      <c r="AG37" s="111" t="s">
        <v>13</v>
      </c>
      <c r="AH37" s="112">
        <f>'Enter field data'!$P$54</f>
        <v>0</v>
      </c>
    </row>
    <row r="38" spans="1:34" ht="13.9" x14ac:dyDescent="0.3">
      <c r="A38" s="108" t="s">
        <v>8</v>
      </c>
      <c r="B38" s="81">
        <f>'Enter field data'!$J$54</f>
        <v>0</v>
      </c>
      <c r="C38" s="109" t="s">
        <v>11</v>
      </c>
      <c r="D38" s="110">
        <f>'Enter field data'!$N$54</f>
        <v>0</v>
      </c>
      <c r="E38" s="111" t="s">
        <v>14</v>
      </c>
      <c r="F38" s="112">
        <f>'Enter field data'!$Q$54</f>
        <v>3</v>
      </c>
      <c r="H38" s="148"/>
      <c r="I38" s="108" t="s">
        <v>8</v>
      </c>
      <c r="J38" s="81">
        <f>'Enter field data'!$J$54</f>
        <v>0</v>
      </c>
      <c r="K38" s="109" t="s">
        <v>11</v>
      </c>
      <c r="L38" s="110">
        <f>'Enter field data'!$N$54</f>
        <v>0</v>
      </c>
      <c r="M38" s="111" t="s">
        <v>14</v>
      </c>
      <c r="N38" s="112">
        <f>'Enter field data'!$Q$54</f>
        <v>3</v>
      </c>
      <c r="R38" s="108" t="s">
        <v>8</v>
      </c>
      <c r="S38" s="81">
        <f>'Enter field data'!$J$54</f>
        <v>0</v>
      </c>
      <c r="T38" s="109" t="s">
        <v>11</v>
      </c>
      <c r="U38" s="110">
        <f>'Enter field data'!$N$54</f>
        <v>0</v>
      </c>
      <c r="V38" s="111" t="s">
        <v>14</v>
      </c>
      <c r="W38" s="112">
        <f>'Enter field data'!$Q$54</f>
        <v>3</v>
      </c>
      <c r="AC38" s="108" t="s">
        <v>8</v>
      </c>
      <c r="AD38" s="81">
        <f>'Enter field data'!$J$54</f>
        <v>0</v>
      </c>
      <c r="AE38" s="109" t="s">
        <v>11</v>
      </c>
      <c r="AF38" s="110">
        <f>'Enter field data'!$N$54</f>
        <v>0</v>
      </c>
      <c r="AG38" s="111" t="s">
        <v>14</v>
      </c>
      <c r="AH38" s="112">
        <f>'Enter field data'!$Q$54</f>
        <v>3</v>
      </c>
    </row>
    <row r="39" spans="1:34" ht="13.9" x14ac:dyDescent="0.3">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ht="13.9" x14ac:dyDescent="0.3">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ht="13.9" x14ac:dyDescent="0.3">
      <c r="A41" s="207" t="s">
        <v>5</v>
      </c>
      <c r="B41" s="208"/>
      <c r="C41" s="208"/>
      <c r="D41" s="208"/>
      <c r="E41" s="209"/>
      <c r="F41" s="65"/>
      <c r="H41" s="148"/>
      <c r="I41" s="207" t="s">
        <v>5</v>
      </c>
      <c r="J41" s="208"/>
      <c r="K41" s="208"/>
      <c r="L41" s="208"/>
      <c r="M41" s="209"/>
      <c r="N41" s="65"/>
      <c r="R41" s="207" t="s">
        <v>5</v>
      </c>
      <c r="S41" s="208"/>
      <c r="T41" s="208"/>
      <c r="U41" s="208"/>
      <c r="V41" s="209"/>
      <c r="W41" s="65"/>
      <c r="AC41" s="207" t="s">
        <v>5</v>
      </c>
      <c r="AD41" s="208"/>
      <c r="AE41" s="208"/>
      <c r="AF41" s="208"/>
      <c r="AG41" s="209"/>
      <c r="AH41" s="65"/>
    </row>
    <row r="42" spans="1:34" ht="12.75" customHeight="1" x14ac:dyDescent="0.2">
      <c r="A42" s="113" t="s">
        <v>55</v>
      </c>
      <c r="B42" s="196" t="s">
        <v>65</v>
      </c>
      <c r="C42" s="198" t="s">
        <v>66</v>
      </c>
      <c r="D42" s="199"/>
      <c r="E42" s="200" t="s">
        <v>56</v>
      </c>
      <c r="F42" s="65"/>
      <c r="H42" s="148"/>
      <c r="I42" s="137" t="s">
        <v>55</v>
      </c>
      <c r="J42" s="196" t="s">
        <v>65</v>
      </c>
      <c r="K42" s="198" t="s">
        <v>66</v>
      </c>
      <c r="L42" s="199"/>
      <c r="M42" s="200" t="s">
        <v>56</v>
      </c>
      <c r="N42" s="65"/>
      <c r="R42" s="137" t="s">
        <v>55</v>
      </c>
      <c r="S42" s="196" t="s">
        <v>65</v>
      </c>
      <c r="T42" s="198" t="s">
        <v>66</v>
      </c>
      <c r="U42" s="199"/>
      <c r="V42" s="200" t="s">
        <v>56</v>
      </c>
      <c r="W42" s="65"/>
      <c r="AC42" s="137" t="s">
        <v>55</v>
      </c>
      <c r="AD42" s="196" t="s">
        <v>65</v>
      </c>
      <c r="AE42" s="198" t="s">
        <v>66</v>
      </c>
      <c r="AF42" s="199"/>
      <c r="AG42" s="200" t="s">
        <v>56</v>
      </c>
      <c r="AH42" s="65"/>
    </row>
    <row r="43" spans="1:34" x14ac:dyDescent="0.2">
      <c r="A43" s="114"/>
      <c r="B43" s="197"/>
      <c r="C43" s="115" t="s">
        <v>62</v>
      </c>
      <c r="D43" s="116" t="s">
        <v>63</v>
      </c>
      <c r="E43" s="201"/>
      <c r="F43" s="65"/>
      <c r="H43" s="148"/>
      <c r="I43" s="138"/>
      <c r="J43" s="197"/>
      <c r="K43" s="115" t="s">
        <v>62</v>
      </c>
      <c r="L43" s="139" t="s">
        <v>63</v>
      </c>
      <c r="M43" s="201"/>
      <c r="N43" s="65"/>
      <c r="R43" s="138"/>
      <c r="S43" s="197"/>
      <c r="T43" s="115" t="s">
        <v>62</v>
      </c>
      <c r="U43" s="139" t="s">
        <v>63</v>
      </c>
      <c r="V43" s="201"/>
      <c r="W43" s="65"/>
      <c r="AC43" s="138"/>
      <c r="AD43" s="197"/>
      <c r="AE43" s="115" t="s">
        <v>62</v>
      </c>
      <c r="AF43" s="139" t="s">
        <v>63</v>
      </c>
      <c r="AG43" s="201"/>
      <c r="AH43" s="65"/>
    </row>
    <row r="44" spans="1:34" ht="13.9" x14ac:dyDescent="0.3">
      <c r="A44" s="108" t="s">
        <v>6</v>
      </c>
      <c r="B44" s="117">
        <f>($B$36/'Enter field data'!$F$54)</f>
        <v>0.953125</v>
      </c>
      <c r="C44" s="118">
        <f>VLOOKUP($D$29,'Expected guild %'!$A$5:$G$13,2,FALSE)</f>
        <v>0.75</v>
      </c>
      <c r="D44" s="118">
        <f>VLOOKUP($D$29,'Expected guild %'!$A$5:$G$13,3,FALSE)</f>
        <v>1</v>
      </c>
      <c r="E44" s="119" t="str">
        <f>IF(AND(C44&lt;=B44,B44&lt;= D44)=TRUE,"Y","N")</f>
        <v>Y</v>
      </c>
      <c r="F44" s="65"/>
      <c r="H44" s="148"/>
      <c r="I44" s="108" t="s">
        <v>6</v>
      </c>
      <c r="J44" s="117">
        <f>($B$36/'Enter field data'!$F$54)</f>
        <v>0.953125</v>
      </c>
      <c r="K44" s="118" t="e">
        <f>VLOOKUP(L$29,'Expected guild %'!$A$5:$G$13,2,FALSE)</f>
        <v>#N/A</v>
      </c>
      <c r="L44" s="118" t="e">
        <f>VLOOKUP(L$29,'Expected guild %'!$A$5:$G$13,3,FALSE)</f>
        <v>#N/A</v>
      </c>
      <c r="M44" s="119" t="e">
        <f>IF(AND(K44&lt;=J44,J44&lt;= L44)=TRUE,"Y","N")</f>
        <v>#N/A</v>
      </c>
      <c r="N44" s="65"/>
      <c r="R44" s="108" t="s">
        <v>6</v>
      </c>
      <c r="S44" s="117">
        <f>($B$36/'Enter field data'!$F$54)</f>
        <v>0.953125</v>
      </c>
      <c r="T44" s="118" t="e">
        <f>VLOOKUP(U$29,'Expected guild %'!$A$5:$G$13,2,FALSE)</f>
        <v>#N/A</v>
      </c>
      <c r="U44" s="118" t="e">
        <f>VLOOKUP(U$29,'Expected guild %'!$A$5:$G$13,3,FALSE)</f>
        <v>#N/A</v>
      </c>
      <c r="V44" s="119" t="e">
        <f>IF(AND(T44&lt;=S44,S44&lt;= U44)=TRUE,"Y","N")</f>
        <v>#N/A</v>
      </c>
      <c r="W44" s="65"/>
      <c r="AC44" s="108" t="s">
        <v>6</v>
      </c>
      <c r="AD44" s="117">
        <f>($B$36/'Enter field data'!$F$54)</f>
        <v>0.953125</v>
      </c>
      <c r="AE44" s="118" t="e">
        <f>VLOOKUP(AF$29,'Expected guild %'!$A$5:$G$13,2,FALSE)</f>
        <v>#N/A</v>
      </c>
      <c r="AF44" s="118" t="e">
        <f>VLOOKUP(AF$29,'Expected guild %'!$A$5:$G$13,3,FALSE)</f>
        <v>#N/A</v>
      </c>
      <c r="AG44" s="119" t="e">
        <f>IF(AND(AE44&lt;=AD44,AD44&lt;= AF44)=TRUE,"Y","N")</f>
        <v>#N/A</v>
      </c>
      <c r="AH44" s="65"/>
    </row>
    <row r="45" spans="1:34" x14ac:dyDescent="0.2">
      <c r="A45" s="108" t="s">
        <v>7</v>
      </c>
      <c r="B45" s="117">
        <f>($B$37/'Enter field data'!$F$54)</f>
        <v>4.6875E-2</v>
      </c>
      <c r="C45" s="118">
        <f>VLOOKUP($D$29,'Expected guild %'!$A$5:$G$13,4,FALSE)</f>
        <v>0</v>
      </c>
      <c r="D45" s="118">
        <f>VLOOKUP($D$29,'Expected guild %'!$A$5:$G$13,5,FALSE)</f>
        <v>0.25</v>
      </c>
      <c r="E45" s="119" t="str">
        <f>IF(AND(C45&lt;=B45,B45&lt;= D45)=TRUE,"Y","N")</f>
        <v>Y</v>
      </c>
      <c r="F45" s="65"/>
      <c r="H45" s="148"/>
      <c r="I45" s="108" t="s">
        <v>7</v>
      </c>
      <c r="J45" s="117">
        <f>($B$37/'Enter field data'!$F$54)</f>
        <v>4.6875E-2</v>
      </c>
      <c r="K45" s="118" t="e">
        <f>VLOOKUP(L$29,'Expected guild %'!$A$5:$G$13,4,FALSE)</f>
        <v>#N/A</v>
      </c>
      <c r="L45" s="118" t="e">
        <f>VLOOKUP(L$29,'Expected guild %'!$A$5:$G$13,5,FALSE)</f>
        <v>#N/A</v>
      </c>
      <c r="M45" s="119" t="e">
        <f>IF(AND(K45&lt;=J45,J45&lt;= L45)=TRUE,"Y","N")</f>
        <v>#N/A</v>
      </c>
      <c r="N45" s="65"/>
      <c r="R45" s="108" t="s">
        <v>7</v>
      </c>
      <c r="S45" s="117">
        <f>($B$37/'Enter field data'!$F$54)</f>
        <v>4.6875E-2</v>
      </c>
      <c r="T45" s="118" t="e">
        <f>VLOOKUP(U$29,'Expected guild %'!$A$5:$G$13,4,FALSE)</f>
        <v>#N/A</v>
      </c>
      <c r="U45" s="118" t="e">
        <f>VLOOKUP(U$29,'Expected guild %'!$A$5:$G$13,5,FALSE)</f>
        <v>#N/A</v>
      </c>
      <c r="V45" s="119" t="e">
        <f>IF(AND(T45&lt;=S45,S45&lt;= U45)=TRUE,"Y","N")</f>
        <v>#N/A</v>
      </c>
      <c r="W45" s="65"/>
      <c r="AC45" s="108" t="s">
        <v>7</v>
      </c>
      <c r="AD45" s="117">
        <f>($B$37/'Enter field data'!$F$54)</f>
        <v>4.6875E-2</v>
      </c>
      <c r="AE45" s="118" t="e">
        <f>VLOOKUP(AF$29,'Expected guild %'!$A$5:$G$13,4,FALSE)</f>
        <v>#N/A</v>
      </c>
      <c r="AF45" s="118" t="e">
        <f>VLOOKUP(AF$29,'Expected guild %'!$A$5:$G$13,5,FALSE)</f>
        <v>#N/A</v>
      </c>
      <c r="AG45" s="119" t="e">
        <f>IF(AND(AE45&lt;=AD45,AD45&lt;= AF45)=TRUE,"Y","N")</f>
        <v>#N/A</v>
      </c>
      <c r="AH45" s="65"/>
    </row>
    <row r="46" spans="1:34" x14ac:dyDescent="0.2">
      <c r="A46" s="108" t="s">
        <v>8</v>
      </c>
      <c r="B46" s="117">
        <f>($B$38/'Enter field data'!$F$54)</f>
        <v>0</v>
      </c>
      <c r="C46" s="118">
        <f>VLOOKUP($D$29,'Expected guild %'!$A$5:$G$13,6,FALSE)</f>
        <v>0</v>
      </c>
      <c r="D46" s="118">
        <f>VLOOKUP($D$29,'Expected guild %'!$A$5:$G$13,7,FALSE)</f>
        <v>0.05</v>
      </c>
      <c r="E46" s="119" t="str">
        <f>IF(AND(C46&lt;=B46,B46&lt;= D46)=TRUE,"Y","N")</f>
        <v>Y</v>
      </c>
      <c r="F46" s="65"/>
      <c r="H46" s="148"/>
      <c r="I46" s="108" t="s">
        <v>8</v>
      </c>
      <c r="J46" s="117">
        <f>($B$38/'Enter field data'!$F$54)</f>
        <v>0</v>
      </c>
      <c r="K46" s="118" t="e">
        <f>VLOOKUP(L$29,'Expected guild %'!$A$5:$G$13,6,FALSE)</f>
        <v>#N/A</v>
      </c>
      <c r="L46" s="118" t="e">
        <f>VLOOKUP(L$29,'Expected guild %'!$A$5:$G$13,7,FALSE)</f>
        <v>#N/A</v>
      </c>
      <c r="M46" s="119" t="e">
        <f>IF(AND(K46&lt;=J46,J46&lt;= L46)=TRUE,"Y","N")</f>
        <v>#N/A</v>
      </c>
      <c r="N46" s="65"/>
      <c r="R46" s="108" t="s">
        <v>8</v>
      </c>
      <c r="S46" s="117">
        <f>($B$38/'Enter field data'!$F$54)</f>
        <v>0</v>
      </c>
      <c r="T46" s="118" t="e">
        <f>VLOOKUP(U$29,'Expected guild %'!$A$5:$G$13,6,FALSE)</f>
        <v>#N/A</v>
      </c>
      <c r="U46" s="118" t="e">
        <f>VLOOKUP(U$29,'Expected guild %'!$A$5:$G$13,7,FALSE)</f>
        <v>#N/A</v>
      </c>
      <c r="V46" s="119" t="e">
        <f>IF(AND(T46&lt;=S46,S46&lt;= U46)=TRUE,"Y","N")</f>
        <v>#N/A</v>
      </c>
      <c r="W46" s="65"/>
      <c r="AC46" s="108" t="s">
        <v>8</v>
      </c>
      <c r="AD46" s="117">
        <f>($B$38/'Enter field data'!$F$54)</f>
        <v>0</v>
      </c>
      <c r="AE46" s="118" t="e">
        <f>VLOOKUP(AF$29,'Expected guild %'!$A$5:$G$13,6,FALSE)</f>
        <v>#N/A</v>
      </c>
      <c r="AF46" s="118" t="e">
        <f>VLOOKUP(AF$29,'Expected guild %'!$A$5:$G$13,7,FALSE)</f>
        <v>#N/A</v>
      </c>
      <c r="AG46" s="119" t="e">
        <f>IF(AND(AE46&lt;=AD46,AD46&lt;= AF46)=TRUE,"Y","N")</f>
        <v>#N/A</v>
      </c>
      <c r="AH46" s="65"/>
    </row>
    <row r="47" spans="1:34" x14ac:dyDescent="0.2">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x14ac:dyDescent="0.2">
      <c r="A48" s="207" t="s">
        <v>0</v>
      </c>
      <c r="B48" s="208"/>
      <c r="C48" s="208"/>
      <c r="D48" s="208"/>
      <c r="E48" s="209"/>
      <c r="F48" s="65"/>
      <c r="H48" s="148"/>
      <c r="I48" s="207" t="s">
        <v>0</v>
      </c>
      <c r="J48" s="208"/>
      <c r="K48" s="208"/>
      <c r="L48" s="208"/>
      <c r="M48" s="209"/>
      <c r="N48" s="65"/>
      <c r="R48" s="207" t="s">
        <v>0</v>
      </c>
      <c r="S48" s="208"/>
      <c r="T48" s="208"/>
      <c r="U48" s="208"/>
      <c r="V48" s="209"/>
      <c r="W48" s="65"/>
      <c r="AC48" s="207" t="s">
        <v>0</v>
      </c>
      <c r="AD48" s="208"/>
      <c r="AE48" s="208"/>
      <c r="AF48" s="208"/>
      <c r="AG48" s="209"/>
      <c r="AH48" s="65"/>
    </row>
    <row r="49" spans="1:35" ht="12.75" customHeight="1" x14ac:dyDescent="0.2">
      <c r="A49" s="196" t="s">
        <v>55</v>
      </c>
      <c r="B49" s="196" t="s">
        <v>65</v>
      </c>
      <c r="C49" s="198" t="s">
        <v>66</v>
      </c>
      <c r="D49" s="199"/>
      <c r="E49" s="200" t="s">
        <v>56</v>
      </c>
      <c r="F49" s="65"/>
      <c r="H49" s="148"/>
      <c r="I49" s="196" t="s">
        <v>55</v>
      </c>
      <c r="J49" s="196" t="s">
        <v>65</v>
      </c>
      <c r="K49" s="198" t="s">
        <v>66</v>
      </c>
      <c r="L49" s="199"/>
      <c r="M49" s="200" t="s">
        <v>56</v>
      </c>
      <c r="N49" s="65"/>
      <c r="R49" s="196" t="s">
        <v>55</v>
      </c>
      <c r="S49" s="196" t="s">
        <v>65</v>
      </c>
      <c r="T49" s="198" t="s">
        <v>66</v>
      </c>
      <c r="U49" s="199"/>
      <c r="V49" s="200" t="s">
        <v>56</v>
      </c>
      <c r="W49" s="65"/>
      <c r="AC49" s="196" t="s">
        <v>55</v>
      </c>
      <c r="AD49" s="196" t="s">
        <v>65</v>
      </c>
      <c r="AE49" s="198" t="s">
        <v>66</v>
      </c>
      <c r="AF49" s="199"/>
      <c r="AG49" s="200" t="s">
        <v>56</v>
      </c>
      <c r="AH49" s="65"/>
    </row>
    <row r="50" spans="1:35" x14ac:dyDescent="0.2">
      <c r="A50" s="197"/>
      <c r="B50" s="197"/>
      <c r="C50" s="115" t="s">
        <v>62</v>
      </c>
      <c r="D50" s="116" t="s">
        <v>63</v>
      </c>
      <c r="E50" s="201"/>
      <c r="F50" s="65"/>
      <c r="H50" s="148"/>
      <c r="I50" s="197"/>
      <c r="J50" s="197"/>
      <c r="K50" s="115" t="s">
        <v>62</v>
      </c>
      <c r="L50" s="139" t="s">
        <v>63</v>
      </c>
      <c r="M50" s="201"/>
      <c r="N50" s="65"/>
      <c r="R50" s="197"/>
      <c r="S50" s="197"/>
      <c r="T50" s="115" t="s">
        <v>62</v>
      </c>
      <c r="U50" s="139" t="s">
        <v>63</v>
      </c>
      <c r="V50" s="201"/>
      <c r="W50" s="65"/>
      <c r="AC50" s="197"/>
      <c r="AD50" s="197"/>
      <c r="AE50" s="115" t="s">
        <v>62</v>
      </c>
      <c r="AF50" s="139" t="s">
        <v>63</v>
      </c>
      <c r="AG50" s="201"/>
      <c r="AH50" s="65"/>
    </row>
    <row r="51" spans="1:35" x14ac:dyDescent="0.2">
      <c r="A51" s="108" t="s">
        <v>9</v>
      </c>
      <c r="B51" s="118">
        <f>($D$36/'Enter field data'!$F$54)</f>
        <v>1</v>
      </c>
      <c r="C51" s="120">
        <f>VLOOKUP($D$29,'Expected guild %'!$A$19:$G$27,2,FALSE)</f>
        <v>0</v>
      </c>
      <c r="D51" s="118">
        <f>VLOOKUP($D$29,'Expected guild %'!$A$19:$G$27,3,FALSE)</f>
        <v>1</v>
      </c>
      <c r="E51" s="119" t="str">
        <f>IF(AND(C51&lt;=B51,B51&lt;= D51)=TRUE,"Y","N")</f>
        <v>Y</v>
      </c>
      <c r="F51" s="65"/>
      <c r="H51" s="148"/>
      <c r="I51" s="108" t="s">
        <v>9</v>
      </c>
      <c r="J51" s="118">
        <f>($D$36/'Enter field data'!$F$54)</f>
        <v>1</v>
      </c>
      <c r="K51" s="120" t="e">
        <f>VLOOKUP(L$29,'Expected guild %'!$A$19:$G$27,2,FALSE)</f>
        <v>#N/A</v>
      </c>
      <c r="L51" s="118" t="e">
        <f>VLOOKUP(L$29,'Expected guild %'!$A$19:$G$27,3,FALSE)</f>
        <v>#N/A</v>
      </c>
      <c r="M51" s="119" t="e">
        <f>IF(AND(K51&lt;=J51,J51&lt;= L51)=TRUE,"Y","N")</f>
        <v>#N/A</v>
      </c>
      <c r="N51" s="65"/>
      <c r="R51" s="108" t="s">
        <v>9</v>
      </c>
      <c r="S51" s="118">
        <f>($D$36/'Enter field data'!$F$54)</f>
        <v>1</v>
      </c>
      <c r="T51" s="120" t="e">
        <f>VLOOKUP(U$29,'Expected guild %'!$A$19:$G$27,2,FALSE)</f>
        <v>#N/A</v>
      </c>
      <c r="U51" s="118" t="e">
        <f>VLOOKUP(U$29,'Expected guild %'!$A$19:$G$27,3,FALSE)</f>
        <v>#N/A</v>
      </c>
      <c r="V51" s="119" t="e">
        <f>IF(AND(T51&lt;=S51,S51&lt;= U51)=TRUE,"Y","N")</f>
        <v>#N/A</v>
      </c>
      <c r="W51" s="65"/>
      <c r="AC51" s="108" t="s">
        <v>9</v>
      </c>
      <c r="AD51" s="118">
        <f>($D$36/'Enter field data'!$F$54)</f>
        <v>1</v>
      </c>
      <c r="AE51" s="120" t="e">
        <f>VLOOKUP(AF$29,'Expected guild %'!$A$19:$G$27,2,FALSE)</f>
        <v>#N/A</v>
      </c>
      <c r="AF51" s="118" t="e">
        <f>VLOOKUP(AF$29,'Expected guild %'!$A$19:$G$27,3,FALSE)</f>
        <v>#N/A</v>
      </c>
      <c r="AG51" s="119" t="e">
        <f>IF(AND(AE51&lt;=AD51,AD51&lt;= AF51)=TRUE,"Y","N")</f>
        <v>#N/A</v>
      </c>
      <c r="AH51" s="65"/>
    </row>
    <row r="52" spans="1:35" x14ac:dyDescent="0.2">
      <c r="A52" s="108" t="s">
        <v>10</v>
      </c>
      <c r="B52" s="118">
        <f>($D$37/'Enter field data'!$F$54)</f>
        <v>0</v>
      </c>
      <c r="C52" s="120">
        <f>VLOOKUP($D$29,'Expected guild %'!$A$19:$G$27,4,FALSE)</f>
        <v>0</v>
      </c>
      <c r="D52" s="118">
        <f>VLOOKUP($D$29,'Expected guild %'!$A$19:$G$27,5,FALSE)</f>
        <v>1</v>
      </c>
      <c r="E52" s="119" t="str">
        <f>IF(AND(C52&lt;=B52,B52&lt;= D52)=TRUE,"Y","N")</f>
        <v>Y</v>
      </c>
      <c r="F52" s="65"/>
      <c r="H52" s="148"/>
      <c r="I52" s="108" t="s">
        <v>10</v>
      </c>
      <c r="J52" s="118">
        <f>($D$37/'Enter field data'!$F$54)</f>
        <v>0</v>
      </c>
      <c r="K52" s="120" t="e">
        <f>VLOOKUP(L$29,'Expected guild %'!$A$19:$G$27,4,FALSE)</f>
        <v>#N/A</v>
      </c>
      <c r="L52" s="118" t="e">
        <f>VLOOKUP(L$29,'Expected guild %'!$A$19:$G$27,5,FALSE)</f>
        <v>#N/A</v>
      </c>
      <c r="M52" s="119" t="e">
        <f>IF(AND(K52&lt;=J52,J52&lt;= L52)=TRUE,"Y","N")</f>
        <v>#N/A</v>
      </c>
      <c r="N52" s="65"/>
      <c r="R52" s="108" t="s">
        <v>10</v>
      </c>
      <c r="S52" s="118">
        <f>($D$37/'Enter field data'!$F$54)</f>
        <v>0</v>
      </c>
      <c r="T52" s="120" t="e">
        <f>VLOOKUP(U$29,'Expected guild %'!$A$19:$G$27,4,FALSE)</f>
        <v>#N/A</v>
      </c>
      <c r="U52" s="118" t="e">
        <f>VLOOKUP(U$29,'Expected guild %'!$A$19:$G$27,5,FALSE)</f>
        <v>#N/A</v>
      </c>
      <c r="V52" s="119" t="e">
        <f>IF(AND(T52&lt;=S52,S52&lt;= U52)=TRUE,"Y","N")</f>
        <v>#N/A</v>
      </c>
      <c r="W52" s="65"/>
      <c r="AC52" s="108" t="s">
        <v>10</v>
      </c>
      <c r="AD52" s="118">
        <f>($D$37/'Enter field data'!$F$54)</f>
        <v>0</v>
      </c>
      <c r="AE52" s="120" t="e">
        <f>VLOOKUP(AF$29,'Expected guild %'!$A$19:$G$27,4,FALSE)</f>
        <v>#N/A</v>
      </c>
      <c r="AF52" s="118" t="e">
        <f>VLOOKUP(AF$29,'Expected guild %'!$A$19:$G$27,5,FALSE)</f>
        <v>#N/A</v>
      </c>
      <c r="AG52" s="119" t="e">
        <f>IF(AND(AE52&lt;=AD52,AD52&lt;= AF52)=TRUE,"Y","N")</f>
        <v>#N/A</v>
      </c>
      <c r="AH52" s="65"/>
    </row>
    <row r="53" spans="1:35" x14ac:dyDescent="0.2">
      <c r="A53" s="108" t="s">
        <v>11</v>
      </c>
      <c r="B53" s="118">
        <f>($D$38/'Enter field data'!$F$54)</f>
        <v>0</v>
      </c>
      <c r="C53" s="120">
        <f>VLOOKUP($D$29,'Expected guild %'!$A$19:$G$27,6,FALSE)</f>
        <v>0</v>
      </c>
      <c r="D53" s="118">
        <f>VLOOKUP($D$29,'Expected guild %'!$A$19:$G$27,7,FALSE)</f>
        <v>1</v>
      </c>
      <c r="E53" s="119" t="str">
        <f>IF(AND(C53&lt;=B53,B53&lt;= D53)=TRUE,"Y","N")</f>
        <v>Y</v>
      </c>
      <c r="F53" s="65"/>
      <c r="H53" s="148"/>
      <c r="I53" s="108" t="s">
        <v>11</v>
      </c>
      <c r="J53" s="118">
        <f>($D$38/'Enter field data'!$F$54)</f>
        <v>0</v>
      </c>
      <c r="K53" s="120" t="e">
        <f>VLOOKUP(L$29,'Expected guild %'!$A$19:$G$27,6,FALSE)</f>
        <v>#N/A</v>
      </c>
      <c r="L53" s="118" t="e">
        <f>VLOOKUP(L$29,'Expected guild %'!$A$19:$G$27,7,FALSE)</f>
        <v>#N/A</v>
      </c>
      <c r="M53" s="119" t="e">
        <f>IF(AND(K53&lt;=J53,J53&lt;= L53)=TRUE,"Y","N")</f>
        <v>#N/A</v>
      </c>
      <c r="N53" s="65"/>
      <c r="R53" s="108" t="s">
        <v>11</v>
      </c>
      <c r="S53" s="118">
        <f>($D$38/'Enter field data'!$F$54)</f>
        <v>0</v>
      </c>
      <c r="T53" s="120" t="e">
        <f>VLOOKUP(U$29,'Expected guild %'!$A$19:$G$27,6,FALSE)</f>
        <v>#N/A</v>
      </c>
      <c r="U53" s="118" t="e">
        <f>VLOOKUP(U$29,'Expected guild %'!$A$19:$G$27,7,FALSE)</f>
        <v>#N/A</v>
      </c>
      <c r="V53" s="119" t="e">
        <f>IF(AND(T53&lt;=S53,S53&lt;= U53)=TRUE,"Y","N")</f>
        <v>#N/A</v>
      </c>
      <c r="W53" s="65"/>
      <c r="AC53" s="108" t="s">
        <v>11</v>
      </c>
      <c r="AD53" s="118">
        <f>($D$38/'Enter field data'!$F$54)</f>
        <v>0</v>
      </c>
      <c r="AE53" s="120" t="e">
        <f>VLOOKUP(AF$29,'Expected guild %'!$A$19:$G$27,6,FALSE)</f>
        <v>#N/A</v>
      </c>
      <c r="AF53" s="118" t="e">
        <f>VLOOKUP(AF$29,'Expected guild %'!$A$19:$G$27,7,FALSE)</f>
        <v>#N/A</v>
      </c>
      <c r="AG53" s="119" t="e">
        <f>IF(AND(AE53&lt;=AD53,AD53&lt;= AF53)=TRUE,"Y","N")</f>
        <v>#N/A</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95"/>
      <c r="B57" s="211"/>
      <c r="C57" s="211"/>
      <c r="D57" s="211"/>
      <c r="E57" s="211"/>
      <c r="F57" s="194"/>
      <c r="G57" s="194"/>
      <c r="H57" s="148"/>
      <c r="I57" s="195"/>
      <c r="J57" s="211"/>
      <c r="K57" s="211"/>
      <c r="L57" s="211"/>
      <c r="M57" s="211"/>
      <c r="N57" s="194"/>
      <c r="O57" s="216"/>
      <c r="R57" s="195"/>
      <c r="S57" s="211"/>
      <c r="T57" s="211"/>
      <c r="U57" s="211"/>
      <c r="V57" s="211"/>
      <c r="W57" s="194"/>
      <c r="X57" s="216"/>
      <c r="AC57" s="195"/>
      <c r="AD57" s="211"/>
      <c r="AE57" s="211"/>
      <c r="AF57" s="211"/>
      <c r="AG57" s="211"/>
      <c r="AH57" s="194"/>
      <c r="AI57" s="216"/>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207" t="s">
        <v>1</v>
      </c>
      <c r="B71" s="208"/>
      <c r="C71" s="208"/>
      <c r="D71" s="208"/>
      <c r="E71" s="209"/>
      <c r="F71" s="65"/>
      <c r="H71" s="148"/>
      <c r="I71" s="207" t="s">
        <v>1</v>
      </c>
      <c r="J71" s="208"/>
      <c r="K71" s="208"/>
      <c r="L71" s="208"/>
      <c r="M71" s="209"/>
      <c r="N71" s="65"/>
      <c r="R71" s="207" t="s">
        <v>1</v>
      </c>
      <c r="S71" s="208"/>
      <c r="T71" s="208"/>
      <c r="U71" s="208"/>
      <c r="V71" s="209"/>
      <c r="W71" s="65"/>
      <c r="AC71" s="207" t="s">
        <v>1</v>
      </c>
      <c r="AD71" s="208"/>
      <c r="AE71" s="208"/>
      <c r="AF71" s="208"/>
      <c r="AG71" s="209"/>
      <c r="AH71" s="65"/>
    </row>
    <row r="72" spans="1:34" ht="12.75" customHeight="1" x14ac:dyDescent="0.2">
      <c r="A72" s="196" t="s">
        <v>55</v>
      </c>
      <c r="B72" s="196" t="s">
        <v>65</v>
      </c>
      <c r="C72" s="198" t="s">
        <v>66</v>
      </c>
      <c r="D72" s="199"/>
      <c r="E72" s="200" t="s">
        <v>56</v>
      </c>
      <c r="F72" s="65"/>
      <c r="H72" s="148"/>
      <c r="I72" s="196" t="s">
        <v>55</v>
      </c>
      <c r="J72" s="196" t="s">
        <v>65</v>
      </c>
      <c r="K72" s="198" t="s">
        <v>66</v>
      </c>
      <c r="L72" s="199"/>
      <c r="M72" s="200" t="s">
        <v>56</v>
      </c>
      <c r="N72" s="65"/>
      <c r="R72" s="196" t="s">
        <v>55</v>
      </c>
      <c r="S72" s="196" t="s">
        <v>65</v>
      </c>
      <c r="T72" s="198" t="s">
        <v>66</v>
      </c>
      <c r="U72" s="199"/>
      <c r="V72" s="200" t="s">
        <v>56</v>
      </c>
      <c r="W72" s="65"/>
      <c r="AC72" s="196" t="s">
        <v>55</v>
      </c>
      <c r="AD72" s="196" t="s">
        <v>65</v>
      </c>
      <c r="AE72" s="198" t="s">
        <v>66</v>
      </c>
      <c r="AF72" s="199"/>
      <c r="AG72" s="200" t="s">
        <v>56</v>
      </c>
      <c r="AH72" s="65"/>
    </row>
    <row r="73" spans="1:34" x14ac:dyDescent="0.2">
      <c r="A73" s="197"/>
      <c r="B73" s="197"/>
      <c r="C73" s="115" t="s">
        <v>62</v>
      </c>
      <c r="D73" s="116" t="s">
        <v>63</v>
      </c>
      <c r="E73" s="201"/>
      <c r="F73" s="65"/>
      <c r="H73" s="148"/>
      <c r="I73" s="197"/>
      <c r="J73" s="197"/>
      <c r="K73" s="115" t="s">
        <v>62</v>
      </c>
      <c r="L73" s="139" t="s">
        <v>63</v>
      </c>
      <c r="M73" s="201"/>
      <c r="N73" s="65"/>
      <c r="R73" s="197"/>
      <c r="S73" s="197"/>
      <c r="T73" s="115" t="s">
        <v>62</v>
      </c>
      <c r="U73" s="139" t="s">
        <v>63</v>
      </c>
      <c r="V73" s="201"/>
      <c r="W73" s="65"/>
      <c r="AC73" s="197"/>
      <c r="AD73" s="197"/>
      <c r="AE73" s="115" t="s">
        <v>62</v>
      </c>
      <c r="AF73" s="139" t="s">
        <v>63</v>
      </c>
      <c r="AG73" s="201"/>
      <c r="AH73" s="65"/>
    </row>
    <row r="74" spans="1:34" x14ac:dyDescent="0.2">
      <c r="A74" s="108" t="s">
        <v>12</v>
      </c>
      <c r="B74" s="117">
        <f>($F$36/'Enter field data'!$F$54)</f>
        <v>0.953125</v>
      </c>
      <c r="C74" s="127" t="str">
        <f>VLOOKUP($D$29,'Expected guild %'!$A$33:$G$41,2,FALSE)</f>
        <v>PRESENT</v>
      </c>
      <c r="D74" s="118">
        <f>VLOOKUP($D$29,'Expected guild %'!$A$33:$G$41,3,FALSE)</f>
        <v>1</v>
      </c>
      <c r="E74" s="119" t="str">
        <f>IF(AND($B$74&gt;0,$B$74&lt;= $D$74)=TRUE,"Y","N")</f>
        <v>Y</v>
      </c>
      <c r="F74" s="65"/>
      <c r="H74" s="148"/>
      <c r="I74" s="108" t="s">
        <v>12</v>
      </c>
      <c r="J74" s="117">
        <f>($F$36/'Enter field data'!$F$54)</f>
        <v>0.953125</v>
      </c>
      <c r="K74" s="127" t="e">
        <f>VLOOKUP(L$29,'Expected guild %'!$A$33:$G$41,2,FALSE)</f>
        <v>#N/A</v>
      </c>
      <c r="L74" s="118" t="e">
        <f>VLOOKUP(L$29,'Expected guild %'!$A$33:$G$41,3,FALSE)</f>
        <v>#N/A</v>
      </c>
      <c r="M74" s="119" t="e">
        <f>IF(AND($J$74&gt;0,$J$74&lt;= $L$74)=TRUE,"Y","N")</f>
        <v>#N/A</v>
      </c>
      <c r="N74" s="65"/>
      <c r="R74" s="108" t="s">
        <v>12</v>
      </c>
      <c r="S74" s="117">
        <f>($F$36/'Enter field data'!$F$54)</f>
        <v>0.953125</v>
      </c>
      <c r="T74" s="127" t="e">
        <f>VLOOKUP(U$29,'Expected guild %'!$A$33:$G$41,2,FALSE)</f>
        <v>#N/A</v>
      </c>
      <c r="U74" s="118" t="e">
        <f>VLOOKUP(U$29,'Expected guild %'!$A$33:$G$41,3,FALSE)</f>
        <v>#N/A</v>
      </c>
      <c r="V74" s="119" t="e">
        <f>IF(AND($S$74&gt;0,$S$74&lt;= $U$74)=TRUE,"Y","N")</f>
        <v>#N/A</v>
      </c>
      <c r="W74" s="65"/>
      <c r="AC74" s="108" t="s">
        <v>12</v>
      </c>
      <c r="AD74" s="117">
        <f>($F$36/'Enter field data'!$F$54)</f>
        <v>0.953125</v>
      </c>
      <c r="AE74" s="127" t="e">
        <f>VLOOKUP(AF$29,'Expected guild %'!$A$33:$G$41,2,FALSE)</f>
        <v>#N/A</v>
      </c>
      <c r="AF74" s="118" t="e">
        <f>VLOOKUP(AF$29,'Expected guild %'!$A$33:$G$41,3,FALSE)</f>
        <v>#N/A</v>
      </c>
      <c r="AG74" s="119" t="e">
        <f>IF(AND($AD$74&gt;0,$AD$74&lt;= $AF$74)=TRUE,"Y","N")</f>
        <v>#N/A</v>
      </c>
      <c r="AH74" s="65"/>
    </row>
    <row r="75" spans="1:34" x14ac:dyDescent="0.2">
      <c r="A75" s="108" t="s">
        <v>386</v>
      </c>
      <c r="B75" s="117">
        <f>($F$37/'Enter field data'!$F$54)</f>
        <v>0</v>
      </c>
      <c r="C75" s="127">
        <f>VLOOKUP($D$29,'Expected guild %'!$A$33:$G$41,4,FALSE)</f>
        <v>0</v>
      </c>
      <c r="D75" s="118">
        <f>VLOOKUP($D$29,'Expected guild %'!$A$33:$G$41,5,FALSE)</f>
        <v>1</v>
      </c>
      <c r="E75" s="119" t="str">
        <f>IF(AND($C$75&lt;=$B$75,$B$75&lt;= $D$75)=TRUE,"Y","N")</f>
        <v>Y</v>
      </c>
      <c r="H75" s="148"/>
      <c r="I75" s="108" t="s">
        <v>386</v>
      </c>
      <c r="J75" s="117">
        <f>($F$37/'Enter field data'!$F$54)</f>
        <v>0</v>
      </c>
      <c r="K75" s="127" t="e">
        <f>VLOOKUP(L$29,'Expected guild %'!$A$33:$G$41,4,FALSE)</f>
        <v>#N/A</v>
      </c>
      <c r="L75" s="118" t="e">
        <f>VLOOKUP(L$29,'Expected guild %'!$A$33:$G$41,5,FALSE)</f>
        <v>#N/A</v>
      </c>
      <c r="M75" s="119" t="e">
        <f>IF(AND($K$75&lt;=$J$75,$J$75&lt;= $L$75)=TRUE,"Y","N")</f>
        <v>#N/A</v>
      </c>
      <c r="R75" s="108" t="s">
        <v>386</v>
      </c>
      <c r="S75" s="117">
        <f>($F$37/'Enter field data'!$F$54)</f>
        <v>0</v>
      </c>
      <c r="T75" s="127" t="e">
        <f>VLOOKUP(U$29,'Expected guild %'!$A$33:$G$41,4,FALSE)</f>
        <v>#N/A</v>
      </c>
      <c r="U75" s="118" t="e">
        <f>VLOOKUP(U$29,'Expected guild %'!$A$33:$G$41,5,FALSE)</f>
        <v>#N/A</v>
      </c>
      <c r="V75" s="119" t="e">
        <f>IF(AND($T$75&lt;=$S$75,$S$75&lt;= $U$75)=TRUE,"Y","N")</f>
        <v>#N/A</v>
      </c>
      <c r="AC75" s="108" t="s">
        <v>386</v>
      </c>
      <c r="AD75" s="117">
        <f>($F$37/'Enter field data'!$F$54)</f>
        <v>0</v>
      </c>
      <c r="AE75" s="127" t="e">
        <f>VLOOKUP(AF$29,'Expected guild %'!$A$33:$G$41,4,FALSE)</f>
        <v>#N/A</v>
      </c>
      <c r="AF75" s="118" t="e">
        <f>VLOOKUP(AF$29,'Expected guild %'!$A$33:$G$41,5,FALSE)</f>
        <v>#N/A</v>
      </c>
      <c r="AG75" s="119" t="e">
        <f>IF(AND($AE$75&lt;=$AD$75,$AD$75&lt;= $AF$75)=TRUE,"Y","N")</f>
        <v>#N/A</v>
      </c>
    </row>
    <row r="76" spans="1:34" x14ac:dyDescent="0.2">
      <c r="A76" s="108" t="s">
        <v>14</v>
      </c>
      <c r="B76" s="117">
        <f>($F$38/'Enter field data'!$F$54)</f>
        <v>4.6875E-2</v>
      </c>
      <c r="C76" s="127">
        <f>VLOOKUP($D$29,'Expected guild %'!$A$33:$G$41,6,FALSE)</f>
        <v>0</v>
      </c>
      <c r="D76" s="118">
        <f>VLOOKUP($D$29,'Expected guild %'!$A$33:$G$41,7,FALSE)</f>
        <v>0.25</v>
      </c>
      <c r="E76" s="119" t="str">
        <f>IF(AND($C$76&lt;=$B$76,$B$76&lt;= $D$76)=TRUE,"Y","N")</f>
        <v>Y</v>
      </c>
      <c r="F76" s="65"/>
      <c r="H76" s="148"/>
      <c r="I76" s="108" t="s">
        <v>14</v>
      </c>
      <c r="J76" s="117">
        <f>($F$38/'Enter field data'!$F$54)</f>
        <v>4.6875E-2</v>
      </c>
      <c r="K76" s="127" t="e">
        <f>VLOOKUP(L$29,'Expected guild %'!$A$33:$G$41,6,FALSE)</f>
        <v>#N/A</v>
      </c>
      <c r="L76" s="118" t="e">
        <f>VLOOKUP(L$29,'Expected guild %'!$A$33:$G$41,7,FALSE)</f>
        <v>#N/A</v>
      </c>
      <c r="M76" s="119" t="e">
        <f>IF(AND($K$76&lt;=$J$76,$J$76&lt;= $L$76)=TRUE,"Y","N")</f>
        <v>#N/A</v>
      </c>
      <c r="N76" s="65"/>
      <c r="R76" s="108" t="s">
        <v>14</v>
      </c>
      <c r="S76" s="117">
        <f>($F$38/'Enter field data'!$F$54)</f>
        <v>4.6875E-2</v>
      </c>
      <c r="T76" s="127" t="e">
        <f>VLOOKUP(U$29,'Expected guild %'!$A$33:$G$41,6,FALSE)</f>
        <v>#N/A</v>
      </c>
      <c r="U76" s="118" t="e">
        <f>VLOOKUP(U$29,'Expected guild %'!$A$33:$G$41,7,FALSE)</f>
        <v>#N/A</v>
      </c>
      <c r="V76" s="119" t="e">
        <f>IF(AND($T$76&lt;=$S$76,$S$76&lt;= $U$76)=TRUE,"Y","N")</f>
        <v>#N/A</v>
      </c>
      <c r="W76" s="65"/>
      <c r="AC76" s="108" t="s">
        <v>14</v>
      </c>
      <c r="AD76" s="117">
        <f>($F$38/'Enter field data'!$F$54)</f>
        <v>4.6875E-2</v>
      </c>
      <c r="AE76" s="127" t="e">
        <f>VLOOKUP(AF$29,'Expected guild %'!$A$33:$G$41,6,FALSE)</f>
        <v>#N/A</v>
      </c>
      <c r="AF76" s="118" t="e">
        <f>VLOOKUP(AF$29,'Expected guild %'!$A$33:$G$41,7,FALSE)</f>
        <v>#N/A</v>
      </c>
      <c r="AG76" s="119" t="e">
        <f>IF(AND($AE$76&lt;=$AD$76,$AD$76&lt;= $AF$76)=TRUE,"Y","N")</f>
        <v>#N/A</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95"/>
      <c r="B82" s="194"/>
      <c r="C82" s="194"/>
      <c r="D82" s="194"/>
      <c r="E82" s="194"/>
      <c r="F82" s="194"/>
      <c r="G82" s="194"/>
      <c r="H82" s="148"/>
      <c r="I82" s="195"/>
      <c r="J82" s="194"/>
      <c r="K82" s="194"/>
      <c r="L82" s="194"/>
      <c r="M82" s="194"/>
      <c r="N82" s="194"/>
      <c r="O82" s="216"/>
      <c r="R82" s="195"/>
      <c r="S82" s="194"/>
      <c r="T82" s="194"/>
      <c r="U82" s="194"/>
      <c r="V82" s="194"/>
      <c r="W82" s="194"/>
      <c r="X82" s="216"/>
      <c r="AC82" s="195"/>
      <c r="AD82" s="194"/>
      <c r="AE82" s="194"/>
      <c r="AF82" s="194"/>
      <c r="AG82" s="194"/>
      <c r="AH82" s="194"/>
      <c r="AI82" s="216"/>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203" t="s">
        <v>817</v>
      </c>
      <c r="B88" s="71" t="s">
        <v>818</v>
      </c>
      <c r="C88" s="72"/>
      <c r="D88" s="73" t="e">
        <f>'Weather Results'!$C$17</f>
        <v>#DIV/0!</v>
      </c>
      <c r="H88" s="148"/>
    </row>
    <row r="89" spans="1:35" x14ac:dyDescent="0.2">
      <c r="A89" s="203"/>
      <c r="B89" s="71" t="s">
        <v>819</v>
      </c>
      <c r="C89" s="72"/>
      <c r="D89" s="73">
        <f>'Weather Results'!$C$18</f>
        <v>15.779636666666669</v>
      </c>
      <c r="H89" s="148"/>
    </row>
    <row r="90" spans="1:35" x14ac:dyDescent="0.2">
      <c r="A90" s="203"/>
      <c r="B90" s="71" t="s">
        <v>820</v>
      </c>
      <c r="C90" s="72"/>
      <c r="D90" s="73">
        <f>'Weather Results'!$C$19</f>
        <v>19.463623999999996</v>
      </c>
      <c r="H90" s="148"/>
    </row>
    <row r="91" spans="1:35" x14ac:dyDescent="0.2">
      <c r="A91" s="203"/>
      <c r="B91" s="74" t="s">
        <v>821</v>
      </c>
      <c r="C91" s="72"/>
      <c r="D91" s="75" t="e">
        <f>'Weather Results'!$C$20</f>
        <v>#DIV/0!</v>
      </c>
      <c r="H91" s="148"/>
    </row>
    <row r="92" spans="1:35" x14ac:dyDescent="0.2">
      <c r="H92" s="148"/>
    </row>
    <row r="93" spans="1:35" ht="12.75" customHeight="1" x14ac:dyDescent="0.2">
      <c r="A93" s="202" t="s">
        <v>822</v>
      </c>
      <c r="B93" s="71" t="s">
        <v>823</v>
      </c>
      <c r="C93" s="72"/>
      <c r="D93" s="73" t="e">
        <f>'Weather Results'!$C$22</f>
        <v>#DIV/0!</v>
      </c>
      <c r="H93" s="148"/>
    </row>
    <row r="94" spans="1:35" x14ac:dyDescent="0.2">
      <c r="A94" s="202"/>
      <c r="B94" s="71" t="s">
        <v>824</v>
      </c>
      <c r="C94" s="72"/>
      <c r="D94" s="73" t="e">
        <f>'Weather Results'!$C$23</f>
        <v>#DIV/0!</v>
      </c>
      <c r="H94" s="148"/>
    </row>
    <row r="95" spans="1:35" x14ac:dyDescent="0.2">
      <c r="A95" s="202"/>
      <c r="B95" s="71" t="s">
        <v>825</v>
      </c>
      <c r="C95" s="72"/>
      <c r="D95" s="73" t="e">
        <f>'Weather Results'!$C$24</f>
        <v>#DIV/0!</v>
      </c>
      <c r="H95" s="148"/>
    </row>
    <row r="96" spans="1:35" x14ac:dyDescent="0.2">
      <c r="A96" s="202"/>
      <c r="B96" s="71" t="s">
        <v>826</v>
      </c>
      <c r="C96" s="72"/>
      <c r="D96" s="73" t="e">
        <f>'Weather Results'!$C$25</f>
        <v>#DIV/0!</v>
      </c>
      <c r="H96" s="148"/>
    </row>
    <row r="97" spans="1:8" x14ac:dyDescent="0.2">
      <c r="A97" s="202"/>
      <c r="B97" s="71" t="s">
        <v>827</v>
      </c>
      <c r="C97" s="72"/>
      <c r="D97" s="73" t="e">
        <f>'Weather Results'!$C$26</f>
        <v>#DIV/0!</v>
      </c>
      <c r="H97" s="148"/>
    </row>
    <row r="98" spans="1:8" x14ac:dyDescent="0.2">
      <c r="A98" s="202"/>
      <c r="B98" s="71" t="s">
        <v>828</v>
      </c>
      <c r="C98" s="72"/>
      <c r="D98" s="73">
        <f>'Weather Results'!$C$27</f>
        <v>1.9036549333333332</v>
      </c>
      <c r="H98" s="148"/>
    </row>
    <row r="99" spans="1:8" x14ac:dyDescent="0.2">
      <c r="A99" s="202"/>
      <c r="B99" s="71" t="s">
        <v>829</v>
      </c>
      <c r="C99" s="72"/>
      <c r="D99" s="73">
        <f>'Weather Results'!$C$28</f>
        <v>3.7308840666666665</v>
      </c>
      <c r="H99" s="148"/>
    </row>
    <row r="100" spans="1:8" x14ac:dyDescent="0.2">
      <c r="A100" s="202"/>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192"/>
      <c r="B103" s="193"/>
      <c r="C103" s="193"/>
      <c r="D103" s="193"/>
      <c r="E103" s="193"/>
      <c r="F103" s="194"/>
      <c r="G103" s="194"/>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192"/>
      <c r="B108" s="194"/>
      <c r="C108" s="194"/>
      <c r="D108" s="194"/>
      <c r="E108" s="194"/>
      <c r="F108" s="194"/>
      <c r="G108" s="194"/>
      <c r="H108" s="148"/>
    </row>
    <row r="110" spans="1:8" x14ac:dyDescent="0.2">
      <c r="A110" s="129" t="s">
        <v>914</v>
      </c>
    </row>
    <row r="111" spans="1:8" x14ac:dyDescent="0.2">
      <c r="A111" s="129"/>
    </row>
  </sheetData>
  <mergeCells count="92">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 ref="AD72:AD73"/>
    <mergeCell ref="AE72:AF72"/>
    <mergeCell ref="R57:X57"/>
    <mergeCell ref="R71:V71"/>
    <mergeCell ref="R72:R73"/>
    <mergeCell ref="S72:S73"/>
    <mergeCell ref="T72:U72"/>
    <mergeCell ref="V72:V73"/>
    <mergeCell ref="R48:V48"/>
    <mergeCell ref="R49:R50"/>
    <mergeCell ref="S49:S50"/>
    <mergeCell ref="T49:U49"/>
    <mergeCell ref="V49:V50"/>
    <mergeCell ref="U29:V29"/>
    <mergeCell ref="R41:V41"/>
    <mergeCell ref="S42:S43"/>
    <mergeCell ref="T42:U42"/>
    <mergeCell ref="V42:V43"/>
    <mergeCell ref="J49:J50"/>
    <mergeCell ref="K49:L49"/>
    <mergeCell ref="M49:M50"/>
    <mergeCell ref="I82:O82"/>
    <mergeCell ref="I57:O57"/>
    <mergeCell ref="I71:M71"/>
    <mergeCell ref="I72:I73"/>
    <mergeCell ref="J72:J73"/>
    <mergeCell ref="K72:L72"/>
    <mergeCell ref="M72:M73"/>
    <mergeCell ref="L29:M29"/>
    <mergeCell ref="I41:M41"/>
    <mergeCell ref="J42:J43"/>
    <mergeCell ref="K42:L42"/>
    <mergeCell ref="M42:M43"/>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ht="14.45" x14ac:dyDescent="0.3">
      <c r="A33" s="53"/>
      <c r="B33" s="53"/>
      <c r="C33" s="53"/>
      <c r="D33" s="53"/>
    </row>
    <row r="34" spans="1:4" ht="14.45" x14ac:dyDescent="0.3">
      <c r="A34" s="53"/>
      <c r="B34" s="53"/>
      <c r="C34" s="53"/>
      <c r="D34" s="53"/>
    </row>
    <row r="35" spans="1:4" ht="14.45" x14ac:dyDescent="0.3">
      <c r="A35" s="53"/>
      <c r="B35" s="53"/>
      <c r="C35" s="53"/>
      <c r="D35" s="53"/>
    </row>
    <row r="36" spans="1:4" ht="14.45" x14ac:dyDescent="0.3">
      <c r="A36" s="53"/>
      <c r="B36" s="53"/>
      <c r="C36" s="53"/>
      <c r="D36" s="53"/>
    </row>
    <row r="37" spans="1:4" ht="14.45" x14ac:dyDescent="0.3">
      <c r="A37" s="53"/>
      <c r="B37" s="53"/>
      <c r="C37" s="53"/>
      <c r="D37" s="53"/>
    </row>
    <row r="38" spans="1:4" ht="14.45" x14ac:dyDescent="0.3">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3">
      <c r="A18" s="36" t="s">
        <v>909</v>
      </c>
    </row>
    <row r="19" spans="1:1" ht="53.25" customHeight="1" x14ac:dyDescent="0.3">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7" t="s">
        <v>803</v>
      </c>
      <c r="B1" s="61" t="s">
        <v>804</v>
      </c>
      <c r="C1" s="59">
        <f>'Enter field data'!B6</f>
        <v>41086</v>
      </c>
    </row>
    <row r="2" spans="1:5" s="39" customFormat="1" x14ac:dyDescent="0.25">
      <c r="A2" s="217"/>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20120626</v>
      </c>
    </row>
    <row r="5" spans="1:5" hidden="1" x14ac:dyDescent="0.25">
      <c r="A5" s="37"/>
      <c r="B5" s="37" t="s">
        <v>806</v>
      </c>
      <c r="C5" s="50" t="str">
        <f>CONCATENATE(YEAR(C1-30),IF(MONTH(C1-30)&lt;10,"0"&amp;MONTH(C1-30),MONTH(C1-30)),IF(DAY(C1-30)&lt;10,"0"&amp;DAY(C1-30),DAY(C1-30)))</f>
        <v>20120527</v>
      </c>
    </row>
    <row r="6" spans="1:5" hidden="1" x14ac:dyDescent="0.25">
      <c r="A6" s="37"/>
      <c r="B6" s="37" t="s">
        <v>807</v>
      </c>
      <c r="C6" s="50" t="str">
        <f>CONCATENATE(YEAR(C1-90),IF(MONTH(C1-90)&lt;10,"0"&amp;MONTH(C1-90),MONTH(C1-90)),IF(DAY(C1-90)&lt;10,"0"&amp;DAY(C1-90),DAY(C1-90)))</f>
        <v>20120328</v>
      </c>
    </row>
    <row r="7" spans="1:5" hidden="1" x14ac:dyDescent="0.25">
      <c r="A7" s="37"/>
      <c r="B7" s="37" t="s">
        <v>808</v>
      </c>
      <c r="C7" s="50" t="str">
        <f>CONCATENATE(YEAR(C1-365),IF(MONTH(C1-365)&lt;10,"0"&amp;MONTH(C1-365),MONTH(C1-365)),IF(DAY(C1-365)&lt;10,"0"&amp;DAY(C1-365),DAY(C1-365)))</f>
        <v>20110627</v>
      </c>
    </row>
    <row r="8" spans="1:5" hidden="1" x14ac:dyDescent="0.25">
      <c r="A8" s="37"/>
      <c r="B8" s="37" t="s">
        <v>809</v>
      </c>
      <c r="C8" s="50" t="str">
        <f>CONCATENATE(YEAR(C1-1460),IF(MONTH(C1-1460)&lt;10,"0"&amp;MONTH(C1-1460),MONTH(C1-1460)),IF(DAY(C1-1460)&lt;10,"0"&amp;DAY(C1-1460),DAY(C1-1460)))</f>
        <v>20080627</v>
      </c>
    </row>
    <row r="9" spans="1:5" hidden="1" x14ac:dyDescent="0.25">
      <c r="A9" s="37"/>
      <c r="B9" s="37" t="s">
        <v>810</v>
      </c>
      <c r="C9" s="50">
        <f>IF(MONTH($C$1)=4,DAY($C$1),0)+IF(MONTH($C$1)=5,30-DAY($C$1),0)</f>
        <v>0</v>
      </c>
    </row>
    <row r="10" spans="1:5" hidden="1" x14ac:dyDescent="0.25">
      <c r="A10" s="37"/>
      <c r="B10" s="37" t="s">
        <v>811</v>
      </c>
      <c r="C10" s="50">
        <f>IF(MONTH($C$1)=5,DAY($C$1),0)+IF(MONTH($C$1)=6,30-DAY($C$1),0)</f>
        <v>4</v>
      </c>
    </row>
    <row r="11" spans="1:5" hidden="1" x14ac:dyDescent="0.25">
      <c r="A11" s="37"/>
      <c r="B11" s="37" t="s">
        <v>812</v>
      </c>
      <c r="C11" s="50">
        <f>IF(MONTH($C$1)=6,DAY($C$1),0)+IF(MONTH($C$1)=7,30-DAY($C$1),0)</f>
        <v>26</v>
      </c>
    </row>
    <row r="12" spans="1:5" hidden="1" x14ac:dyDescent="0.25">
      <c r="A12" s="37"/>
      <c r="B12" s="37" t="s">
        <v>813</v>
      </c>
      <c r="C12" s="50">
        <f>IF(MONTH($C$1)=7,DAY($C$1),0)+IF(MONTH($C$1)=8,30-DAY($C$1),0)</f>
        <v>0</v>
      </c>
    </row>
    <row r="13" spans="1:5" hidden="1" x14ac:dyDescent="0.25">
      <c r="A13" s="37"/>
      <c r="B13" s="37" t="s">
        <v>814</v>
      </c>
      <c r="C13" s="50">
        <f>IF(MONTH($C$1)=8,DAY($C$1),0)+IF(MONTH($C$1)=9,30-DAY($C$1),0)</f>
        <v>0</v>
      </c>
    </row>
    <row r="14" spans="1:5" hidden="1" x14ac:dyDescent="0.25">
      <c r="A14" s="37"/>
      <c r="B14" s="37" t="s">
        <v>815</v>
      </c>
      <c r="C14" s="50">
        <f>IF(MONTH($C$1)=9,DAY($C$1),0)+IF(MONTH($C$1)=10,30-DAY($C$1),0)</f>
        <v>0</v>
      </c>
    </row>
    <row r="15" spans="1:5" hidden="1" x14ac:dyDescent="0.25">
      <c r="A15" s="37"/>
      <c r="B15" s="37" t="s">
        <v>816</v>
      </c>
      <c r="C15" s="50">
        <f>IF(MONTH($C$1)=10,DAY($C$1),0)+IF(MONTH($C$1)=11,30-DAY($C$1),0)</f>
        <v>0</v>
      </c>
    </row>
    <row r="16" spans="1:5" hidden="1" x14ac:dyDescent="0.25">
      <c r="A16" s="37"/>
      <c r="B16" s="37"/>
      <c r="C16" s="50"/>
    </row>
    <row r="17" spans="1:3" x14ac:dyDescent="0.25">
      <c r="A17" s="218"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8"/>
      <c r="B18" s="58" t="s">
        <v>819</v>
      </c>
      <c r="C18" s="56">
        <f>(VLOOKUP($C$2,temp!$A$1:$O$369,2,FALSE)*$C$9+VLOOKUP($C$2,temp!$A$1:$O$369,4,FALSE)*$C$10+VLOOKUP($C$2,temp!$A$1:$O$369,6,FALSE)*$C$11+VLOOKUP($C$2,temp!$A$1:$O$369,8,FALSE)*$C$12+VLOOKUP($C$2,temp!$A$1:$O$369,10,FALSE)*$C$13+VLOOKUP($C$2,temp!$A$1:$O$369,12,FALSE)*$C$14+VLOOKUP($C$2,temp!$A$1:$O$369,14,FALSE)*$C$15)/30</f>
        <v>15.779636666666669</v>
      </c>
    </row>
    <row r="19" spans="1:3" x14ac:dyDescent="0.25">
      <c r="A19" s="218"/>
      <c r="B19" s="58" t="s">
        <v>820</v>
      </c>
      <c r="C19" s="56">
        <f>(VLOOKUP($C$2,temp!$A$1:$O$369,3,FALSE)*$C$9+VLOOKUP($C$2,temp!$A$1:$O$369,5,FALSE)*$C$10+VLOOKUP($C$2,temp!$A$1:$O$369,7,FALSE)*$C$11+VLOOKUP($C$2,temp!$A$1:$O$369,9,FALSE)*$C$12+VLOOKUP($C$2,temp!$A$1:$O$369,11,FALSE)*$C$13+VLOOKUP($C$2,temp!$A$1:$O$369,13,FALSE)*$C$14+VLOOKUP($C$2,temp!$A$1:$O$369,15,FALSE)*$C$15)/30</f>
        <v>19.463623999999996</v>
      </c>
    </row>
    <row r="20" spans="1:3" x14ac:dyDescent="0.25">
      <c r="A20" s="218"/>
      <c r="B20" s="62" t="s">
        <v>821</v>
      </c>
      <c r="C20" s="63" t="e">
        <f>IF(C17&gt;C19,"WARM",IF(C17&lt;C18,"COOL","NO"))</f>
        <v>#DIV/0!</v>
      </c>
    </row>
    <row r="21" spans="1:3" x14ac:dyDescent="0.25">
      <c r="A21" s="37"/>
      <c r="B21" s="37"/>
      <c r="C21" s="50"/>
    </row>
    <row r="22" spans="1:3" x14ac:dyDescent="0.25">
      <c r="A22" s="218" t="s">
        <v>822</v>
      </c>
      <c r="B22" s="58" t="s">
        <v>823</v>
      </c>
      <c r="C22" s="57" t="e">
        <f>AVERAGEIFS('Enter weather'!$B:$B,'Enter weather'!$A:$A,"&lt;="&amp;$C$4,'Enter weather'!$A:$A,"&gt;="&amp;$C$5,'Enter weather'!$B:$B,"&lt;&gt;"&amp;-9999)</f>
        <v>#DIV/0!</v>
      </c>
    </row>
    <row r="23" spans="1:3" x14ac:dyDescent="0.25">
      <c r="A23" s="218"/>
      <c r="B23" s="58" t="s">
        <v>824</v>
      </c>
      <c r="C23" s="57" t="e">
        <f>AVERAGEIFS('Enter weather'!$B:$B,'Enter weather'!$A:$A,"&lt;="&amp;$C$5,'Enter weather'!$A:$A,"&gt;="&amp;$C$6,'Enter weather'!$B:$B,"&lt;&gt;"&amp;-9999)</f>
        <v>#DIV/0!</v>
      </c>
    </row>
    <row r="24" spans="1:3" x14ac:dyDescent="0.25">
      <c r="A24" s="218"/>
      <c r="B24" s="58" t="s">
        <v>825</v>
      </c>
      <c r="C24" s="57" t="e">
        <f>AVERAGEIFS('Enter weather'!$B:$B,'Enter weather'!$A:$A,"&lt;="&amp;$C$6,'Enter weather'!$A:$A,"&gt;="&amp;$C$7,'Enter weather'!$B:$B,"&lt;&gt;"&amp;-9999)</f>
        <v>#DIV/0!</v>
      </c>
    </row>
    <row r="25" spans="1:3" x14ac:dyDescent="0.25">
      <c r="A25" s="218"/>
      <c r="B25" s="58" t="s">
        <v>826</v>
      </c>
      <c r="C25" s="57" t="e">
        <f>AVERAGEIFS('Enter weather'!$B:$B,'Enter weather'!$A:$A,"&lt;="&amp;$C$7,'Enter weather'!$A:$A,"&gt;="&amp;$C$8,'Enter weather'!$B:$B,"&lt;&gt;"&amp;-9999)</f>
        <v>#DIV/0!</v>
      </c>
    </row>
    <row r="26" spans="1:3" x14ac:dyDescent="0.25">
      <c r="A26" s="218"/>
      <c r="B26" s="58" t="s">
        <v>827</v>
      </c>
      <c r="C26" s="57" t="e">
        <f>$C$22*0.4+$C$23*0.3+$C$24*0.15+$C$25*0.15</f>
        <v>#DIV/0!</v>
      </c>
    </row>
    <row r="27" spans="1:3" x14ac:dyDescent="0.25">
      <c r="A27" s="218"/>
      <c r="B27" s="58" t="s">
        <v>828</v>
      </c>
      <c r="C27" s="56">
        <f>(VLOOKUP($C$2,prcp!$A$1:$O$369,2,FALSE)*$C$9+VLOOKUP($C$2,prcp!$A$1:$O$369,4,FALSE)*$C$10+VLOOKUP($C$2,prcp!$A$1:$O$369,6,FALSE)*$C$11+VLOOKUP($C$2,prcp!$A$1:$O$369,8,FALSE)*$C$12+VLOOKUP($C$2,prcp!$A$1:$O$369,10,FALSE)*$C$13+VLOOKUP($C$2,prcp!$A$1:$O$369,12,FALSE)*$C$14+VLOOKUP($C$2,prcp!$A$1:$O$369,14,FALSE)*$C$15)/30</f>
        <v>1.9036549333333332</v>
      </c>
    </row>
    <row r="28" spans="1:3" x14ac:dyDescent="0.25">
      <c r="A28" s="218"/>
      <c r="B28" s="58" t="s">
        <v>829</v>
      </c>
      <c r="C28" s="56">
        <f>(VLOOKUP($C$2,prcp!$A$1:$O$369,3,FALSE)*$C$9+VLOOKUP($C$2,prcp!$A$1:$O$369,5,FALSE)*$C$10+VLOOKUP($C$2,prcp!$A$1:$O$369,7,FALSE)*$C$11+VLOOKUP($C$2,prcp!$A$1:$O$369,9,FALSE)*$C$12+VLOOKUP($C$2,prcp!$A$1:$O$369,11,FALSE)*$C$13+VLOOKUP($C$2,prcp!$A$1:$O$369,13,FALSE)*$C$14+VLOOKUP($C$2,prcp!$A$1:$O$369,15,FALSE)*$C$15)/30</f>
        <v>3.7308840666666665</v>
      </c>
    </row>
    <row r="29" spans="1:3" x14ac:dyDescent="0.25">
      <c r="A29" s="218"/>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ht="14.45" x14ac:dyDescent="0.3">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ht="14.45" x14ac:dyDescent="0.3">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ht="14.45" x14ac:dyDescent="0.3">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ht="14.45" x14ac:dyDescent="0.3">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ht="14.45" x14ac:dyDescent="0.3">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ht="14.45" x14ac:dyDescent="0.3">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ht="14.45" x14ac:dyDescent="0.3">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ht="14.45" x14ac:dyDescent="0.3">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ht="14.45" x14ac:dyDescent="0.3">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ht="14.45" x14ac:dyDescent="0.3">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ht="14.45" x14ac:dyDescent="0.3">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ht="14.45" x14ac:dyDescent="0.3">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9" t="s">
        <v>16</v>
      </c>
      <c r="B3" s="221" t="s">
        <v>18</v>
      </c>
      <c r="C3" s="222"/>
      <c r="D3" s="221" t="s">
        <v>17</v>
      </c>
      <c r="E3" s="222"/>
      <c r="F3" s="221" t="s">
        <v>19</v>
      </c>
      <c r="G3" s="222"/>
      <c r="J3" s="219" t="s">
        <v>381</v>
      </c>
    </row>
    <row r="4" spans="1:10" x14ac:dyDescent="0.25">
      <c r="A4" s="220"/>
      <c r="B4" s="5" t="s">
        <v>62</v>
      </c>
      <c r="C4" s="5" t="s">
        <v>63</v>
      </c>
      <c r="D4" s="5" t="s">
        <v>62</v>
      </c>
      <c r="E4" s="5" t="s">
        <v>63</v>
      </c>
      <c r="F4" s="5" t="s">
        <v>62</v>
      </c>
      <c r="G4" s="5" t="s">
        <v>63</v>
      </c>
      <c r="J4" s="220"/>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9" t="s">
        <v>16</v>
      </c>
      <c r="B17" s="221" t="s">
        <v>9</v>
      </c>
      <c r="C17" s="222"/>
      <c r="D17" s="221" t="s">
        <v>10</v>
      </c>
      <c r="E17" s="222"/>
      <c r="F17" s="221" t="s">
        <v>11</v>
      </c>
      <c r="G17" s="222"/>
    </row>
    <row r="18" spans="1:7" x14ac:dyDescent="0.25">
      <c r="A18" s="220"/>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9" t="s">
        <v>16</v>
      </c>
      <c r="B31" s="221" t="s">
        <v>12</v>
      </c>
      <c r="C31" s="222"/>
      <c r="D31" s="221" t="s">
        <v>13</v>
      </c>
      <c r="E31" s="222"/>
      <c r="F31" s="221" t="s">
        <v>14</v>
      </c>
      <c r="G31" s="222"/>
    </row>
    <row r="32" spans="1:7" x14ac:dyDescent="0.25">
      <c r="A32" s="220"/>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ht="14.45" x14ac:dyDescent="0.3">
      <c r="A31" s="13" t="s">
        <v>117</v>
      </c>
      <c r="B31" s="14" t="s">
        <v>118</v>
      </c>
      <c r="C31" s="13" t="s">
        <v>43</v>
      </c>
      <c r="D31" s="13" t="s">
        <v>40</v>
      </c>
      <c r="E31" s="13" t="s">
        <v>45</v>
      </c>
      <c r="F31" s="13"/>
      <c r="G31" s="14"/>
      <c r="H31" s="13"/>
      <c r="I31" s="13"/>
      <c r="K31" s="13"/>
      <c r="L31" s="13"/>
    </row>
    <row r="32" spans="1:12" ht="14.45" x14ac:dyDescent="0.3">
      <c r="A32" s="13" t="s">
        <v>119</v>
      </c>
      <c r="B32" s="14" t="s">
        <v>120</v>
      </c>
      <c r="C32" s="13" t="s">
        <v>43</v>
      </c>
      <c r="D32" s="13" t="s">
        <v>40</v>
      </c>
      <c r="E32" s="13" t="s">
        <v>45</v>
      </c>
      <c r="F32" s="13"/>
      <c r="G32" s="14"/>
      <c r="H32" s="13"/>
      <c r="I32" s="13"/>
      <c r="K32" s="13"/>
      <c r="L32" s="13"/>
    </row>
    <row r="33" spans="1:12" ht="14.45" x14ac:dyDescent="0.3">
      <c r="A33" s="13" t="s">
        <v>121</v>
      </c>
      <c r="B33" s="14" t="s">
        <v>122</v>
      </c>
      <c r="C33" s="13" t="s">
        <v>43</v>
      </c>
      <c r="D33" s="13" t="s">
        <v>39</v>
      </c>
      <c r="E33" s="13" t="s">
        <v>46</v>
      </c>
      <c r="F33" s="13"/>
      <c r="G33" s="14"/>
      <c r="H33" s="13"/>
      <c r="I33" s="13"/>
      <c r="K33" s="13"/>
      <c r="L33" s="13"/>
    </row>
    <row r="34" spans="1:12" ht="14.45" x14ac:dyDescent="0.3">
      <c r="A34" s="13" t="s">
        <v>123</v>
      </c>
      <c r="B34" s="14" t="s">
        <v>124</v>
      </c>
      <c r="C34" s="13" t="s">
        <v>43</v>
      </c>
      <c r="D34" s="13" t="s">
        <v>39</v>
      </c>
      <c r="E34" s="13" t="s">
        <v>46</v>
      </c>
      <c r="F34" s="13"/>
      <c r="G34" s="14"/>
      <c r="H34" s="13"/>
      <c r="I34" s="13"/>
      <c r="K34" s="13"/>
      <c r="L34" s="13"/>
    </row>
    <row r="35" spans="1:12" ht="14.45" x14ac:dyDescent="0.3">
      <c r="A35" s="13" t="s">
        <v>125</v>
      </c>
      <c r="B35" s="14" t="s">
        <v>126</v>
      </c>
      <c r="C35" s="13" t="s">
        <v>43</v>
      </c>
      <c r="D35" s="13" t="s">
        <v>39</v>
      </c>
      <c r="E35" s="13" t="s">
        <v>46</v>
      </c>
      <c r="F35" s="13"/>
      <c r="G35" s="14"/>
      <c r="H35" s="13"/>
      <c r="I35" s="13"/>
      <c r="K35" s="13"/>
      <c r="L35" s="13"/>
    </row>
    <row r="36" spans="1:12" ht="14.45" x14ac:dyDescent="0.3">
      <c r="A36" s="13" t="s">
        <v>127</v>
      </c>
      <c r="B36" s="14" t="s">
        <v>881</v>
      </c>
      <c r="C36" s="13" t="s">
        <v>43</v>
      </c>
      <c r="D36" s="13" t="s">
        <v>40</v>
      </c>
      <c r="E36" s="13" t="s">
        <v>45</v>
      </c>
      <c r="F36" s="13"/>
      <c r="G36" s="14"/>
      <c r="H36" s="13"/>
      <c r="I36" s="13"/>
      <c r="K36" s="13"/>
      <c r="L36" s="13"/>
    </row>
    <row r="37" spans="1:12" ht="14.45" x14ac:dyDescent="0.3">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2017-04-03T21:16:13Z</dcterms:modified>
</cp:coreProperties>
</file>