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9" i="4" l="1"/>
  <c r="B6" i="4" l="1"/>
  <c r="D15" i="4"/>
  <c r="B13" i="4" l="1"/>
  <c r="C1" i="9"/>
  <c r="C15" i="9" s="1"/>
  <c r="C2" i="9"/>
  <c r="C6" i="9" l="1"/>
  <c r="C14" i="9"/>
  <c r="C10" i="9"/>
  <c r="C4" i="9"/>
  <c r="C8" i="9"/>
  <c r="C12" i="9"/>
  <c r="C5" i="9"/>
  <c r="C7" i="9"/>
  <c r="C9" i="9"/>
  <c r="C11" i="9"/>
  <c r="C13" i="9"/>
  <c r="C24" i="9" l="1"/>
  <c r="D90" i="4" s="1"/>
  <c r="C28" i="9"/>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O30" i="1" l="1"/>
  <c r="H30" i="1"/>
  <c r="R29" i="1"/>
  <c r="P30" i="1"/>
  <c r="H28" i="1"/>
  <c r="G29" i="1"/>
  <c r="I29" i="1" s="1"/>
  <c r="N29" i="1"/>
  <c r="D92" i="4"/>
  <c r="C29" i="9"/>
  <c r="D95" i="4" s="1"/>
  <c r="P29" i="1"/>
  <c r="P28" i="1"/>
  <c r="J28" i="1"/>
  <c r="M28" i="1"/>
  <c r="F28" i="1" s="1"/>
  <c r="J30" i="1"/>
  <c r="K30" i="1"/>
  <c r="Q30" i="1"/>
  <c r="M30" i="1"/>
  <c r="F30" i="1" s="1"/>
  <c r="O29" i="1"/>
  <c r="J29" i="1"/>
  <c r="I28" i="1"/>
  <c r="Q28" i="1"/>
  <c r="L28" i="1"/>
  <c r="I30" i="1"/>
  <c r="N30" i="1"/>
  <c r="K28" i="1"/>
  <c r="N28" i="1"/>
  <c r="O28" i="1"/>
  <c r="L30"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G34" i="1"/>
  <c r="J34" i="1" s="1"/>
  <c r="L34" i="1"/>
  <c r="N32" i="1"/>
  <c r="G32" i="1"/>
  <c r="J32" i="1" s="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G36" i="1"/>
  <c r="P36" i="1" s="1"/>
  <c r="J36" i="1"/>
  <c r="H36" i="1"/>
  <c r="K35" i="1"/>
  <c r="G21" i="1"/>
  <c r="I21" i="1" s="1"/>
  <c r="G51" i="1"/>
  <c r="G47" i="1"/>
  <c r="G43" i="1"/>
  <c r="G39" i="1"/>
  <c r="G35" i="1"/>
  <c r="P35" i="1" s="1"/>
  <c r="G31" i="1"/>
  <c r="J31" i="1" s="1"/>
  <c r="G24" i="1"/>
  <c r="L24" i="1" s="1"/>
  <c r="H20" i="1"/>
  <c r="H49" i="1"/>
  <c r="H45" i="1"/>
  <c r="N22" i="1"/>
  <c r="L22" i="1"/>
  <c r="K22" i="1"/>
  <c r="K36" i="1" l="1"/>
  <c r="L29" i="1"/>
  <c r="H29" i="1"/>
  <c r="N23" i="1"/>
  <c r="N26" i="1"/>
  <c r="L35" i="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<sst xmlns="http://schemas.openxmlformats.org/spreadsheetml/2006/main" count="1918" uniqueCount="913">
  <si>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</si>
  <si>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</si>
  <si>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</si>
  <si>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</si>
  <si>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</si>
  <si>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</si>
  <si>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</si>
  <si>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</si>
  <si>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</si>
  <si>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</si>
  <si>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</si>
  <si>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</si>
  <si>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</si>
  <si>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</si>
  <si>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</si>
  <si>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</si>
  <si>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</si>
  <si>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</si>
  <si>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</si>
  <si>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</si>
  <si>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</si>
  <si>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</si>
  <si>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</si>
  <si>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</si>
  <si>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</si>
  <si>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</si>
  <si>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</si>
  <si>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</si>
  <si>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</si>
  <si>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</si>
  <si>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</si>
  <si>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</si>
  <si>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</si>
  <si>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</si>
  <si>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</si>
  <si>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</si>
  <si>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</si>
  <si>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</si>
  <si>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</si>
  <si>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</si>
  <si>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</si>
  <si>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</si>
  <si>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</si>
  <si>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</si>
  <si>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</si>
  <si>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</si>
  <si>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</si>
  <si>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</si>
  <si>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</si>
  <si>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</si>
  <si>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</si>
  <si>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</si>
  <si>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</si>
  <si>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</si>
  <si>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</si>
  <si>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</si>
  <si>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</si>
  <si>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</si>
  <si>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</si>
  <si>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</si>
  <si>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</si>
  <si>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</si>
  <si>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</si>
  <si>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</si>
  <si>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</si>
  <si>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</si>
  <si>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</si>
  <si>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</si>
  <si>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</si>
  <si>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</si>
  <si>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</si>
  <si>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</si>
  <si>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</si>
  <si>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</si>
  <si>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</si>
  <si>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</si>
  <si>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</si>
  <si>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</si>
  <si>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</si>
  <si>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</si>
  <si>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</si>
  <si>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</si>
  <si>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</si>
  <si>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</si>
  <si>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</si>
  <si>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</si>
  <si>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</si>
  <si>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</si>
  <si>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</si>
  <si>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</si>
  <si>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</si>
  <si>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</si>
  <si>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</si>
  <si>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</si>
  <si>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</si>
  <si>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</si>
  <si>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</si>
  <si>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</si>
  <si>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</si>
  <si>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</si>
  <si>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</si>
  <si>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</si>
  <si>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</si>
  <si>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</si>
  <si>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</si>
  <si>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</si>
  <si>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</si>
  <si>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</si>
  <si>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</si>
  <si>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</si>
  <si>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</si>
  <si>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</si>
  <si>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</si>
  <si>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</si>
  <si>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</si>
  <si>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</si>
  <si>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</si>
  <si>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</si>
  <si>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</si>
  <si>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</si>
  <si>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</si>
  <si>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</si>
  <si>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</si>
  <si>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</si>
  <si>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</si>
  <si>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</si>
  <si>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</si>
  <si>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</si>
  <si>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</si>
  <si>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</si>
  <si>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</si>
  <si>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</si>
  <si>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</si>
  <si>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</si>
  <si>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</si>
  <si>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</si>
  <si>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</si>
  <si>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</si>
  <si>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</si>
  <si>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</si>
  <si>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</si>
  <si>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</si>
  <si>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</si>
  <si>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</si>
  <si>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</si>
  <si>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</si>
  <si>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</si>
  <si>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</si>
  <si>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</si>
  <si>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</si>
  <si>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</si>
  <si>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</si>
  <si>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</si>
  <si>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</si>
  <si>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</si>
  <si>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</si>
  <si>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</si>
  <si>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</si>
  <si>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</si>
  <si>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</si>
  <si>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</si>
  <si>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</si>
  <si>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</si>
  <si>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</si>
  <si>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</si>
  <si>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</si>
  <si>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</si>
  <si>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</si>
  <si>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</si>
  <si>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</si>
  <si>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</si>
  <si>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</si>
  <si>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</si>
  <si>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</si>
  <si>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</si>
  <si>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</si>
  <si>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</si>
  <si>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</si>
  <si>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</si>
  <si>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</si>
  <si>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</si>
  <si>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</si>
  <si>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</si>
  <si>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</si>
  <si>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</si>
  <si>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</si>
  <si>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</si>
  <si>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</si>
  <si>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</si>
  <si>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</si>
  <si>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</si>
  <si>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</si>
  <si>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</si>
  <si>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</si>
  <si>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</si>
  <si>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</si>
  <si>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</si>
  <si>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</si>
  <si>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</si>
  <si>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</si>
  <si>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</si>
  <si>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</si>
  <si>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</si>
  <si>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</si>
  <si>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</si>
  <si>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</si>
  <si>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</si>
  <si>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</si>
  <si>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</si>
  <si>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</si>
  <si>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</si>
  <si>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</si>
  <si>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</si>
  <si>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</si>
  <si>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</si>
  <si>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</si>
  <si>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</si>
  <si>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</si>
  <si>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</si>
  <si>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</si>
  <si>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</si>
  <si>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</si>
  <si>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</si>
  <si>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</si>
  <si>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</si>
  <si>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</si>
  <si>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</si>
  <si>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</si>
  <si>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</si>
  <si>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</si>
  <si>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</si>
  <si>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</si>
  <si>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</si>
  <si>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</si>
  <si>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</si>
  <si>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</si>
  <si>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</si>
  <si>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</si>
  <si>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</si>
  <si>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</si>
  <si>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</si>
  <si>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</si>
  <si>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</si>
  <si>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</si>
  <si>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</si>
  <si>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</si>
  <si>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</si>
  <si>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</si>
  <si>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</si>
  <si>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</si>
  <si>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</si>
  <si>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</si>
  <si>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</si>
  <si>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</si>
  <si>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</si>
  <si>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</si>
  <si>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</si>
  <si>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</si>
  <si>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</si>
  <si>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</si>
  <si>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</si>
  <si>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</si>
  <si>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</si>
  <si>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</si>
  <si>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</si>
  <si>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</si>
  <si>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</si>
  <si>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</si>
  <si>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</si>
  <si>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</si>
  <si>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</si>
  <si>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</si>
  <si>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</si>
  <si>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</si>
  <si>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</si>
  <si>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</si>
  <si>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</si>
  <si>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</si>
  <si>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</si>
  <si>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</si>
  <si>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</si>
  <si>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</si>
  <si>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</si>
  <si>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</si>
  <si>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</si>
  <si>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</si>
  <si>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</si>
  <si>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</si>
  <si>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</si>
  <si>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</si>
  <si>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</si>
  <si>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</si>
  <si>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</si>
  <si>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</si>
  <si>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</si>
  <si>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</si>
  <si>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</si>
  <si>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</si>
  <si>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</si>
  <si>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</si>
  <si>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</si>
  <si>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</si>
  <si>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</si>
  <si>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</si>
  <si>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</si>
  <si>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</si>
  <si>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</si>
  <si>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</si>
  <si>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</si>
  <si>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</si>
  <si>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</si>
  <si>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</si>
  <si>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</si>
  <si>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</si>
  <si>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</si>
  <si>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</si>
  <si>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</si>
  <si>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</si>
  <si>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</si>
  <si>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</si>
  <si>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</si>
  <si>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</si>
  <si>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</si>
  <si>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</si>
  <si>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</si>
  <si>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</si>
  <si>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</si>
  <si>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</si>
  <si>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</si>
  <si>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</si>
  <si>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</si>
  <si>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</si>
  <si>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</si>
  <si>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</si>
  <si>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</si>
  <si>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</si>
  <si>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</si>
  <si>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</si>
  <si>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</si>
  <si>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</si>
  <si>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</si>
  <si>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</si>
  <si>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</si>
  <si>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</si>
  <si>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</si>
  <si>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</si>
  <si>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</si>
  <si>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</si>
  <si>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</si>
  <si>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</si>
  <si>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</si>
  <si>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</si>
  <si>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</si>
  <si>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</si>
  <si>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</si>
  <si>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</si>
  <si>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</si>
  <si>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</si>
  <si>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</si>
  <si>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</si>
  <si>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</si>
  <si>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</si>
  <si>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</si>
  <si>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</si>
  <si>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</si>
  <si>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</si>
  <si>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</si>
  <si>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</si>
  <si>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</si>
  <si>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</si>
  <si>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</si>
  <si>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</si>
  <si>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</si>
  <si>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</si>
  <si>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</si>
  <si>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</si>
  <si>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</si>
  <si>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</si>
  <si>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</si>
  <si>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</si>
  <si>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</si>
  <si>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</si>
  <si>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</si>
  <si>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</si>
  <si>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</si>
  <si>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</si>
  <si>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</si>
  <si>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</si>
  <si>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</si>
  <si>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</si>
  <si>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</si>
  <si>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</si>
  <si>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</si>
  <si>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</si>
  <si>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</si>
  <si>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</si>
  <si>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</si>
  <si>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</si>
  <si>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</si>
  <si>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</si>
  <si>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</si>
  <si>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</si>
  <si>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</si>
  <si>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</si>
  <si>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</si>
  <si>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</si>
  <si>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</si>
  <si>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</si>
  <si>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</si>
  <si>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</si>
  <si>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</si>
  <si>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</si>
  <si>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</si>
  <si>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</si>
  <si>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</si>
  <si>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</si>
  <si>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</si>
  <si>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</si>
  <si>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</si>
  <si>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</si>
  <si>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</si>
  <si>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</si>
  <si>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</si>
  <si>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</si>
  <si>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</si>
  <si>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</si>
  <si>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</si>
  <si>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</si>
  <si>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</si>
  <si>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</si>
  <si>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</si>
  <si>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</si>
  <si>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</si>
  <si>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</si>
  <si>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</si>
  <si>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</si>
  <si>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</si>
  <si>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</si>
  <si>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</si>
  <si>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</si>
  <si>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</si>
  <si>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</si>
  <si>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</si>
  <si>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</si>
  <si>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</si>
  <si>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</si>
  <si>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</si>
  <si>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</si>
  <si>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</si>
  <si>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</si>
  <si>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</si>
  <si>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</si>
  <si>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</si>
  <si>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</si>
  <si>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</si>
  <si>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</si>
  <si>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</si>
  <si>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</si>
  <si>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</si>
  <si>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</si>
  <si>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</si>
  <si>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</si>
  <si>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</si>
  <si>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</si>
  <si>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</si>
  <si>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</si>
  <si>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</si>
  <si>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</si>
  <si>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</si>
  <si>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</si>
  <si>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</si>
  <si>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</si>
  <si>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</si>
  <si>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</si>
  <si>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</si>
  <si>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</si>
  <si>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</si>
  <si>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</si>
  <si>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</si>
  <si>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</si>
  <si>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</si>
  <si>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</si>
  <si>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</si>
  <si>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</si>
  <si>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</si>
  <si>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</si>
  <si>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</si>
  <si>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</si>
  <si>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</si>
  <si>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</si>
  <si>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</si>
  <si>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</si>
  <si>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</si>
  <si>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</si>
  <si>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</si>
  <si>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</si>
  <si>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</si>
  <si>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</si>
  <si>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</si>
  <si>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</si>
  <si>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</si>
  <si>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</si>
  <si>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</si>
  <si>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</si>
  <si>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</si>
  <si>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</si>
  <si>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</si>
  <si>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</si>
  <si>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</si>
  <si>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</si>
  <si>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</si>
  <si>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</si>
  <si>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</si>
  <si>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</si>
  <si>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</si>
  <si>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</si>
  <si>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</si>
  <si>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</si>
  <si>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</si>
  <si>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</si>
  <si>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</si>
  <si>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</si>
  <si>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</si>
  <si>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</si>
  <si>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</si>
  <si>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</si>
  <si>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</si>
  <si>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</si>
  <si>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</si>
  <si>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</si>
  <si>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</si>
  <si>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</si>
  <si>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</si>
  <si>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</si>
  <si>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</si>
  <si>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</si>
  <si>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</si>
  <si>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</si>
  <si>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</si>
  <si>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</si>
  <si>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</si>
  <si>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</si>
  <si>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</si>
  <si>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</si>
  <si>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</si>
  <si>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</si>
  <si>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</si>
  <si>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</si>
  <si>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</si>
  <si>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</si>
  <si>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</si>
  <si>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</si>
  <si>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</si>
  <si>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</si>
  <si>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</si>
  <si>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</si>
  <si>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</si>
  <si>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</si>
  <si>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</si>
  <si>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</si>
  <si>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</si>
  <si>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</si>
  <si>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</si>
  <si>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</si>
  <si>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</si>
  <si>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</si>
  <si>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</si>
  <si>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</si>
  <si>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</si>
  <si>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</si>
  <si>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</si>
  <si>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</si>
  <si>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</si>
  <si>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</si>
  <si>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</si>
  <si>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</si>
  <si>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</si>
  <si>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</si>
  <si>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</si>
  <si>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</si>
  <si>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</si>
  <si>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</si>
  <si>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</si>
  <si>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</si>
  <si>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</si>
  <si>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</si>
  <si>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</si>
  <si>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</si>
  <si>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</si>
  <si>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</si>
  <si>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</si>
  <si>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</si>
  <si>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</si>
  <si>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</si>
  <si>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</si>
  <si>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</si>
  <si>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</si>
  <si>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</si>
  <si>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</si>
  <si>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</si>
  <si>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</si>
  <si>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</si>
  <si>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</si>
  <si>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</si>
  <si>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</si>
  <si>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</si>
  <si>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</si>
  <si>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</si>
  <si>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</si>
  <si>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</si>
  <si>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</si>
  <si>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</si>
  <si>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</si>
  <si>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</si>
  <si>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</si>
  <si>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</si>
  <si>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</si>
  <si>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</si>
  <si>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</si>
  <si>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</si>
  <si>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</si>
  <si>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</si>
  <si>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</si>
  <si>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</si>
  <si>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</si>
  <si>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</si>
  <si>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</si>
  <si>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</si>
  <si>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</si>
  <si>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</si>
  <si>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</si>
  <si>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</si>
  <si>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</si>
  <si>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</si>
  <si>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</si>
  <si>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</si>
  <si>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</si>
  <si>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</si>
  <si>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</si>
  <si>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</si>
  <si>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</si>
  <si>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</si>
  <si>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</si>
  <si>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</si>
  <si>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</si>
  <si>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</si>
  <si>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</si>
  <si>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</si>
  <si>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</si>
  <si>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</si>
  <si>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</si>
  <si>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</si>
  <si>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</si>
  <si>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</si>
  <si>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</si>
  <si>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</si>
  <si>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</si>
  <si>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</si>
  <si>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</si>
  <si>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</si>
  <si>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</si>
  <si>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</si>
  <si>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</si>
  <si>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</si>
  <si>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</si>
  <si>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</si>
  <si>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</si>
  <si>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</si>
  <si>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</si>
  <si>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</si>
  <si>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</si>
  <si>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</si>
  <si>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</si>
  <si>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</si>
  <si>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</si>
  <si>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</si>
  <si>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</si>
  <si>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</si>
  <si>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</si>
  <si>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</si>
  <si>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</si>
  <si>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</si>
  <si>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</si>
  <si>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</si>
  <si>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</si>
  <si>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</si>
  <si>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</si>
  <si>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</si>
  <si>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</si>
  <si>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</si>
  <si>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</si>
  <si>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</si>
  <si>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</si>
  <si>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</si>
  <si>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</si>
  <si>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</si>
  <si>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</si>
  <si>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</si>
  <si>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</si>
  <si>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</si>
  <si>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</si>
  <si>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</si>
  <si>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</si>
  <si>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</si>
  <si>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</si>
  <si>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</si>
  <si>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</si>
  <si>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</si>
  <si>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</si>
  <si>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</si>
  <si>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</si>
  <si>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</si>
  <si>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</si>
  <si>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</si>
  <si>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</si>
  <si>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</si>
  <si>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</si>
  <si>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</si>
  <si>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</si>
  <si>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</si>
  <si>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</si>
  <si>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</si>
  <si>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</si>
  <si>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</si>
  <si>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</si>
  <si>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</si>
  <si>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</si>
  <si>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</si>
  <si>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</si>
  <si>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</si>
  <si>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</si>
  <si>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</si>
  <si>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</si>
  <si>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</si>
  <si>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</si>
  <si>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</si>
  <si>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</si>
  <si>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</si>
  <si>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</si>
  <si>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</si>
  <si>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</si>
  <si>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</si>
  <si>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</si>
  <si>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</si>
  <si>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</si>
  <si>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</si>
  <si>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</si>
  <si>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</si>
  <si>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</si>
  <si>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</si>
  <si>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</si>
  <si>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</si>
  <si>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</si>
  <si>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</si>
  <si>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</si>
  <si>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</si>
  <si>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</si>
  <si>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</si>
  <si>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</si>
  <si>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</si>
  <si>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</si>
  <si>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</si>
  <si>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</si>
  <si>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</si>
  <si>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</si>
  <si>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</si>
  <si>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</si>
  <si>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</si>
  <si>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</si>
  <si>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</si>
  <si>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</si>
  <si>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</si>
  <si>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</si>
  <si>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</si>
  <si>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</si>
  <si>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</si>
  <si>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</si>
  <si>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</si>
  <si>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</si>
  <si>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</si>
  <si>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</si>
  <si>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</si>
  <si>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</si>
  <si>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</si>
  <si>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</si>
  <si>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</si>
  <si>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</si>
  <si>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</si>
  <si>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</si>
  <si>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</si>
  <si>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</si>
  <si>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</si>
  <si>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</si>
  <si>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</si>
  <si>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</si>
  <si>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</si>
  <si>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</si>
  <si>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</si>
  <si>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</si>
  <si>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</si>
  <si>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</si>
  <si>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</si>
  <si>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</si>
  <si>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</si>
  <si>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</si>
  <si>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</si>
  <si>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</si>
  <si>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</si>
  <si>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</si>
  <si>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</si>
  <si>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</si>
  <si>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</si>
  <si>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</si>
  <si>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</si>
  <si>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</si>
  <si>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</si>
  <si>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</si>
  <si>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</si>
  <si>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</si>
  <si>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</si>
  <si>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</si>
  <si>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</si>
  <si>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</si>
  <si>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</si>
  <si>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</si>
  <si>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</si>
  <si>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</si>
  <si>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</si>
  <si>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</si>
  <si>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</si>
  <si>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</si>
  <si>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</si>
  <si>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</si>
  <si>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</si>
  <si>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</si>
  <si>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</si>
  <si>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</si>
  <si>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</si>
  <si>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</si>
  <si>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</si>
  <si>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</si>
  <si>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</si>
  <si>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</si>
  <si>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</si>
  <si>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</si>
  <si>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</si>
  <si>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</si>
  <si>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</si>
  <si>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</si>
  <si>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</si>
  <si>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</si>
  <si>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</si>
  <si>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</si>
  <si>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</si>
  <si>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</si>
  <si>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</si>
  <si>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</si>
  <si>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</si>
  <si>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</si>
  <si>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</si>
  <si>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</si>
  <si>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</si>
  <si>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</si>
  <si>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</si>
  <si>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</si>
  <si>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</si>
  <si>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</si>
  <si>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</si>
  <si>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</si>
  <si>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</si>
  <si>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</si>
  <si>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</si>
  <si>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</si>
  <si>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</si>
  <si>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</si>
  <si>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</si>
  <si>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</si>
  <si>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</si>
  <si>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</si>
  <si>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</si>
  <si>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</si>
  <si>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</si>
  <si>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</si>
  <si>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</si>
  <si>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</si>
  <si>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</si>
  <si>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</si>
  <si>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</si>
  <si>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</si>
  <si>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</si>
  <si>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</si>
  <si>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</si>
  <si>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</si>
  <si>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</si>
  <si>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</si>
  <si>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</si>
  <si>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</si>
  <si>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</si>
  <si>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</si>
  <si>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</si>
  <si>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</si>
  <si>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</si>
  <si>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</si>
  <si>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</si>
  <si>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</si>
  <si>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</si>
  <si>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</si>
  <si>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</si>
  <si>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</si>
  <si>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</si>
  <si>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Blake Creek at Hwy 22</t>
  </si>
  <si>
    <t>yellow Perch</t>
  </si>
  <si>
    <t>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</si>
</sst>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6" sqref="B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42243</v>
      </c>
      <c r="C6" s="53"/>
      <c r="D6" s="54"/>
      <c r="F6" s="30"/>
      <c r="G6" s="32"/>
      <c r="H6" s="32"/>
      <c r="I6" s="32"/>
      <c r="J6" s="32"/>
      <c r="K6" s="32"/>
      <c r="L6" s="32"/>
      <c r="M6" s="32"/>
      <c r="N6" s="32"/>
      <c r="O6" s="32"/>
      <c r="P6" s="32"/>
      <c r="Q6" s="32"/>
      <c r="R6" s="32" t="s">
        <v>902</v>
      </c>
    </row>
    <row r="7" spans="1:19" s="32" customFormat="1" ht="15" x14ac:dyDescent="0.25">
      <c r="A7" s="32" t="s">
        <v>905</v>
      </c>
      <c r="B7" s="147">
        <v>693129</v>
      </c>
      <c r="C7" s="55"/>
      <c r="D7" s="56"/>
      <c r="F7" s="28"/>
      <c r="R7" s="32" t="s">
        <v>401</v>
      </c>
    </row>
    <row r="8" spans="1:19" ht="15" x14ac:dyDescent="0.25">
      <c r="A8" s="1" t="s">
        <v>49</v>
      </c>
      <c r="B8" s="151" t="s">
        <v>907</v>
      </c>
      <c r="C8" s="151"/>
      <c r="D8" s="151"/>
    </row>
    <row r="10" spans="1:19" ht="15" x14ac:dyDescent="0.25">
      <c r="A10" s="1" t="s">
        <v>34</v>
      </c>
      <c r="B10" s="46" t="s">
        <v>910</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280900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24</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x14ac:dyDescent="0.3">
      <c r="A20" s="58" t="s">
        <v>364</v>
      </c>
      <c r="B20" s="146">
        <v>31</v>
      </c>
      <c r="C20" s="26" t="str">
        <f>IFERROR(VLOOKUP($A20,'Species guilds'!$A$3:$F$300,3,FALSE),0)</f>
        <v>T</v>
      </c>
      <c r="D20" s="26" t="str">
        <f>IFERROR(VLOOKUP($A20,'Species guilds'!$A$3:$F$300,4,FALSE),0)</f>
        <v>M</v>
      </c>
      <c r="E20" s="26" t="str">
        <f>IFERROR(VLOOKUP($A20,'Species guilds'!$A$3:$F$300,5,FALSE),0)</f>
        <v>T</v>
      </c>
      <c r="F20" s="26">
        <f t="shared" ref="F20:F52" si="0">IF(AND(M20&gt;0,B20&gt;0)=FALSE,B20,0)</f>
        <v>31</v>
      </c>
      <c r="G20" s="26">
        <f>IF(D20="Lake",0,1)</f>
        <v>1</v>
      </c>
      <c r="H20" s="26">
        <f>IF($C20=H$19,$B20*G20,0)</f>
        <v>0</v>
      </c>
      <c r="I20" s="26">
        <f>IF($C20=I$19,$B20*G20,0)</f>
        <v>31</v>
      </c>
      <c r="J20" s="26">
        <f>IF($C20=J$19,$B20*G20,0)</f>
        <v>0</v>
      </c>
      <c r="K20" s="26">
        <f>IF($D20=K$19,$B20*G20,0)</f>
        <v>0</v>
      </c>
      <c r="L20" s="26">
        <f>IF($D20=L$19,$B20*G20,0)</f>
        <v>31</v>
      </c>
      <c r="M20" s="26">
        <f>IF($D20=M$19,$B20,0)</f>
        <v>0</v>
      </c>
      <c r="N20" s="26">
        <f>IF($D20=N$19,$B20*G20,0)</f>
        <v>0</v>
      </c>
      <c r="O20" s="26">
        <f>IF($E20=O$19,$B20*G20,0)</f>
        <v>0</v>
      </c>
      <c r="P20" s="26">
        <f>IF($E20=P$19,$B20*G20,0)</f>
        <v>0</v>
      </c>
      <c r="Q20" s="26">
        <f>IF($E20=Q$19,$B20*G20,0)</f>
        <v>31</v>
      </c>
      <c r="R20" s="27" t="str">
        <f t="shared" ref="R20:R52" si="1">IF(AND(B20&gt;0,C20=0)=TRUE,"SPECIES NOT FOUND, CHECK SPELLING","")</f>
        <v/>
      </c>
      <c r="T20" s="59"/>
      <c r="U20" s="60"/>
      <c r="V20" s="60"/>
      <c r="W20" s="60"/>
      <c r="X20" s="60"/>
      <c r="Y20" s="60"/>
    </row>
    <row r="21" spans="1:25" x14ac:dyDescent="0.3">
      <c r="A21" s="58" t="s">
        <v>291</v>
      </c>
      <c r="B21" s="146">
        <v>2</v>
      </c>
      <c r="C21" s="26" t="str">
        <f>IFERROR(VLOOKUP($A21,'Species guilds'!$A$3:$F$300,3,FALSE),0)</f>
        <v>W</v>
      </c>
      <c r="D21" s="26" t="str">
        <f>IFERROR(VLOOKUP($A21,'Species guilds'!$A$3:$F$300,4,FALSE),0)</f>
        <v>L</v>
      </c>
      <c r="E21" s="26" t="str">
        <f>IFERROR(VLOOKUP($A21,'Species guilds'!$A$3:$F$300,5,FALSE),0)</f>
        <v>IT</v>
      </c>
      <c r="F21" s="26">
        <f t="shared" si="0"/>
        <v>2</v>
      </c>
      <c r="G21" s="26">
        <f t="shared" ref="G21:G52" si="2">IF(D21="Lake",0,1)</f>
        <v>1</v>
      </c>
      <c r="H21" s="26">
        <f t="shared" ref="H21:H52" si="3">IF($C21=H$19,$B21*G21,0)</f>
        <v>0</v>
      </c>
      <c r="I21" s="26">
        <f t="shared" ref="I21:I52" si="4">IF($C21=I$19,$B21*G21,0)</f>
        <v>0</v>
      </c>
      <c r="J21" s="26">
        <f t="shared" ref="J21:J52" si="5">IF($C21=J$19,$B21*G21,0)</f>
        <v>2</v>
      </c>
      <c r="K21" s="26">
        <f t="shared" ref="K21:K52" si="6">IF($D21=K$19,$B21*G21,0)</f>
        <v>0</v>
      </c>
      <c r="L21" s="26">
        <f t="shared" ref="L21:L52" si="7">IF($D21=L$19,$B21*G21,0)</f>
        <v>0</v>
      </c>
      <c r="M21" s="26">
        <f t="shared" ref="M21:M39" si="8">IF($D21=M$19,$B21,0)</f>
        <v>0</v>
      </c>
      <c r="N21" s="26">
        <f t="shared" ref="N21:N52" si="9">IF($D21=N$19,$B21*G21,0)</f>
        <v>2</v>
      </c>
      <c r="O21" s="26">
        <f t="shared" ref="O21:O52" si="10">IF($E21=O$19,$B21*G21,0)</f>
        <v>2</v>
      </c>
      <c r="P21" s="26">
        <f t="shared" ref="P21:P52" si="11">IF($E21=P$19,$B21*G21,0)</f>
        <v>0</v>
      </c>
      <c r="Q21" s="26">
        <f t="shared" ref="Q21:Q52" si="12">IF($E21=Q$19,$B21*G21,0)</f>
        <v>0</v>
      </c>
      <c r="R21" s="27" t="str">
        <f t="shared" si="1"/>
        <v/>
      </c>
      <c r="T21" s="58"/>
      <c r="U21" s="58"/>
      <c r="V21" s="58"/>
      <c r="W21" s="58"/>
      <c r="X21" s="58"/>
      <c r="Y21" s="58"/>
    </row>
    <row r="22" spans="1:25" x14ac:dyDescent="0.3">
      <c r="A22" s="145" t="s">
        <v>52</v>
      </c>
      <c r="B22" s="146">
        <v>35</v>
      </c>
      <c r="C22" s="26" t="str">
        <f>IFERROR(VLOOKUP($A22,'Species guilds'!$A$3:$F$300,3,FALSE),0)</f>
        <v>T</v>
      </c>
      <c r="D22" s="26" t="str">
        <f>IFERROR(VLOOKUP($A22,'Species guilds'!$A$3:$F$300,4,FALSE),0)</f>
        <v>M</v>
      </c>
      <c r="E22" s="26" t="str">
        <f>IFERROR(VLOOKUP($A22,'Species guilds'!$A$3:$F$300,5,FALSE),0)</f>
        <v>IT</v>
      </c>
      <c r="F22" s="26">
        <f t="shared" si="0"/>
        <v>35</v>
      </c>
      <c r="G22" s="26">
        <f t="shared" si="2"/>
        <v>1</v>
      </c>
      <c r="H22" s="26">
        <f t="shared" si="3"/>
        <v>0</v>
      </c>
      <c r="I22" s="26">
        <f t="shared" si="4"/>
        <v>35</v>
      </c>
      <c r="J22" s="26">
        <f t="shared" si="5"/>
        <v>0</v>
      </c>
      <c r="K22" s="26">
        <f t="shared" si="6"/>
        <v>0</v>
      </c>
      <c r="L22" s="26">
        <f t="shared" si="7"/>
        <v>35</v>
      </c>
      <c r="M22" s="26">
        <f t="shared" si="8"/>
        <v>0</v>
      </c>
      <c r="N22" s="26">
        <f t="shared" si="9"/>
        <v>0</v>
      </c>
      <c r="O22" s="26">
        <f t="shared" si="10"/>
        <v>35</v>
      </c>
      <c r="P22" s="26">
        <f t="shared" si="11"/>
        <v>0</v>
      </c>
      <c r="Q22" s="26">
        <f t="shared" si="12"/>
        <v>0</v>
      </c>
      <c r="R22" s="27" t="str">
        <f t="shared" si="1"/>
        <v/>
      </c>
      <c r="T22" s="58"/>
      <c r="U22" s="58"/>
      <c r="V22" s="58"/>
      <c r="W22" s="58"/>
      <c r="X22" s="58"/>
      <c r="Y22" s="58"/>
    </row>
    <row r="23" spans="1:25" x14ac:dyDescent="0.3">
      <c r="A23" t="s">
        <v>372</v>
      </c>
      <c r="B23" s="146">
        <v>2</v>
      </c>
      <c r="C23" s="26" t="str">
        <f>IFERROR(VLOOKUP($A23,'Species guilds'!$A$3:$F$300,3,FALSE),0)</f>
        <v>T</v>
      </c>
      <c r="D23" s="26" t="str">
        <f>IFERROR(VLOOKUP($A23,'Species guilds'!$A$3:$F$300,4,FALSE),0)</f>
        <v>M</v>
      </c>
      <c r="E23" s="26" t="str">
        <f>IFERROR(VLOOKUP($A23,'Species guilds'!$A$3:$F$300,5,FALSE),0)</f>
        <v>IT</v>
      </c>
      <c r="F23" s="26">
        <f t="shared" si="0"/>
        <v>2</v>
      </c>
      <c r="G23" s="26">
        <f t="shared" si="2"/>
        <v>1</v>
      </c>
      <c r="H23" s="26">
        <f t="shared" si="3"/>
        <v>0</v>
      </c>
      <c r="I23" s="26">
        <f t="shared" si="4"/>
        <v>2</v>
      </c>
      <c r="J23" s="26">
        <f t="shared" si="5"/>
        <v>0</v>
      </c>
      <c r="K23" s="26">
        <f t="shared" si="6"/>
        <v>0</v>
      </c>
      <c r="L23" s="26">
        <f t="shared" si="7"/>
        <v>2</v>
      </c>
      <c r="M23" s="26">
        <f t="shared" si="8"/>
        <v>0</v>
      </c>
      <c r="N23" s="26">
        <f t="shared" si="9"/>
        <v>0</v>
      </c>
      <c r="O23" s="26">
        <f t="shared" si="10"/>
        <v>2</v>
      </c>
      <c r="P23" s="26">
        <f t="shared" si="11"/>
        <v>0</v>
      </c>
      <c r="Q23" s="26">
        <f t="shared" si="12"/>
        <v>0</v>
      </c>
      <c r="R23" s="27" t="str">
        <f t="shared" si="1"/>
        <v/>
      </c>
      <c r="T23" s="58"/>
      <c r="U23" s="58"/>
      <c r="V23" s="58"/>
      <c r="W23" s="58"/>
      <c r="X23" s="58"/>
      <c r="Y23" s="58"/>
    </row>
    <row r="24" spans="1:25" x14ac:dyDescent="0.3">
      <c r="A24" t="s">
        <v>124</v>
      </c>
      <c r="B24" s="146">
        <v>7</v>
      </c>
      <c r="C24" s="26" t="str">
        <f>IFERROR(VLOOKUP($A24,'Species guilds'!$A$3:$F$300,3,FALSE),0)</f>
        <v>W</v>
      </c>
      <c r="D24" s="26" t="str">
        <f>IFERROR(VLOOKUP($A24,'Species guilds'!$A$3:$F$300,4,FALSE),0)</f>
        <v>M</v>
      </c>
      <c r="E24" s="26" t="str">
        <f>IFERROR(VLOOKUP($A24,'Species guilds'!$A$3:$F$300,5,FALSE),0)</f>
        <v>IM</v>
      </c>
      <c r="F24" s="26">
        <f t="shared" si="0"/>
        <v>7</v>
      </c>
      <c r="G24" s="26">
        <f t="shared" si="2"/>
        <v>1</v>
      </c>
      <c r="H24" s="26">
        <f t="shared" si="3"/>
        <v>0</v>
      </c>
      <c r="I24" s="26">
        <f t="shared" si="4"/>
        <v>0</v>
      </c>
      <c r="J24" s="26">
        <f t="shared" si="5"/>
        <v>7</v>
      </c>
      <c r="K24" s="26">
        <f t="shared" si="6"/>
        <v>0</v>
      </c>
      <c r="L24" s="26">
        <f t="shared" si="7"/>
        <v>7</v>
      </c>
      <c r="M24" s="26">
        <f t="shared" si="8"/>
        <v>0</v>
      </c>
      <c r="N24" s="26">
        <f t="shared" si="9"/>
        <v>0</v>
      </c>
      <c r="O24" s="26">
        <f t="shared" si="10"/>
        <v>0</v>
      </c>
      <c r="P24" s="26">
        <f t="shared" si="11"/>
        <v>7</v>
      </c>
      <c r="Q24" s="26">
        <f t="shared" si="12"/>
        <v>0</v>
      </c>
      <c r="R24" s="27" t="str">
        <f t="shared" si="1"/>
        <v/>
      </c>
      <c r="T24" s="58"/>
      <c r="U24" s="58"/>
      <c r="V24" s="58"/>
      <c r="W24" s="58"/>
      <c r="X24" s="58"/>
      <c r="Y24" s="58"/>
    </row>
    <row r="25" spans="1:25" x14ac:dyDescent="0.3">
      <c r="A25" t="s">
        <v>911</v>
      </c>
      <c r="B25" s="146">
        <v>1</v>
      </c>
      <c r="C25" s="26" t="str">
        <f>IFERROR(VLOOKUP($A25,'Species guilds'!$A$3:$F$300,3,FALSE),0)</f>
        <v>T</v>
      </c>
      <c r="D25" s="26" t="str">
        <f>IFERROR(VLOOKUP($A25,'Species guilds'!$A$3:$F$300,4,FALSE),0)</f>
        <v>L</v>
      </c>
      <c r="E25" s="26" t="str">
        <f>IFERROR(VLOOKUP($A25,'Species guilds'!$A$3:$F$300,5,FALSE),0)</f>
        <v>IM</v>
      </c>
      <c r="F25" s="26">
        <f t="shared" si="0"/>
        <v>1</v>
      </c>
      <c r="G25" s="26">
        <f t="shared" si="2"/>
        <v>1</v>
      </c>
      <c r="H25" s="26">
        <f t="shared" si="3"/>
        <v>0</v>
      </c>
      <c r="I25" s="26">
        <f t="shared" si="4"/>
        <v>1</v>
      </c>
      <c r="J25" s="26">
        <f t="shared" si="5"/>
        <v>0</v>
      </c>
      <c r="K25" s="26">
        <f t="shared" si="6"/>
        <v>0</v>
      </c>
      <c r="L25" s="26">
        <f t="shared" si="7"/>
        <v>0</v>
      </c>
      <c r="M25" s="26">
        <f t="shared" si="8"/>
        <v>0</v>
      </c>
      <c r="N25" s="26">
        <f t="shared" si="9"/>
        <v>1</v>
      </c>
      <c r="O25" s="26">
        <f t="shared" si="10"/>
        <v>0</v>
      </c>
      <c r="P25" s="26">
        <f t="shared" si="11"/>
        <v>1</v>
      </c>
      <c r="Q25" s="26">
        <f t="shared" si="12"/>
        <v>0</v>
      </c>
      <c r="R25" s="27" t="str">
        <f t="shared" si="1"/>
        <v/>
      </c>
      <c r="T25" s="58"/>
      <c r="U25" s="58"/>
      <c r="V25" s="58"/>
      <c r="W25" s="58"/>
      <c r="X25" s="58"/>
      <c r="Y25" s="58"/>
    </row>
    <row r="26" spans="1:25" x14ac:dyDescent="0.3">
      <c r="A26" t="s">
        <v>192</v>
      </c>
      <c r="B26" s="146">
        <v>9</v>
      </c>
      <c r="C26" s="26" t="str">
        <f>IFERROR(VLOOKUP($A26,'Species guilds'!$A$3:$F$300,3,FALSE),0)</f>
        <v>W</v>
      </c>
      <c r="D26" s="26" t="str">
        <f>IFERROR(VLOOKUP($A26,'Species guilds'!$A$3:$F$300,4,FALSE),0)</f>
        <v>M</v>
      </c>
      <c r="E26" s="26" t="str">
        <f>IFERROR(VLOOKUP($A26,'Species guilds'!$A$3:$F$300,5,FALSE),0)</f>
        <v>T</v>
      </c>
      <c r="F26" s="26">
        <f t="shared" si="0"/>
        <v>9</v>
      </c>
      <c r="G26" s="26">
        <f t="shared" si="2"/>
        <v>1</v>
      </c>
      <c r="H26" s="26">
        <f t="shared" si="3"/>
        <v>0</v>
      </c>
      <c r="I26" s="26">
        <f t="shared" si="4"/>
        <v>0</v>
      </c>
      <c r="J26" s="26">
        <f t="shared" si="5"/>
        <v>9</v>
      </c>
      <c r="K26" s="26">
        <f t="shared" si="6"/>
        <v>0</v>
      </c>
      <c r="L26" s="26">
        <f t="shared" si="7"/>
        <v>9</v>
      </c>
      <c r="M26" s="26">
        <f t="shared" si="8"/>
        <v>0</v>
      </c>
      <c r="N26" s="26">
        <f t="shared" si="9"/>
        <v>0</v>
      </c>
      <c r="O26" s="26">
        <f t="shared" si="10"/>
        <v>0</v>
      </c>
      <c r="P26" s="26">
        <f t="shared" si="11"/>
        <v>0</v>
      </c>
      <c r="Q26" s="26">
        <f t="shared" si="12"/>
        <v>9</v>
      </c>
      <c r="R26" s="27" t="str">
        <f t="shared" si="1"/>
        <v/>
      </c>
      <c r="T26" s="58"/>
      <c r="U26" s="58"/>
      <c r="V26" s="58"/>
      <c r="W26" s="58"/>
      <c r="X26" s="58"/>
      <c r="Y26" s="58"/>
    </row>
    <row r="27" spans="1:25" x14ac:dyDescent="0.3">
      <c r="A27" t="s">
        <v>214</v>
      </c>
      <c r="B27" s="146">
        <v>4</v>
      </c>
      <c r="C27" s="26" t="str">
        <f>IFERROR(VLOOKUP($A27,'Species guilds'!$A$3:$F$300,3,FALSE),0)</f>
        <v>T</v>
      </c>
      <c r="D27" s="26" t="str">
        <f>IFERROR(VLOOKUP($A27,'Species guilds'!$A$3:$F$300,4,FALSE),0)</f>
        <v>S</v>
      </c>
      <c r="E27" s="26" t="str">
        <f>IFERROR(VLOOKUP($A27,'Species guilds'!$A$3:$F$300,5,FALSE),0)</f>
        <v>T</v>
      </c>
      <c r="F27" s="26">
        <f t="shared" si="0"/>
        <v>4</v>
      </c>
      <c r="G27" s="26">
        <f t="shared" si="2"/>
        <v>1</v>
      </c>
      <c r="H27" s="26">
        <f t="shared" si="3"/>
        <v>0</v>
      </c>
      <c r="I27" s="26">
        <f t="shared" si="4"/>
        <v>4</v>
      </c>
      <c r="J27" s="26">
        <f t="shared" si="5"/>
        <v>0</v>
      </c>
      <c r="K27" s="26">
        <f t="shared" si="6"/>
        <v>4</v>
      </c>
      <c r="L27" s="26">
        <f t="shared" si="7"/>
        <v>0</v>
      </c>
      <c r="M27" s="26">
        <f t="shared" si="8"/>
        <v>0</v>
      </c>
      <c r="N27" s="26">
        <f t="shared" si="9"/>
        <v>0</v>
      </c>
      <c r="O27" s="26">
        <f t="shared" si="10"/>
        <v>0</v>
      </c>
      <c r="P27" s="26">
        <f t="shared" si="11"/>
        <v>0</v>
      </c>
      <c r="Q27" s="26">
        <f t="shared" si="12"/>
        <v>4</v>
      </c>
      <c r="R27" s="27" t="str">
        <f t="shared" si="1"/>
        <v/>
      </c>
      <c r="T27" s="37"/>
      <c r="U27" s="58"/>
      <c r="V27" s="58"/>
      <c r="W27" s="58"/>
      <c r="X27" s="58"/>
      <c r="Y27" s="58"/>
    </row>
    <row r="28" spans="1:25" x14ac:dyDescent="0.3">
      <c r="A28" t="s">
        <v>339</v>
      </c>
      <c r="B28" s="146">
        <v>12</v>
      </c>
      <c r="C28" s="26" t="str">
        <f>IFERROR(VLOOKUP($A28,'Species guilds'!$A$3:$F$300,3,FALSE),0)</f>
        <v>W</v>
      </c>
      <c r="D28" s="26" t="str">
        <f>IFERROR(VLOOKUP($A28,'Species guilds'!$A$3:$F$300,4,FALSE),0)</f>
        <v>L</v>
      </c>
      <c r="E28" s="26" t="str">
        <f>IFERROR(VLOOKUP($A28,'Species guilds'!$A$3:$F$300,5,FALSE),0)</f>
        <v>IM</v>
      </c>
      <c r="F28" s="26">
        <f t="shared" si="0"/>
        <v>12</v>
      </c>
      <c r="G28" s="26">
        <f t="shared" si="2"/>
        <v>1</v>
      </c>
      <c r="H28" s="26">
        <f t="shared" si="3"/>
        <v>0</v>
      </c>
      <c r="I28" s="26">
        <f t="shared" si="4"/>
        <v>0</v>
      </c>
      <c r="J28" s="26">
        <f t="shared" si="5"/>
        <v>12</v>
      </c>
      <c r="K28" s="26">
        <f t="shared" si="6"/>
        <v>0</v>
      </c>
      <c r="L28" s="26">
        <f t="shared" si="7"/>
        <v>0</v>
      </c>
      <c r="M28" s="26">
        <f t="shared" si="8"/>
        <v>0</v>
      </c>
      <c r="N28" s="26">
        <f t="shared" si="9"/>
        <v>12</v>
      </c>
      <c r="O28" s="26">
        <f t="shared" si="10"/>
        <v>0</v>
      </c>
      <c r="P28" s="26">
        <f t="shared" si="11"/>
        <v>12</v>
      </c>
      <c r="Q28" s="26">
        <f t="shared" si="12"/>
        <v>0</v>
      </c>
      <c r="R28" s="27" t="str">
        <f t="shared" si="1"/>
        <v/>
      </c>
      <c r="T28" s="60"/>
      <c r="U28" s="60"/>
      <c r="V28" s="60"/>
      <c r="W28" s="60"/>
      <c r="X28" s="60"/>
      <c r="Y28" s="58"/>
    </row>
    <row r="29" spans="1:25" x14ac:dyDescent="0.3">
      <c r="A29" s="145" t="s">
        <v>327</v>
      </c>
      <c r="B29" s="146">
        <v>12</v>
      </c>
      <c r="C29" s="26" t="str">
        <f>IFERROR(VLOOKUP($A29,'Species guilds'!$A$3:$F$300,3,FALSE),0)</f>
        <v>T</v>
      </c>
      <c r="D29" s="26" t="str">
        <f>IFERROR(VLOOKUP($A29,'Species guilds'!$A$3:$F$300,4,FALSE),0)</f>
        <v>M</v>
      </c>
      <c r="E29" s="26" t="str">
        <f>IFERROR(VLOOKUP($A29,'Species guilds'!$A$3:$F$300,5,FALSE),0)</f>
        <v>IM</v>
      </c>
      <c r="F29" s="26">
        <f t="shared" si="0"/>
        <v>12</v>
      </c>
      <c r="G29" s="26">
        <f t="shared" si="2"/>
        <v>1</v>
      </c>
      <c r="H29" s="26">
        <f t="shared" si="3"/>
        <v>0</v>
      </c>
      <c r="I29" s="26">
        <f t="shared" si="4"/>
        <v>12</v>
      </c>
      <c r="J29" s="26">
        <f t="shared" si="5"/>
        <v>0</v>
      </c>
      <c r="K29" s="26">
        <f t="shared" si="6"/>
        <v>0</v>
      </c>
      <c r="L29" s="26">
        <f t="shared" si="7"/>
        <v>12</v>
      </c>
      <c r="M29" s="26">
        <f t="shared" si="8"/>
        <v>0</v>
      </c>
      <c r="N29" s="26">
        <f t="shared" si="9"/>
        <v>0</v>
      </c>
      <c r="O29" s="26">
        <f t="shared" si="10"/>
        <v>0</v>
      </c>
      <c r="P29" s="26">
        <f t="shared" si="11"/>
        <v>12</v>
      </c>
      <c r="Q29" s="26">
        <f t="shared" si="12"/>
        <v>0</v>
      </c>
      <c r="R29" s="27" t="str">
        <f t="shared" si="1"/>
        <v/>
      </c>
      <c r="T29" s="60"/>
      <c r="U29" s="60"/>
      <c r="V29" s="60"/>
      <c r="W29" s="60"/>
      <c r="X29" s="60"/>
      <c r="Y29" s="58"/>
    </row>
    <row r="30" spans="1:25" x14ac:dyDescent="0.3">
      <c r="A30" t="s">
        <v>186</v>
      </c>
      <c r="B30" s="146">
        <v>2</v>
      </c>
      <c r="C30" s="26" t="str">
        <f>IFERROR(VLOOKUP($A30,'Species guilds'!$A$3:$F$300,3,FALSE),0)</f>
        <v>T</v>
      </c>
      <c r="D30" s="26" t="str">
        <f>IFERROR(VLOOKUP($A30,'Species guilds'!$A$3:$F$300,4,FALSE),0)</f>
        <v>M</v>
      </c>
      <c r="E30" s="26" t="str">
        <f>IFERROR(VLOOKUP($A30,'Species guilds'!$A$3:$F$300,5,FALSE),0)</f>
        <v>IM</v>
      </c>
      <c r="F30" s="26">
        <f t="shared" si="0"/>
        <v>2</v>
      </c>
      <c r="G30" s="26">
        <f t="shared" si="2"/>
        <v>1</v>
      </c>
      <c r="H30" s="26">
        <f t="shared" si="3"/>
        <v>0</v>
      </c>
      <c r="I30" s="26">
        <f t="shared" si="4"/>
        <v>2</v>
      </c>
      <c r="J30" s="26">
        <f t="shared" si="5"/>
        <v>0</v>
      </c>
      <c r="K30" s="26">
        <f t="shared" si="6"/>
        <v>0</v>
      </c>
      <c r="L30" s="26">
        <f t="shared" si="7"/>
        <v>2</v>
      </c>
      <c r="M30" s="26">
        <f t="shared" si="8"/>
        <v>0</v>
      </c>
      <c r="N30" s="26">
        <f t="shared" si="9"/>
        <v>0</v>
      </c>
      <c r="O30" s="26">
        <f t="shared" si="10"/>
        <v>0</v>
      </c>
      <c r="P30" s="26">
        <f t="shared" si="11"/>
        <v>2</v>
      </c>
      <c r="Q30" s="26">
        <f t="shared" si="12"/>
        <v>0</v>
      </c>
      <c r="R30" s="27" t="str">
        <f t="shared" si="1"/>
        <v/>
      </c>
      <c r="T30" s="60"/>
      <c r="U30" s="60"/>
      <c r="V30" s="60"/>
      <c r="W30" s="60"/>
      <c r="X30" s="60"/>
      <c r="Y30" s="58"/>
    </row>
    <row r="31" spans="1:25" x14ac:dyDescent="0.3">
      <c r="A31" t="s">
        <v>190</v>
      </c>
      <c r="B31" s="25">
        <v>3</v>
      </c>
      <c r="C31" s="26" t="str">
        <f>IFERROR(VLOOKUP($A31,'Species guilds'!$A$3:$F$300,3,FALSE),0)</f>
        <v>T</v>
      </c>
      <c r="D31" s="26" t="str">
        <f>IFERROR(VLOOKUP($A31,'Species guilds'!$A$3:$F$300,4,FALSE),0)</f>
        <v>S</v>
      </c>
      <c r="E31" s="26" t="str">
        <f>IFERROR(VLOOKUP($A31,'Species guilds'!$A$3:$F$300,5,FALSE),0)</f>
        <v>T</v>
      </c>
      <c r="F31" s="26">
        <f t="shared" si="0"/>
        <v>3</v>
      </c>
      <c r="G31" s="26">
        <f t="shared" si="2"/>
        <v>1</v>
      </c>
      <c r="H31" s="26">
        <f t="shared" si="3"/>
        <v>0</v>
      </c>
      <c r="I31" s="26">
        <f t="shared" si="4"/>
        <v>3</v>
      </c>
      <c r="J31" s="26">
        <f t="shared" si="5"/>
        <v>0</v>
      </c>
      <c r="K31" s="26">
        <f t="shared" si="6"/>
        <v>3</v>
      </c>
      <c r="L31" s="26">
        <f t="shared" si="7"/>
        <v>0</v>
      </c>
      <c r="M31" s="26">
        <f t="shared" si="8"/>
        <v>0</v>
      </c>
      <c r="N31" s="26">
        <f t="shared" si="9"/>
        <v>0</v>
      </c>
      <c r="O31" s="26">
        <f t="shared" si="10"/>
        <v>0</v>
      </c>
      <c r="P31" s="26">
        <f t="shared" si="11"/>
        <v>0</v>
      </c>
      <c r="Q31" s="26">
        <f t="shared" si="12"/>
        <v>3</v>
      </c>
      <c r="R31" s="27" t="str">
        <f t="shared" si="1"/>
        <v/>
      </c>
      <c r="T31" s="58"/>
      <c r="U31" s="61"/>
      <c r="V31" s="61"/>
      <c r="W31" s="61"/>
      <c r="X31" s="60"/>
      <c r="Y31" s="58"/>
    </row>
    <row r="32" spans="1:25" x14ac:dyDescent="0.3">
      <c r="A32" t="s">
        <v>210</v>
      </c>
      <c r="B32" s="25">
        <v>5</v>
      </c>
      <c r="C32" s="26" t="str">
        <f>IFERROR(VLOOKUP($A32,'Species guilds'!$A$3:$F$300,3,FALSE),0)</f>
        <v>T</v>
      </c>
      <c r="D32" s="26" t="str">
        <f>IFERROR(VLOOKUP($A32,'Species guilds'!$A$3:$F$300,4,FALSE),0)</f>
        <v>S</v>
      </c>
      <c r="E32" s="26" t="str">
        <f>IFERROR(VLOOKUP($A32,'Species guilds'!$A$3:$F$300,5,FALSE),0)</f>
        <v>IM</v>
      </c>
      <c r="F32" s="26">
        <f t="shared" si="0"/>
        <v>5</v>
      </c>
      <c r="G32" s="26">
        <f t="shared" si="2"/>
        <v>1</v>
      </c>
      <c r="H32" s="26">
        <f t="shared" si="3"/>
        <v>0</v>
      </c>
      <c r="I32" s="26">
        <f t="shared" si="4"/>
        <v>5</v>
      </c>
      <c r="J32" s="26">
        <f t="shared" si="5"/>
        <v>0</v>
      </c>
      <c r="K32" s="26">
        <f t="shared" si="6"/>
        <v>5</v>
      </c>
      <c r="L32" s="26">
        <f t="shared" si="7"/>
        <v>0</v>
      </c>
      <c r="M32" s="26">
        <f t="shared" si="8"/>
        <v>0</v>
      </c>
      <c r="N32" s="26">
        <f t="shared" si="9"/>
        <v>0</v>
      </c>
      <c r="O32" s="26">
        <f t="shared" si="10"/>
        <v>0</v>
      </c>
      <c r="P32" s="26">
        <f t="shared" si="11"/>
        <v>5</v>
      </c>
      <c r="Q32" s="26">
        <f t="shared" si="12"/>
        <v>0</v>
      </c>
      <c r="R32" s="27" t="str">
        <f t="shared" si="1"/>
        <v/>
      </c>
      <c r="T32" s="58"/>
      <c r="U32" s="61"/>
      <c r="V32" s="61"/>
      <c r="W32" s="61"/>
      <c r="X32" s="60"/>
      <c r="Y32" s="58"/>
    </row>
    <row r="33" spans="1:25" x14ac:dyDescent="0.3">
      <c r="A33" t="s">
        <v>259</v>
      </c>
      <c r="B33" s="25">
        <v>19</v>
      </c>
      <c r="C33" s="26" t="str">
        <f>IFERROR(VLOOKUP($A33,'Species guilds'!$A$3:$F$300,3,FALSE),0)</f>
        <v>T</v>
      </c>
      <c r="D33" s="26" t="str">
        <f>IFERROR(VLOOKUP($A33,'Species guilds'!$A$3:$F$300,4,FALSE),0)</f>
        <v>L</v>
      </c>
      <c r="E33" s="26" t="str">
        <f>IFERROR(VLOOKUP($A33,'Species guilds'!$A$3:$F$300,5,FALSE),0)</f>
        <v>IM</v>
      </c>
      <c r="F33" s="26">
        <f t="shared" si="0"/>
        <v>19</v>
      </c>
      <c r="G33" s="26">
        <f t="shared" si="2"/>
        <v>1</v>
      </c>
      <c r="H33" s="26">
        <f t="shared" si="3"/>
        <v>0</v>
      </c>
      <c r="I33" s="26">
        <f t="shared" si="4"/>
        <v>19</v>
      </c>
      <c r="J33" s="26">
        <f t="shared" si="5"/>
        <v>0</v>
      </c>
      <c r="K33" s="26">
        <f t="shared" si="6"/>
        <v>0</v>
      </c>
      <c r="L33" s="26">
        <f t="shared" si="7"/>
        <v>0</v>
      </c>
      <c r="M33" s="26">
        <f t="shared" si="8"/>
        <v>0</v>
      </c>
      <c r="N33" s="26">
        <f t="shared" si="9"/>
        <v>19</v>
      </c>
      <c r="O33" s="26">
        <f t="shared" si="10"/>
        <v>0</v>
      </c>
      <c r="P33" s="26">
        <f t="shared" si="11"/>
        <v>19</v>
      </c>
      <c r="Q33" s="26">
        <f t="shared" si="12"/>
        <v>0</v>
      </c>
      <c r="R33" s="27" t="str">
        <f t="shared" si="1"/>
        <v/>
      </c>
      <c r="T33" s="58"/>
      <c r="U33" s="61"/>
      <c r="V33" s="61"/>
      <c r="W33" s="61"/>
      <c r="X33" s="60"/>
      <c r="Y33" s="58"/>
    </row>
    <row r="34" spans="1:25" x14ac:dyDescent="0.3">
      <c r="A34" t="s">
        <v>395</v>
      </c>
      <c r="B34" s="25">
        <v>6</v>
      </c>
      <c r="C34" s="26" t="str">
        <f>IFERROR(VLOOKUP($A34,'Species guilds'!$A$3:$F$300,3,FALSE),0)</f>
        <v>W</v>
      </c>
      <c r="D34" s="26" t="str">
        <f>IFERROR(VLOOKUP($A34,'Species guilds'!$A$3:$F$300,4,FALSE),0)</f>
        <v>L</v>
      </c>
      <c r="E34" s="26" t="str">
        <f>IFERROR(VLOOKUP($A34,'Species guilds'!$A$3:$F$300,5,FALSE),0)</f>
        <v>IM</v>
      </c>
      <c r="F34" s="26">
        <f t="shared" si="0"/>
        <v>6</v>
      </c>
      <c r="G34" s="26">
        <f t="shared" si="2"/>
        <v>1</v>
      </c>
      <c r="H34" s="26">
        <f t="shared" si="3"/>
        <v>0</v>
      </c>
      <c r="I34" s="26">
        <f t="shared" si="4"/>
        <v>0</v>
      </c>
      <c r="J34" s="26">
        <f t="shared" si="5"/>
        <v>6</v>
      </c>
      <c r="K34" s="26">
        <f t="shared" si="6"/>
        <v>0</v>
      </c>
      <c r="L34" s="26">
        <f t="shared" si="7"/>
        <v>0</v>
      </c>
      <c r="M34" s="26">
        <f t="shared" si="8"/>
        <v>0</v>
      </c>
      <c r="N34" s="26">
        <f t="shared" si="9"/>
        <v>6</v>
      </c>
      <c r="O34" s="26">
        <f t="shared" si="10"/>
        <v>0</v>
      </c>
      <c r="P34" s="26">
        <f t="shared" si="11"/>
        <v>6</v>
      </c>
      <c r="Q34" s="26">
        <f t="shared" si="12"/>
        <v>0</v>
      </c>
      <c r="R34" s="27" t="str">
        <f t="shared" si="1"/>
        <v/>
      </c>
      <c r="T34" s="58"/>
      <c r="U34" s="58"/>
      <c r="V34" s="58"/>
      <c r="W34" s="58"/>
      <c r="X34" s="58"/>
      <c r="Y34" s="58"/>
    </row>
    <row r="35" spans="1:25" x14ac:dyDescent="0.3">
      <c r="A35" t="s">
        <v>394</v>
      </c>
      <c r="B35" s="25">
        <v>1</v>
      </c>
      <c r="C35" s="26" t="str">
        <f>IFERROR(VLOOKUP($A35,'Species guilds'!$A$3:$F$300,3,FALSE),0)</f>
        <v>W</v>
      </c>
      <c r="D35" s="26" t="str">
        <f>IFERROR(VLOOKUP($A35,'Species guilds'!$A$3:$F$300,4,FALSE),0)</f>
        <v>L</v>
      </c>
      <c r="E35" s="26" t="str">
        <f>IFERROR(VLOOKUP($A35,'Species guilds'!$A$3:$F$300,5,FALSE),0)</f>
        <v>IT</v>
      </c>
      <c r="F35" s="26">
        <f t="shared" si="0"/>
        <v>1</v>
      </c>
      <c r="G35" s="26">
        <f t="shared" si="2"/>
        <v>1</v>
      </c>
      <c r="H35" s="26">
        <f t="shared" si="3"/>
        <v>0</v>
      </c>
      <c r="I35" s="26">
        <f t="shared" si="4"/>
        <v>0</v>
      </c>
      <c r="J35" s="26">
        <f t="shared" si="5"/>
        <v>1</v>
      </c>
      <c r="K35" s="26">
        <f t="shared" si="6"/>
        <v>0</v>
      </c>
      <c r="L35" s="26">
        <f t="shared" si="7"/>
        <v>0</v>
      </c>
      <c r="M35" s="26">
        <f t="shared" si="8"/>
        <v>0</v>
      </c>
      <c r="N35" s="26">
        <f t="shared" si="9"/>
        <v>1</v>
      </c>
      <c r="O35" s="26">
        <f t="shared" si="10"/>
        <v>1</v>
      </c>
      <c r="P35" s="26">
        <f t="shared" si="11"/>
        <v>0</v>
      </c>
      <c r="Q35" s="26">
        <f t="shared" si="12"/>
        <v>0</v>
      </c>
      <c r="R35" s="27" t="str">
        <f t="shared" si="1"/>
        <v/>
      </c>
      <c r="T35" s="60"/>
      <c r="U35" s="60"/>
      <c r="V35" s="60"/>
      <c r="W35" s="60"/>
      <c r="X35" s="60"/>
      <c r="Y35" s="58"/>
    </row>
    <row r="36" spans="1:25" x14ac:dyDescent="0.3">
      <c r="A36" t="s">
        <v>323</v>
      </c>
      <c r="B36" s="25">
        <v>1</v>
      </c>
      <c r="C36" s="26" t="str">
        <f>IFERROR(VLOOKUP($A36,'Species guilds'!$A$3:$F$300,3,FALSE),0)</f>
        <v>W</v>
      </c>
      <c r="D36" s="26" t="str">
        <f>IFERROR(VLOOKUP($A36,'Species guilds'!$A$3:$F$300,4,FALSE),0)</f>
        <v>S</v>
      </c>
      <c r="E36" s="26" t="str">
        <f>IFERROR(VLOOKUP($A36,'Species guilds'!$A$3:$F$300,5,FALSE),0)</f>
        <v>IM</v>
      </c>
      <c r="F36" s="26">
        <f t="shared" si="0"/>
        <v>1</v>
      </c>
      <c r="G36" s="26">
        <f t="shared" si="2"/>
        <v>1</v>
      </c>
      <c r="H36" s="26">
        <f t="shared" si="3"/>
        <v>0</v>
      </c>
      <c r="I36" s="26">
        <f t="shared" si="4"/>
        <v>0</v>
      </c>
      <c r="J36" s="26">
        <f t="shared" si="5"/>
        <v>1</v>
      </c>
      <c r="K36" s="26">
        <f t="shared" si="6"/>
        <v>1</v>
      </c>
      <c r="L36" s="26">
        <f t="shared" si="7"/>
        <v>0</v>
      </c>
      <c r="M36" s="26">
        <f t="shared" si="8"/>
        <v>0</v>
      </c>
      <c r="N36" s="26">
        <f t="shared" si="9"/>
        <v>0</v>
      </c>
      <c r="O36" s="26">
        <f t="shared" si="10"/>
        <v>0</v>
      </c>
      <c r="P36" s="26">
        <f t="shared" si="11"/>
        <v>1</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152</v>
      </c>
      <c r="F53" s="9">
        <f>SUM(F20:F52)</f>
        <v>152</v>
      </c>
      <c r="G53" s="2"/>
      <c r="H53" s="9">
        <f>SUM(H20:H52)</f>
        <v>0</v>
      </c>
      <c r="I53" s="9">
        <f t="shared" ref="I53:Q53" si="14">SUM(I20:I52)</f>
        <v>114</v>
      </c>
      <c r="J53" s="9">
        <f t="shared" si="14"/>
        <v>38</v>
      </c>
      <c r="K53" s="9">
        <f t="shared" si="14"/>
        <v>13</v>
      </c>
      <c r="L53" s="9">
        <f t="shared" si="14"/>
        <v>98</v>
      </c>
      <c r="M53" s="9">
        <f t="shared" si="14"/>
        <v>0</v>
      </c>
      <c r="N53" s="9">
        <f t="shared" si="14"/>
        <v>41</v>
      </c>
      <c r="O53" s="9">
        <f t="shared" si="14"/>
        <v>40</v>
      </c>
      <c r="P53" s="9">
        <f t="shared" si="14"/>
        <v>65</v>
      </c>
      <c r="Q53" s="9">
        <f t="shared" si="14"/>
        <v>47</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7"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42243</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Blake Creek at Hwy 22</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280900</v>
      </c>
      <c r="C12" s="182"/>
      <c r="D12" s="182"/>
      <c r="E12" s="83"/>
      <c r="F12" s="85"/>
    </row>
    <row r="13" spans="1:6" x14ac:dyDescent="0.3">
      <c r="A13" s="83" t="s">
        <v>899</v>
      </c>
      <c r="B13" s="86">
        <f>'Enter field data'!B14</f>
        <v>0</v>
      </c>
      <c r="C13" s="87"/>
      <c r="D13" s="88"/>
      <c r="E13" s="83"/>
      <c r="F13" s="85"/>
    </row>
    <row r="14" spans="1:6" x14ac:dyDescent="0.3">
      <c r="A14" s="83"/>
      <c r="B14" s="83"/>
      <c r="C14" s="83"/>
      <c r="D14" s="83"/>
      <c r="E14" s="83"/>
      <c r="F14" s="36"/>
    </row>
    <row r="15" spans="1:6" x14ac:dyDescent="0.3">
      <c r="A15" s="83" t="s">
        <v>33</v>
      </c>
      <c r="B15" s="83"/>
      <c r="C15" s="89"/>
      <c r="D15" s="172" t="str">
        <f>'Enter field data'!B16</f>
        <v>Cool-Warm Mainstem</v>
      </c>
      <c r="E15" s="173"/>
      <c r="F15" s="90"/>
    </row>
    <row r="16" spans="1:6" x14ac:dyDescent="0.3">
      <c r="A16" s="83"/>
      <c r="B16" s="83"/>
      <c r="C16" s="91"/>
      <c r="D16" s="91"/>
      <c r="E16" s="91"/>
      <c r="F16" s="90"/>
    </row>
    <row r="17" spans="1:6" x14ac:dyDescent="0.3">
      <c r="A17" s="92" t="s">
        <v>883</v>
      </c>
      <c r="B17" s="83"/>
      <c r="C17" s="91"/>
      <c r="D17" s="91"/>
      <c r="E17" s="91"/>
      <c r="F17" s="90"/>
    </row>
    <row r="18" spans="1:6" x14ac:dyDescent="0.3">
      <c r="A18" s="174" t="s">
        <v>884</v>
      </c>
      <c r="B18" s="174"/>
      <c r="C18" s="175"/>
      <c r="D18" s="176" t="s">
        <v>912</v>
      </c>
      <c r="E18" s="177"/>
      <c r="F18" s="93"/>
    </row>
    <row r="19" spans="1:6" x14ac:dyDescent="0.3">
      <c r="A19" s="36" t="s">
        <v>885</v>
      </c>
      <c r="B19" s="36"/>
      <c r="C19" s="94"/>
      <c r="D19" s="191"/>
      <c r="E19" s="192"/>
      <c r="F19" s="93"/>
    </row>
    <row r="20" spans="1:6" x14ac:dyDescent="0.3">
      <c r="A20" s="36"/>
      <c r="B20" s="36"/>
      <c r="C20" s="95"/>
      <c r="D20" s="90"/>
      <c r="E20" s="90"/>
      <c r="F20" s="93"/>
    </row>
    <row r="21" spans="1:6" x14ac:dyDescent="0.3">
      <c r="A21" s="96" t="s">
        <v>889</v>
      </c>
      <c r="B21" s="97"/>
      <c r="C21" s="97"/>
      <c r="D21" s="98"/>
      <c r="E21" s="99"/>
      <c r="F21" s="93"/>
    </row>
    <row r="22" spans="1:6" x14ac:dyDescent="0.3">
      <c r="A22" s="100" t="s">
        <v>896</v>
      </c>
      <c r="B22" s="101"/>
      <c r="C22" s="101"/>
      <c r="D22" s="178"/>
      <c r="E22" s="179"/>
      <c r="F22" s="93"/>
    </row>
    <row r="23" spans="1:6" x14ac:dyDescent="0.3">
      <c r="A23" s="100" t="s">
        <v>888</v>
      </c>
      <c r="B23" s="101"/>
      <c r="C23" s="101"/>
      <c r="D23" s="178"/>
      <c r="E23" s="179"/>
      <c r="F23" s="93"/>
    </row>
    <row r="24" spans="1:6" x14ac:dyDescent="0.3">
      <c r="A24" s="102" t="s">
        <v>897</v>
      </c>
      <c r="B24" s="103"/>
      <c r="C24" s="103"/>
      <c r="D24" s="178"/>
      <c r="E24" s="179"/>
      <c r="F24" s="93"/>
    </row>
    <row r="26" spans="1:6" x14ac:dyDescent="0.3">
      <c r="A26" s="104" t="s">
        <v>413</v>
      </c>
    </row>
    <row r="27" spans="1:6" x14ac:dyDescent="0.3">
      <c r="A27" s="105" t="s">
        <v>414</v>
      </c>
    </row>
    <row r="29" spans="1:6" x14ac:dyDescent="0.3">
      <c r="A29" s="106" t="s">
        <v>60</v>
      </c>
      <c r="B29" s="36"/>
      <c r="C29" s="36"/>
      <c r="D29" s="36"/>
      <c r="E29" s="36"/>
      <c r="F29" s="36"/>
    </row>
    <row r="30" spans="1:6" x14ac:dyDescent="0.3">
      <c r="A30" s="107" t="s">
        <v>5</v>
      </c>
      <c r="B30" s="108"/>
      <c r="C30" s="109" t="s">
        <v>0</v>
      </c>
      <c r="D30" s="110"/>
      <c r="E30" s="111" t="s">
        <v>1</v>
      </c>
      <c r="F30" s="112"/>
    </row>
    <row r="31" spans="1:6" x14ac:dyDescent="0.3">
      <c r="A31" s="113" t="s">
        <v>6</v>
      </c>
      <c r="B31" s="114">
        <f>'Enter field data'!H53</f>
        <v>0</v>
      </c>
      <c r="C31" s="115" t="s">
        <v>9</v>
      </c>
      <c r="D31" s="116">
        <f>'Enter field data'!$K$53</f>
        <v>13</v>
      </c>
      <c r="E31" s="117" t="s">
        <v>12</v>
      </c>
      <c r="F31" s="118">
        <f>'Enter field data'!$O$53</f>
        <v>40</v>
      </c>
    </row>
    <row r="32" spans="1:6" x14ac:dyDescent="0.3">
      <c r="A32" s="113" t="s">
        <v>7</v>
      </c>
      <c r="B32" s="114">
        <f>'Enter field data'!$I$53</f>
        <v>114</v>
      </c>
      <c r="C32" s="115" t="s">
        <v>10</v>
      </c>
      <c r="D32" s="116">
        <f>'Enter field data'!$L$53</f>
        <v>98</v>
      </c>
      <c r="E32" s="117" t="s">
        <v>13</v>
      </c>
      <c r="F32" s="118">
        <f>'Enter field data'!$P$53</f>
        <v>65</v>
      </c>
    </row>
    <row r="33" spans="1:6" x14ac:dyDescent="0.3">
      <c r="A33" s="113" t="s">
        <v>8</v>
      </c>
      <c r="B33" s="114">
        <f>'Enter field data'!$J$53</f>
        <v>38</v>
      </c>
      <c r="C33" s="115" t="s">
        <v>11</v>
      </c>
      <c r="D33" s="116">
        <f>'Enter field data'!$N$53</f>
        <v>41</v>
      </c>
      <c r="E33" s="117" t="s">
        <v>14</v>
      </c>
      <c r="F33" s="118">
        <f>'Enter field data'!$Q$53</f>
        <v>47</v>
      </c>
    </row>
    <row r="34" spans="1:6" x14ac:dyDescent="0.3">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0.25</v>
      </c>
      <c r="E39" s="125" t="str">
        <f>IF(AND(C39&lt;=B39,B39&lt;= D39)=TRUE,"Y","N")</f>
        <v>Y</v>
      </c>
      <c r="F39" s="36"/>
    </row>
    <row r="40" spans="1:6" x14ac:dyDescent="0.3">
      <c r="A40" s="113" t="s">
        <v>7</v>
      </c>
      <c r="B40" s="123">
        <f>($B$32/'Enter field data'!$F$53)</f>
        <v>0.75</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0.25</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8.5526315789473686E-2</v>
      </c>
      <c r="C46" s="126">
        <f>VLOOKUP($D$15,'Expected guild %'!$A$19:$G$27,2,FALSE)</f>
        <v>0</v>
      </c>
      <c r="D46" s="124">
        <f>VLOOKUP($D$15,'Expected guild %'!$A$19:$G$27,3,FALSE)</f>
        <v>0.5</v>
      </c>
      <c r="E46" s="125" t="str">
        <f>IF(AND(C46&lt;=B46,B46&lt;= D46)=TRUE,"Y","N")</f>
        <v>Y</v>
      </c>
      <c r="F46" s="36"/>
    </row>
    <row r="47" spans="1:6" x14ac:dyDescent="0.3">
      <c r="A47" s="113" t="s">
        <v>10</v>
      </c>
      <c r="B47" s="124">
        <f>($D$32/'Enter field data'!$F$53)</f>
        <v>0.64473684210526316</v>
      </c>
      <c r="C47" s="126">
        <f>VLOOKUP($D$15,'Expected guild %'!$A$19:$G$27,4,FALSE)</f>
        <v>0.5</v>
      </c>
      <c r="D47" s="124">
        <f>VLOOKUP($D$15,'Expected guild %'!$A$19:$G$27,5,FALSE)</f>
        <v>1</v>
      </c>
      <c r="E47" s="125" t="str">
        <f>IF(AND(C47&lt;=B47,B47&lt;= D47)=TRUE,"Y","N")</f>
        <v>Y</v>
      </c>
      <c r="F47" s="36"/>
    </row>
    <row r="48" spans="1:6" x14ac:dyDescent="0.3">
      <c r="A48" s="113" t="s">
        <v>11</v>
      </c>
      <c r="B48" s="124">
        <f>($D$33/'Enter field data'!$F$53)</f>
        <v>0.26973684210526316</v>
      </c>
      <c r="C48" s="126">
        <f>VLOOKUP($D$15,'Expected guild %'!$A$19:$G$27,6,FALSE)</f>
        <v>0</v>
      </c>
      <c r="D48" s="124">
        <f>VLOOKUP($D$15,'Expected guild %'!$A$19:$G$27,7,FALSE)</f>
        <v>0.5</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0.26315789473684209</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0.42763157894736842</v>
      </c>
      <c r="C70" s="133">
        <f>VLOOKUP($D$15,'Expected guild %'!$A$33:$G$41,4,FALSE)</f>
        <v>0</v>
      </c>
      <c r="D70" s="124">
        <f>VLOOKUP($D$15,'Expected guild %'!$A$33:$G$41,5,FALSE)</f>
        <v>1</v>
      </c>
      <c r="E70" s="125" t="str">
        <f>IF(AND(C70&lt;=B70,B70&lt;= D70)=TRUE,"Y","N")</f>
        <v>Y</v>
      </c>
    </row>
    <row r="71" spans="1:7" x14ac:dyDescent="0.3">
      <c r="A71" s="113" t="s">
        <v>14</v>
      </c>
      <c r="B71" s="123">
        <f>($F$33/'Enter field data'!$F$53)</f>
        <v>0.30921052631578949</v>
      </c>
      <c r="C71" s="133">
        <f>VLOOKUP($D$15,'Expected guild %'!$A$33:$G$41,6,FALSE)</f>
        <v>0</v>
      </c>
      <c r="D71" s="124">
        <f>VLOOKUP($D$15,'Expected guild %'!$A$33:$G$41,7,FALSE)</f>
        <v>0.6</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x14ac:dyDescent="0.3">
      <c r="A11" s="68"/>
      <c r="B11" s="68"/>
      <c r="C11" s="68"/>
      <c r="D11" s="68"/>
    </row>
    <row r="12" spans="1:6" x14ac:dyDescent="0.3">
      <c r="A12" s="68"/>
      <c r="B12" s="68"/>
      <c r="C12" s="68"/>
      <c r="D12" s="68"/>
    </row>
    <row r="13" spans="1:6" x14ac:dyDescent="0.3">
      <c r="A13" s="68"/>
      <c r="B13" s="68"/>
      <c r="C13" s="68"/>
      <c r="D13" s="68"/>
    </row>
    <row r="14" spans="1:6" x14ac:dyDescent="0.3">
      <c r="A14" s="68"/>
      <c r="B14" s="68"/>
      <c r="C14" s="68"/>
      <c r="D14" s="68"/>
    </row>
    <row r="15" spans="1:6" x14ac:dyDescent="0.3">
      <c r="A15" s="68"/>
      <c r="B15" s="68"/>
      <c r="C15" s="68"/>
      <c r="D15" s="68"/>
    </row>
    <row r="16" spans="1:6" x14ac:dyDescent="0.3">
      <c r="A16" s="68"/>
      <c r="B16" s="68"/>
      <c r="C16" s="68"/>
      <c r="D16" s="68"/>
    </row>
    <row r="17" spans="1:4" x14ac:dyDescent="0.3">
      <c r="A17" s="68"/>
      <c r="B17" s="68"/>
      <c r="C17" s="68"/>
      <c r="D17" s="68"/>
    </row>
    <row r="18" spans="1:4" x14ac:dyDescent="0.3">
      <c r="A18" s="68"/>
      <c r="B18" s="68"/>
      <c r="C18" s="68"/>
      <c r="D18" s="68"/>
    </row>
    <row r="19" spans="1:4" x14ac:dyDescent="0.3">
      <c r="A19" s="68"/>
      <c r="B19" s="68"/>
      <c r="C19" s="68"/>
      <c r="D19" s="68"/>
    </row>
    <row r="20" spans="1:4" x14ac:dyDescent="0.3">
      <c r="A20" s="68"/>
      <c r="B20" s="68"/>
      <c r="C20" s="68"/>
      <c r="D20" s="68"/>
    </row>
    <row r="21" spans="1:4" x14ac:dyDescent="0.3">
      <c r="A21" s="68"/>
      <c r="B21" s="68"/>
      <c r="C21" s="68"/>
      <c r="D21" s="68"/>
    </row>
    <row r="22" spans="1:4" x14ac:dyDescent="0.3">
      <c r="A22" s="68"/>
      <c r="B22" s="68"/>
      <c r="C22" s="68"/>
      <c r="D22" s="68"/>
    </row>
    <row r="23" spans="1:4" x14ac:dyDescent="0.3">
      <c r="A23" s="68"/>
      <c r="B23" s="68"/>
      <c r="C23" s="68"/>
      <c r="D23" s="68"/>
    </row>
    <row r="24" spans="1:4" x14ac:dyDescent="0.3">
      <c r="A24" s="68"/>
      <c r="B24" s="68"/>
      <c r="C24" s="68"/>
      <c r="D24" s="68"/>
    </row>
    <row r="25" spans="1:4" x14ac:dyDescent="0.3">
      <c r="A25" s="68"/>
      <c r="B25" s="68"/>
      <c r="C25" s="68"/>
      <c r="D25" s="68"/>
    </row>
    <row r="26" spans="1:4" x14ac:dyDescent="0.3">
      <c r="A26" s="68"/>
      <c r="B26" s="68"/>
      <c r="C26" s="68"/>
      <c r="D26" s="68"/>
    </row>
    <row r="27" spans="1:4" x14ac:dyDescent="0.3">
      <c r="A27" s="68"/>
      <c r="B27" s="68"/>
      <c r="C27" s="68"/>
      <c r="D27" s="68"/>
    </row>
    <row r="28" spans="1:4" x14ac:dyDescent="0.3">
      <c r="A28" s="68"/>
      <c r="B28" s="68"/>
      <c r="C28" s="68"/>
      <c r="D28" s="68"/>
    </row>
    <row r="29" spans="1:4" x14ac:dyDescent="0.3">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42243</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20150827</v>
      </c>
    </row>
    <row r="5" spans="1:5" ht="15" hidden="1" x14ac:dyDescent="0.25">
      <c r="A5" s="43"/>
      <c r="B5" s="43" t="s">
        <v>833</v>
      </c>
      <c r="C5" s="65" t="str">
        <f>CONCATENATE(YEAR(C1-30),IF(MONTH(C1-30)&lt;10,"0"&amp;MONTH(C1-30),MONTH(C1-30)),IF(DAY(C1-30)&lt;10,"0"&amp;DAY(C1-30),DAY(C1-30)))</f>
        <v>20150728</v>
      </c>
    </row>
    <row r="6" spans="1:5" ht="15" hidden="1" x14ac:dyDescent="0.25">
      <c r="A6" s="43"/>
      <c r="B6" s="43" t="s">
        <v>834</v>
      </c>
      <c r="C6" s="65" t="str">
        <f>CONCATENATE(YEAR(C1-90),IF(MONTH(C1-90)&lt;10,"0"&amp;MONTH(C1-90),MONTH(C1-90)),IF(DAY(C1-90)&lt;10,"0"&amp;DAY(C1-90),DAY(C1-90)))</f>
        <v>20150529</v>
      </c>
    </row>
    <row r="7" spans="1:5" ht="15" hidden="1" x14ac:dyDescent="0.25">
      <c r="A7" s="43"/>
      <c r="B7" s="43" t="s">
        <v>835</v>
      </c>
      <c r="C7" s="65" t="str">
        <f>CONCATENATE(YEAR(C1-365),IF(MONTH(C1-365)&lt;10,"0"&amp;MONTH(C1-365),MONTH(C1-365)),IF(DAY(C1-365)&lt;10,"0"&amp;DAY(C1-365),DAY(C1-365)))</f>
        <v>20140827</v>
      </c>
    </row>
    <row r="8" spans="1:5" ht="15" hidden="1" x14ac:dyDescent="0.25">
      <c r="A8" s="43"/>
      <c r="B8" s="43" t="s">
        <v>836</v>
      </c>
      <c r="C8" s="65" t="str">
        <f>CONCATENATE(YEAR(C1-1460),IF(MONTH(C1-1460)&lt;10,"0"&amp;MONTH(C1-1460),MONTH(C1-1460)),IF(DAY(C1-1460)&lt;10,"0"&amp;DAY(C1-1460),DAY(C1-1460)))</f>
        <v>20110828</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3</v>
      </c>
    </row>
    <row r="13" spans="1:5" ht="15" hidden="1" x14ac:dyDescent="0.25">
      <c r="A13" s="43"/>
      <c r="B13" s="43" t="s">
        <v>841</v>
      </c>
      <c r="C13" s="65">
        <f>IF(MONTH($C$1)=8,DAY($C$1),0)+IF(MONTH($C$1)=9,30-DAY($C$1),0)</f>
        <v>27</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x14ac:dyDescent="0.3">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x14ac:dyDescent="0.3">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x14ac:dyDescent="0.3">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x14ac:dyDescent="0.3">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x14ac:dyDescent="0.3">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x14ac:dyDescent="0.3">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x14ac:dyDescent="0.3">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x14ac:dyDescent="0.3">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x14ac:dyDescent="0.3">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x14ac:dyDescent="0.3">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x14ac:dyDescent="0.3">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x14ac:dyDescent="0.3">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x14ac:dyDescent="0.3">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x14ac:dyDescent="0.3">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x14ac:dyDescent="0.3">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x14ac:dyDescent="0.3">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x14ac:dyDescent="0.3">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x14ac:dyDescent="0.3">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x14ac:dyDescent="0.3">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x14ac:dyDescent="0.3">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x14ac:dyDescent="0.3">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x14ac:dyDescent="0.3">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x14ac:dyDescent="0.3">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x14ac:dyDescent="0.3">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x14ac:dyDescent="0.3">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x14ac:dyDescent="0.3">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x14ac:dyDescent="0.3">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x14ac:dyDescent="0.3">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x14ac:dyDescent="0.3">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x14ac:dyDescent="0.3">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x14ac:dyDescent="0.3">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x14ac:dyDescent="0.3">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x14ac:dyDescent="0.3">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x14ac:dyDescent="0.3">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x14ac:dyDescent="0.3">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x14ac:dyDescent="0.3">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x14ac:dyDescent="0.3">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x14ac:dyDescent="0.3">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x14ac:dyDescent="0.3">
      <c r="A19" s="34" t="s">
        <v>20</v>
      </c>
      <c r="B19" s="32" t="s">
        <v>28</v>
      </c>
      <c r="C19" s="8"/>
      <c r="D19" s="8"/>
      <c r="E19" s="8"/>
      <c r="F19" s="8"/>
      <c r="G19" s="8"/>
    </row>
    <row r="20" spans="1:7" x14ac:dyDescent="0.3">
      <c r="A20" s="34" t="s">
        <v>6</v>
      </c>
      <c r="B20" s="8">
        <v>0</v>
      </c>
      <c r="C20" s="8">
        <v>1</v>
      </c>
      <c r="D20" s="8">
        <v>0</v>
      </c>
      <c r="E20" s="8">
        <v>1</v>
      </c>
      <c r="F20" s="8">
        <v>0</v>
      </c>
      <c r="G20" s="8">
        <v>1</v>
      </c>
    </row>
    <row r="21" spans="1:7" x14ac:dyDescent="0.3">
      <c r="A21" s="34" t="s">
        <v>21</v>
      </c>
      <c r="B21" s="8">
        <v>0.5</v>
      </c>
      <c r="C21" s="8">
        <v>1</v>
      </c>
      <c r="D21" s="8">
        <v>0</v>
      </c>
      <c r="E21" s="8">
        <v>0.5</v>
      </c>
      <c r="F21" s="8">
        <v>0</v>
      </c>
      <c r="G21" s="8">
        <v>0.1</v>
      </c>
    </row>
    <row r="22" spans="1:7" x14ac:dyDescent="0.3">
      <c r="A22" s="34" t="s">
        <v>22</v>
      </c>
      <c r="B22" s="8">
        <v>0</v>
      </c>
      <c r="C22" s="8">
        <v>0.5</v>
      </c>
      <c r="D22" s="8">
        <v>0.5</v>
      </c>
      <c r="E22" s="8">
        <v>1</v>
      </c>
      <c r="F22" s="8">
        <v>0</v>
      </c>
      <c r="G22" s="8">
        <v>0.5</v>
      </c>
    </row>
    <row r="23" spans="1:7" x14ac:dyDescent="0.3">
      <c r="A23" s="34" t="s">
        <v>23</v>
      </c>
      <c r="B23" s="8">
        <v>0.5</v>
      </c>
      <c r="C23" s="8">
        <v>1</v>
      </c>
      <c r="D23" s="8">
        <v>0</v>
      </c>
      <c r="E23" s="8">
        <v>0.5</v>
      </c>
      <c r="F23" s="8">
        <v>0</v>
      </c>
      <c r="G23" s="8">
        <v>0.1</v>
      </c>
    </row>
    <row r="24" spans="1:7" x14ac:dyDescent="0.3">
      <c r="A24" s="34" t="s">
        <v>24</v>
      </c>
      <c r="B24" s="8">
        <v>0</v>
      </c>
      <c r="C24" s="8">
        <v>0.5</v>
      </c>
      <c r="D24" s="8">
        <v>0.5</v>
      </c>
      <c r="E24" s="8">
        <v>1</v>
      </c>
      <c r="F24" s="8">
        <v>0</v>
      </c>
      <c r="G24" s="8">
        <v>0.5</v>
      </c>
    </row>
    <row r="25" spans="1:7" x14ac:dyDescent="0.3">
      <c r="A25" s="34" t="s">
        <v>25</v>
      </c>
      <c r="B25" s="8">
        <v>0.5</v>
      </c>
      <c r="C25" s="8">
        <v>1</v>
      </c>
      <c r="D25" s="8">
        <v>0</v>
      </c>
      <c r="E25" s="8">
        <v>0.5</v>
      </c>
      <c r="F25" s="8">
        <v>0</v>
      </c>
      <c r="G25" s="8">
        <v>0.1</v>
      </c>
    </row>
    <row r="26" spans="1:7" x14ac:dyDescent="0.3">
      <c r="A26" s="34" t="s">
        <v>58</v>
      </c>
      <c r="B26" s="8">
        <v>0</v>
      </c>
      <c r="C26" s="8">
        <v>0.5</v>
      </c>
      <c r="D26" s="8">
        <v>0.5</v>
      </c>
      <c r="E26" s="8">
        <v>1</v>
      </c>
      <c r="F26" s="8">
        <v>0</v>
      </c>
      <c r="G26" s="8">
        <v>0.5</v>
      </c>
    </row>
    <row r="27" spans="1:7" ht="28.8" x14ac:dyDescent="0.3">
      <c r="A27" s="3" t="s">
        <v>57</v>
      </c>
      <c r="B27" s="8">
        <v>0</v>
      </c>
      <c r="C27" s="8">
        <v>0.1</v>
      </c>
      <c r="D27" s="8">
        <v>0</v>
      </c>
      <c r="E27" s="8">
        <v>0.25</v>
      </c>
      <c r="F27" s="8">
        <v>0.75</v>
      </c>
      <c r="G27" s="8">
        <v>1</v>
      </c>
    </row>
    <row r="30" spans="1:7" x14ac:dyDescent="0.3">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x14ac:dyDescent="0.3">
      <c r="A33" s="34" t="s">
        <v>20</v>
      </c>
      <c r="B33" s="8" t="s">
        <v>26</v>
      </c>
      <c r="C33" s="8" t="s">
        <v>26</v>
      </c>
      <c r="D33" s="8" t="s">
        <v>26</v>
      </c>
      <c r="E33" s="8" t="s">
        <v>26</v>
      </c>
      <c r="F33" s="8" t="s">
        <v>26</v>
      </c>
      <c r="G33" s="8" t="s">
        <v>26</v>
      </c>
    </row>
    <row r="34" spans="1:7" x14ac:dyDescent="0.3">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2017-03-09T16:24:19Z</dcterms:modified>
</cp:coreProperties>
</file>