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11" i="9"/>
  <c r="C13" i="9"/>
  <c r="C28" i="9" l="1"/>
  <c r="D94"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H30" i="1" l="1"/>
  <c r="R29" i="1"/>
  <c r="P30" i="1"/>
  <c r="H28" i="1"/>
  <c r="G29" i="1"/>
  <c r="I29" i="1" s="1"/>
  <c r="D92" i="4"/>
  <c r="C29" i="9"/>
  <c r="D95" i="4" s="1"/>
  <c r="P29" i="1"/>
  <c r="P28" i="1"/>
  <c r="J28" i="1"/>
  <c r="M28" i="1"/>
  <c r="F28" i="1" s="1"/>
  <c r="J30" i="1"/>
  <c r="K30" i="1"/>
  <c r="Q30" i="1"/>
  <c r="M30" i="1"/>
  <c r="F30" i="1" s="1"/>
  <c r="O29" i="1"/>
  <c r="J29" i="1"/>
  <c r="I28" i="1"/>
  <c r="Q28" i="1"/>
  <c r="L28" i="1"/>
  <c r="I30" i="1"/>
  <c r="N30" i="1"/>
  <c r="K28" i="1"/>
  <c r="N28" i="1"/>
  <c r="O28" i="1"/>
  <c r="L30"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G34" i="1"/>
  <c r="J34" i="1" s="1"/>
  <c r="L34" i="1"/>
  <c r="N32" i="1"/>
  <c r="G32" i="1"/>
  <c r="J32" i="1" s="1"/>
  <c r="Q51" i="1"/>
  <c r="P51" i="1"/>
  <c r="O51" i="1"/>
  <c r="Q49" i="1"/>
  <c r="P49" i="1"/>
  <c r="O49" i="1"/>
  <c r="Q47" i="1"/>
  <c r="P47" i="1"/>
  <c r="O47" i="1"/>
  <c r="Q45" i="1"/>
  <c r="P45" i="1"/>
  <c r="O45" i="1"/>
  <c r="Q43" i="1"/>
  <c r="P43" i="1"/>
  <c r="O43" i="1"/>
  <c r="Q41" i="1"/>
  <c r="P41" i="1"/>
  <c r="O41" i="1"/>
  <c r="Q39" i="1"/>
  <c r="P39" i="1"/>
  <c r="O39" i="1"/>
  <c r="Q34" i="1"/>
  <c r="P34" i="1"/>
  <c r="O34"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K36" i="1"/>
  <c r="G36" i="1"/>
  <c r="P36" i="1" s="1"/>
  <c r="J36" i="1"/>
  <c r="H36" i="1"/>
  <c r="K35" i="1"/>
  <c r="G21" i="1"/>
  <c r="I21" i="1" s="1"/>
  <c r="G51" i="1"/>
  <c r="G47" i="1"/>
  <c r="G43" i="1"/>
  <c r="G39" i="1"/>
  <c r="G35" i="1"/>
  <c r="P35" i="1" s="1"/>
  <c r="G31" i="1"/>
  <c r="J31" i="1" s="1"/>
  <c r="G24" i="1"/>
  <c r="L24" i="1" s="1"/>
  <c r="H20" i="1"/>
  <c r="H49" i="1"/>
  <c r="H45" i="1"/>
  <c r="N22" i="1"/>
  <c r="L22" i="1"/>
  <c r="K22" i="1"/>
  <c r="N29" i="1" l="1"/>
  <c r="N26" i="1"/>
  <c r="L35" i="1"/>
  <c r="K34" i="1"/>
  <c r="Q32" i="1"/>
  <c r="Q29" i="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<sst xmlns="http://schemas.openxmlformats.org/spreadsheetml/2006/main" count="1914" uniqueCount="912">
  <si>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</si>
  <si>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</si>
  <si>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</si>
  <si>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</si>
  <si>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</si>
  <si>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</si>
  <si>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</si>
  <si>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</si>
  <si>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</si>
  <si>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</si>
  <si>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</si>
  <si>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</si>
  <si>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</si>
  <si>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</si>
  <si>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</si>
  <si>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</si>
  <si>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</si>
  <si>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</si>
  <si>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</si>
  <si>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</si>
  <si>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</si>
  <si>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</si>
  <si>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</si>
  <si>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</si>
  <si>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</si>
  <si>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</si>
  <si>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</si>
  <si>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</si>
  <si>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</si>
  <si>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</si>
  <si>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</si>
  <si>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</si>
  <si>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</si>
  <si>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</si>
  <si>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</si>
  <si>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</si>
  <si>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</si>
  <si>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</si>
  <si>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</si>
  <si>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</si>
  <si>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</si>
  <si>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</si>
  <si>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</si>
  <si>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</si>
  <si>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</si>
  <si>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</si>
  <si>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</si>
  <si>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</si>
  <si>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</si>
  <si>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</si>
  <si>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</si>
  <si>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</si>
  <si>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</si>
  <si>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</si>
  <si>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</si>
  <si>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</si>
  <si>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</si>
  <si>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</si>
  <si>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</si>
  <si>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</si>
  <si>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</si>
  <si>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</si>
  <si>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</si>
  <si>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</si>
  <si>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</si>
  <si>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</si>
  <si>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</si>
  <si>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</si>
  <si>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</si>
  <si>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</si>
  <si>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</si>
  <si>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</si>
  <si>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</si>
  <si>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</si>
  <si>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</si>
  <si>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</si>
  <si>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</si>
  <si>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</si>
  <si>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</si>
  <si>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</si>
  <si>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</si>
  <si>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</si>
  <si>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</si>
  <si>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</si>
  <si>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</si>
  <si>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</si>
  <si>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</si>
  <si>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</si>
  <si>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</si>
  <si>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</si>
  <si>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</si>
  <si>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</si>
  <si>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</si>
  <si>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</si>
  <si>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</si>
  <si>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</si>
  <si>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</si>
  <si>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</si>
  <si>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</si>
  <si>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</si>
  <si>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</si>
  <si>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</si>
  <si>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</si>
  <si>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</si>
  <si>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</si>
  <si>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</si>
  <si>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</si>
  <si>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</si>
  <si>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</si>
  <si>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</si>
  <si>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</si>
  <si>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</si>
  <si>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</si>
  <si>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</si>
  <si>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</si>
  <si>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</si>
  <si>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</si>
  <si>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</si>
  <si>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</si>
  <si>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</si>
  <si>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</si>
  <si>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</si>
  <si>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</si>
  <si>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</si>
  <si>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</si>
  <si>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</si>
  <si>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</si>
  <si>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</si>
  <si>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</si>
  <si>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</si>
  <si>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</si>
  <si>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</si>
  <si>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</si>
  <si>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</si>
  <si>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</si>
  <si>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</si>
  <si>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</si>
  <si>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</si>
  <si>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</si>
  <si>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</si>
  <si>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</si>
  <si>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</si>
  <si>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</si>
  <si>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</si>
  <si>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</si>
  <si>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</si>
  <si>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</si>
  <si>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</si>
  <si>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</si>
  <si>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</si>
  <si>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</si>
  <si>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</si>
  <si>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</si>
  <si>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</si>
  <si>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</si>
  <si>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</si>
  <si>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</si>
  <si>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</si>
  <si>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</si>
  <si>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</si>
  <si>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</si>
  <si>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</si>
  <si>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</si>
  <si>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</si>
  <si>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</si>
  <si>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</si>
  <si>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</si>
  <si>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</si>
  <si>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</si>
  <si>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</si>
  <si>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</si>
  <si>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</si>
  <si>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</si>
  <si>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</si>
  <si>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</si>
  <si>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</si>
  <si>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</si>
  <si>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</si>
  <si>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</si>
  <si>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</si>
  <si>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</si>
  <si>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</si>
  <si>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</si>
  <si>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</si>
  <si>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</si>
  <si>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</si>
  <si>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</si>
  <si>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</si>
  <si>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</si>
  <si>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</si>
  <si>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</si>
  <si>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</si>
  <si>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</si>
  <si>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</si>
  <si>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</si>
  <si>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</si>
  <si>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</si>
  <si>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</si>
  <si>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</si>
  <si>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</si>
  <si>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</si>
  <si>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</si>
  <si>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</si>
  <si>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</si>
  <si>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</si>
  <si>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</si>
  <si>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</si>
  <si>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</si>
  <si>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</si>
  <si>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</si>
  <si>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</si>
  <si>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</si>
  <si>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</si>
  <si>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</si>
  <si>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</si>
  <si>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</si>
  <si>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</si>
  <si>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</si>
  <si>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</si>
  <si>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</si>
  <si>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</si>
  <si>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</si>
  <si>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</si>
  <si>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</si>
  <si>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</si>
  <si>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</si>
  <si>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</si>
  <si>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</si>
  <si>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</si>
  <si>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</si>
  <si>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</si>
  <si>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</si>
  <si>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</si>
  <si>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</si>
  <si>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</si>
  <si>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</si>
  <si>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</si>
  <si>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</si>
  <si>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</si>
  <si>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</si>
  <si>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</si>
  <si>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</si>
  <si>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</si>
  <si>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</si>
  <si>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</si>
  <si>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</si>
  <si>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</si>
  <si>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</si>
  <si>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</si>
  <si>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</si>
  <si>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</si>
  <si>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</si>
  <si>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</si>
  <si>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</si>
  <si>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</si>
  <si>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</si>
  <si>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</si>
  <si>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</si>
  <si>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</si>
  <si>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</si>
  <si>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</si>
  <si>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</si>
  <si>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</si>
  <si>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</si>
  <si>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</si>
  <si>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</si>
  <si>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</si>
  <si>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</si>
  <si>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</si>
  <si>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</si>
  <si>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</si>
  <si>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</si>
  <si>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</si>
  <si>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</si>
  <si>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</si>
  <si>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</si>
  <si>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</si>
  <si>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</si>
  <si>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</si>
  <si>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</si>
  <si>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</si>
  <si>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</si>
  <si>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</si>
  <si>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</si>
  <si>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</si>
  <si>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</si>
  <si>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</si>
  <si>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</si>
  <si>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</si>
  <si>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</si>
  <si>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</si>
  <si>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</si>
  <si>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</si>
  <si>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</si>
  <si>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</si>
  <si>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</si>
  <si>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</si>
  <si>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</si>
  <si>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</si>
  <si>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</si>
  <si>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</si>
  <si>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</si>
  <si>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</si>
  <si>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</si>
  <si>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</si>
  <si>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</si>
  <si>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</si>
  <si>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</si>
  <si>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</si>
  <si>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</si>
  <si>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</si>
  <si>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</si>
  <si>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</si>
  <si>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</si>
  <si>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</si>
  <si>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</si>
  <si>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</si>
  <si>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</si>
  <si>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</si>
  <si>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</si>
  <si>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</si>
  <si>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</si>
  <si>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</si>
  <si>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</si>
  <si>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</si>
  <si>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</si>
  <si>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</si>
  <si>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</si>
  <si>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</si>
  <si>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</si>
  <si>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</si>
  <si>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</si>
  <si>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</si>
  <si>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</si>
  <si>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</si>
  <si>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</si>
  <si>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</si>
  <si>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</si>
  <si>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</si>
  <si>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</si>
  <si>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</si>
  <si>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</si>
  <si>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</si>
  <si>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</si>
  <si>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</si>
  <si>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</si>
  <si>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</si>
  <si>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</si>
  <si>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</si>
  <si>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</si>
  <si>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</si>
  <si>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</si>
  <si>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</si>
  <si>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</si>
  <si>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</si>
  <si>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</si>
  <si>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</si>
  <si>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</si>
  <si>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</si>
  <si>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</si>
  <si>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</si>
  <si>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</si>
  <si>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</si>
  <si>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</si>
  <si>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</si>
  <si>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</si>
  <si>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</si>
  <si>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</si>
  <si>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</si>
  <si>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</si>
  <si>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</si>
  <si>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</si>
  <si>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</si>
  <si>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</si>
  <si>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</si>
  <si>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</si>
  <si>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</si>
  <si>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</si>
  <si>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</si>
  <si>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</si>
  <si>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</si>
  <si>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</si>
  <si>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</si>
  <si>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</si>
  <si>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</si>
  <si>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</si>
  <si>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</si>
  <si>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</si>
  <si>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</si>
  <si>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</si>
  <si>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</si>
  <si>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</si>
  <si>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</si>
  <si>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</si>
  <si>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</si>
  <si>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</si>
  <si>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</si>
  <si>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</si>
  <si>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</si>
  <si>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</si>
  <si>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</si>
  <si>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</si>
  <si>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</si>
  <si>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</si>
  <si>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</si>
  <si>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</si>
  <si>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</si>
  <si>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</si>
  <si>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</si>
  <si>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</si>
  <si>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</si>
  <si>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</si>
  <si>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</si>
  <si>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</si>
  <si>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</si>
  <si>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</si>
  <si>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</si>
  <si>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</si>
  <si>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</si>
  <si>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</si>
  <si>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</si>
  <si>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</si>
  <si>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</si>
  <si>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</si>
  <si>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</si>
  <si>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</si>
  <si>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</si>
  <si>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</si>
  <si>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</si>
  <si>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</si>
  <si>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</si>
  <si>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</si>
  <si>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</si>
  <si>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</si>
  <si>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</si>
  <si>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</si>
  <si>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</si>
  <si>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</si>
  <si>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</si>
  <si>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</si>
  <si>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</si>
  <si>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</si>
  <si>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</si>
  <si>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</si>
  <si>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</si>
  <si>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</si>
  <si>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</si>
  <si>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</si>
  <si>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</si>
  <si>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</si>
  <si>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</si>
  <si>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</si>
  <si>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</si>
  <si>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</si>
  <si>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</si>
  <si>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</si>
  <si>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</si>
  <si>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</si>
  <si>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</si>
  <si>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</si>
  <si>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</si>
  <si>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</si>
  <si>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</si>
  <si>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</si>
  <si>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</si>
  <si>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</si>
  <si>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</si>
  <si>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</si>
  <si>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</si>
  <si>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</si>
  <si>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</si>
  <si>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</si>
  <si>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</si>
  <si>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</si>
  <si>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</si>
  <si>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</si>
  <si>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</si>
  <si>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</si>
  <si>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</si>
  <si>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</si>
  <si>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</si>
  <si>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</si>
  <si>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</si>
  <si>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</si>
  <si>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</si>
  <si>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</si>
  <si>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</si>
  <si>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</si>
  <si>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</si>
  <si>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</si>
  <si>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</si>
  <si>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</si>
  <si>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</si>
  <si>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</si>
  <si>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</si>
  <si>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</si>
  <si>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</si>
  <si>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</si>
  <si>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</si>
  <si>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</si>
  <si>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</si>
  <si>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</si>
  <si>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</si>
  <si>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</si>
  <si>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</si>
  <si>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</si>
  <si>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</si>
  <si>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</si>
  <si>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</si>
  <si>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</si>
  <si>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</si>
  <si>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</si>
  <si>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</si>
  <si>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</si>
  <si>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</si>
  <si>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</si>
  <si>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</si>
  <si>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</si>
  <si>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</si>
  <si>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</si>
  <si>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</si>
  <si>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</si>
  <si>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</si>
  <si>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</si>
  <si>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</si>
  <si>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</si>
  <si>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</si>
  <si>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</si>
  <si>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</si>
  <si>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</si>
  <si>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</si>
  <si>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</si>
  <si>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</si>
  <si>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</si>
  <si>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</si>
  <si>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</si>
  <si>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</si>
  <si>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</si>
  <si>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</si>
  <si>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</si>
  <si>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</si>
  <si>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</si>
  <si>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</si>
  <si>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</si>
  <si>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</si>
  <si>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</si>
  <si>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</si>
  <si>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</si>
  <si>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</si>
  <si>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</si>
  <si>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</si>
  <si>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</si>
  <si>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</si>
  <si>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</si>
  <si>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</si>
  <si>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</si>
  <si>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</si>
  <si>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</si>
  <si>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</si>
  <si>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</si>
  <si>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</si>
  <si>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</si>
  <si>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</si>
  <si>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</si>
  <si>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</si>
  <si>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</si>
  <si>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</si>
  <si>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</si>
  <si>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</si>
  <si>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</si>
  <si>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</si>
  <si>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</si>
  <si>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</si>
  <si>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</si>
  <si>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</si>
  <si>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</si>
  <si>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</si>
  <si>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</si>
  <si>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</si>
  <si>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</si>
  <si>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</si>
  <si>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</si>
  <si>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</si>
  <si>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</si>
  <si>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</si>
  <si>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</si>
  <si>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</si>
  <si>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</si>
  <si>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</si>
  <si>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</si>
  <si>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</si>
  <si>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</si>
  <si>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</si>
  <si>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</si>
  <si>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</si>
  <si>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</si>
  <si>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</si>
  <si>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</si>
  <si>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</si>
  <si>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</si>
  <si>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</si>
  <si>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</si>
  <si>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</si>
  <si>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</si>
  <si>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</si>
  <si>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</si>
  <si>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</si>
  <si>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</si>
  <si>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</si>
  <si>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</si>
  <si>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</si>
  <si>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</si>
  <si>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</si>
  <si>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</si>
  <si>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</si>
  <si>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</si>
  <si>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</si>
  <si>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</si>
  <si>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</si>
  <si>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</si>
  <si>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</si>
  <si>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</si>
  <si>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</si>
  <si>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</si>
  <si>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</si>
  <si>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</si>
  <si>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</si>
  <si>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</si>
  <si>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</si>
  <si>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</si>
  <si>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</si>
  <si>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</si>
  <si>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</si>
  <si>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</si>
  <si>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</si>
  <si>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</si>
  <si>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</si>
  <si>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</si>
  <si>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</si>
  <si>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</si>
  <si>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</si>
  <si>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</si>
  <si>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</si>
  <si>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</si>
  <si>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</si>
  <si>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</si>
  <si>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</si>
  <si>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</si>
  <si>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</si>
  <si>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</si>
  <si>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</si>
  <si>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</si>
  <si>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</si>
  <si>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</si>
  <si>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</si>
  <si>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</si>
  <si>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</si>
  <si>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</si>
  <si>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</si>
  <si>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</si>
  <si>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</si>
  <si>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</si>
  <si>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</si>
  <si>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</si>
  <si>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</si>
  <si>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</si>
  <si>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</si>
  <si>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</si>
  <si>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</si>
  <si>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</si>
  <si>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</si>
  <si>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</si>
  <si>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</si>
  <si>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</si>
  <si>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</si>
  <si>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</si>
  <si>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</si>
  <si>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</si>
  <si>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</si>
  <si>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</si>
  <si>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</si>
  <si>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</si>
  <si>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</si>
  <si>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</si>
  <si>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</si>
  <si>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</si>
  <si>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</si>
  <si>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</si>
  <si>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</si>
  <si>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</si>
  <si>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</si>
  <si>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</si>
  <si>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</si>
  <si>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</si>
  <si>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</si>
  <si>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</si>
  <si>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</si>
  <si>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</si>
  <si>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</si>
  <si>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</si>
  <si>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</si>
  <si>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</si>
  <si>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</si>
  <si>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</si>
  <si>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</si>
  <si>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</si>
  <si>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</si>
  <si>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</si>
  <si>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</si>
  <si>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</si>
  <si>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</si>
  <si>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</si>
  <si>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</si>
  <si>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</si>
  <si>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</si>
  <si>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</si>
  <si>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</si>
  <si>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</si>
  <si>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</si>
  <si>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</si>
  <si>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</si>
  <si>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</si>
  <si>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</si>
  <si>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</si>
  <si>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</si>
  <si>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</si>
  <si>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</si>
  <si>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</si>
  <si>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</si>
  <si>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</si>
  <si>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</si>
  <si>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</si>
  <si>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</si>
  <si>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</si>
  <si>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</si>
  <si>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</si>
  <si>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</si>
  <si>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</si>
  <si>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</si>
  <si>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</si>
  <si>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</si>
  <si>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</si>
  <si>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</si>
  <si>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</si>
  <si>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</si>
  <si>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</si>
  <si>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</si>
  <si>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</si>
  <si>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</si>
  <si>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</si>
  <si>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</si>
  <si>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</si>
  <si>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</si>
  <si>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</si>
  <si>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</si>
  <si>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</si>
  <si>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</si>
  <si>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</si>
  <si>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</si>
  <si>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</si>
  <si>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</si>
  <si>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</si>
  <si>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</si>
  <si>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</si>
  <si>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</si>
  <si>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</si>
  <si>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</si>
  <si>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</si>
  <si>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</si>
  <si>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</si>
  <si>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</si>
  <si>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</si>
  <si>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</si>
  <si>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</si>
  <si>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</si>
  <si>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</si>
  <si>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</si>
  <si>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</si>
  <si>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</si>
  <si>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</si>
  <si>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</si>
  <si>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</si>
  <si>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</si>
  <si>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</si>
  <si>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</si>
  <si>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</si>
  <si>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</si>
  <si>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</si>
  <si>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</si>
  <si>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</si>
  <si>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</si>
  <si>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</si>
  <si>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</si>
  <si>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</si>
  <si>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</si>
  <si>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</si>
  <si>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</si>
  <si>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</si>
  <si>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</si>
  <si>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</si>
  <si>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</si>
  <si>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</si>
  <si>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</si>
  <si>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</si>
  <si>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</si>
  <si>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</si>
  <si>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</si>
  <si>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</si>
  <si>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</si>
  <si>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</si>
  <si>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</si>
  <si>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</si>
  <si>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</si>
  <si>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</si>
  <si>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</si>
  <si>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</si>
  <si>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</si>
  <si>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</si>
  <si>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</si>
  <si>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</si>
  <si>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</si>
  <si>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</si>
  <si>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</si>
  <si>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</si>
  <si>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</si>
  <si>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</si>
  <si>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</si>
  <si>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</si>
  <si>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</si>
  <si>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</si>
  <si>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</si>
  <si>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</si>
  <si>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</si>
  <si>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</si>
  <si>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</si>
  <si>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</si>
  <si>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</si>
  <si>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</si>
  <si>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</si>
  <si>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</si>
  <si>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</si>
  <si>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</si>
  <si>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</si>
  <si>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</si>
  <si>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</si>
  <si>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</si>
  <si>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</si>
  <si>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</si>
  <si>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</si>
  <si>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</si>
  <si>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</si>
  <si>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</si>
  <si>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</si>
  <si>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</si>
  <si>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</si>
  <si>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</si>
  <si>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</si>
  <si>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</si>
  <si>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</si>
  <si>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</si>
  <si>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</si>
  <si>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</si>
  <si>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</si>
  <si>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</si>
  <si>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</si>
  <si>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</si>
  <si>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</si>
  <si>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</si>
  <si>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</si>
  <si>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</si>
  <si>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</si>
  <si>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</si>
  <si>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</si>
  <si>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</si>
  <si>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</si>
  <si>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</si>
  <si>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</si>
  <si>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</si>
  <si>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</si>
  <si>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</si>
  <si>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</si>
  <si>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</si>
  <si>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</si>
  <si>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</si>
  <si>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</si>
  <si>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</si>
  <si>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</si>
  <si>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</si>
  <si>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</si>
  <si>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</si>
  <si>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</si>
  <si>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</si>
  <si>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</si>
  <si>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</si>
  <si>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</si>
  <si>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</si>
  <si>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</si>
  <si>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</si>
  <si>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</si>
  <si>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</si>
  <si>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</si>
  <si>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</si>
  <si>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</si>
  <si>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</si>
  <si>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</si>
  <si>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</si>
  <si>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</si>
  <si>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</si>
  <si>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</si>
  <si>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</si>
  <si>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Proposed Change</t>
  </si>
  <si>
    <t>South Branch Blake Creek at County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</si>
</sst>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opLeftCell="A5" zoomScale="75" zoomScaleNormal="75" workbookViewId="0">
      <selection activeCell="A20" sqref="A20:A31"/>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42202</v>
      </c>
      <c r="C6" s="53"/>
      <c r="D6" s="54"/>
      <c r="F6" s="30"/>
      <c r="G6" s="32"/>
      <c r="H6" s="32"/>
      <c r="I6" s="32"/>
      <c r="J6" s="32"/>
      <c r="K6" s="32"/>
      <c r="L6" s="32"/>
      <c r="M6" s="32"/>
      <c r="N6" s="32"/>
      <c r="O6" s="32"/>
      <c r="P6" s="32"/>
      <c r="Q6" s="32"/>
      <c r="R6" s="32" t="s">
        <v>902</v>
      </c>
    </row>
    <row r="7" spans="1:19" s="32" customFormat="1" ht="15" x14ac:dyDescent="0.25">
      <c r="A7" s="32" t="s">
        <v>905</v>
      </c>
      <c r="B7" s="147">
        <v>10013573</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282100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21</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251</v>
      </c>
      <c r="B20" s="146">
        <v>4</v>
      </c>
      <c r="C20" s="26" t="str">
        <f>IFERROR(VLOOKUP($A20,'Species guilds'!$A$3:$F$300,3,FALSE),0)</f>
        <v>C</v>
      </c>
      <c r="D20" s="26" t="str">
        <f>IFERROR(VLOOKUP($A20,'Species guilds'!$A$3:$F$300,4,FALSE),0)</f>
        <v>S</v>
      </c>
      <c r="E20" s="26" t="str">
        <f>IFERROR(VLOOKUP($A20,'Species guilds'!$A$3:$F$300,5,FALSE),0)</f>
        <v>IT</v>
      </c>
      <c r="F20" s="26">
        <f t="shared" ref="F20:F52" si="0">IF(AND(M20&gt;0,B20&gt;0)=FALSE,B20,0)</f>
        <v>4</v>
      </c>
      <c r="G20" s="26">
        <f>IF(D20="Lake",0,1)</f>
        <v>1</v>
      </c>
      <c r="H20" s="26">
        <f>IF($C20=H$19,$B20*G20,0)</f>
        <v>4</v>
      </c>
      <c r="I20" s="26">
        <f>IF($C20=I$19,$B20*G20,0)</f>
        <v>0</v>
      </c>
      <c r="J20" s="26">
        <f>IF($C20=J$19,$B20*G20,0)</f>
        <v>0</v>
      </c>
      <c r="K20" s="26">
        <f>IF($D20=K$19,$B20*G20,0)</f>
        <v>4</v>
      </c>
      <c r="L20" s="26">
        <f>IF($D20=L$19,$B20*G20,0)</f>
        <v>0</v>
      </c>
      <c r="M20" s="26">
        <f>IF($D20=M$19,$B20,0)</f>
        <v>0</v>
      </c>
      <c r="N20" s="26">
        <f>IF($D20=N$19,$B20*G20,0)</f>
        <v>0</v>
      </c>
      <c r="O20" s="26">
        <f>IF($E20=O$19,$B20*G20,0)</f>
        <v>4</v>
      </c>
      <c r="P20" s="26">
        <f>IF($E20=P$19,$B20*G20,0)</f>
        <v>0</v>
      </c>
      <c r="Q20" s="26">
        <f>IF($E20=Q$19,$B20*G20,0)</f>
        <v>0</v>
      </c>
      <c r="R20" s="27" t="str">
        <f t="shared" ref="R20:R52" si="1">IF(AND(B20&gt;0,C20=0)=TRUE,"SPECIES NOT FOUND, CHECK SPELLING","")</f>
        <v/>
      </c>
      <c r="T20" s="59"/>
      <c r="U20" s="60"/>
      <c r="V20" s="60"/>
      <c r="W20" s="60"/>
      <c r="X20" s="60"/>
      <c r="Y20" s="60"/>
    </row>
    <row r="21" spans="1:25" x14ac:dyDescent="0.3">
      <c r="A21" s="58" t="s">
        <v>214</v>
      </c>
      <c r="B21" s="146">
        <v>3</v>
      </c>
      <c r="C21" s="26" t="str">
        <f>IFERROR(VLOOKUP($A21,'Species guilds'!$A$3:$F$300,3,FALSE),0)</f>
        <v>T</v>
      </c>
      <c r="D21" s="26" t="str">
        <f>IFERROR(VLOOKUP($A21,'Species guilds'!$A$3:$F$300,4,FALSE),0)</f>
        <v>S</v>
      </c>
      <c r="E21" s="26" t="str">
        <f>IFERROR(VLOOKUP($A21,'Species guilds'!$A$3:$F$300,5,FALSE),0)</f>
        <v>T</v>
      </c>
      <c r="F21" s="26">
        <f t="shared" si="0"/>
        <v>3</v>
      </c>
      <c r="G21" s="26">
        <f t="shared" ref="G21:G52" si="2">IF(D21="Lake",0,1)</f>
        <v>1</v>
      </c>
      <c r="H21" s="26">
        <f t="shared" ref="H21:H52" si="3">IF($C21=H$19,$B21*G21,0)</f>
        <v>0</v>
      </c>
      <c r="I21" s="26">
        <f t="shared" ref="I21:I52" si="4">IF($C21=I$19,$B21*G21,0)</f>
        <v>3</v>
      </c>
      <c r="J21" s="26">
        <f t="shared" ref="J21:J52" si="5">IF($C21=J$19,$B21*G21,0)</f>
        <v>0</v>
      </c>
      <c r="K21" s="26">
        <f t="shared" ref="K21:K52" si="6">IF($D21=K$19,$B21*G21,0)</f>
        <v>3</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3</v>
      </c>
      <c r="R21" s="27" t="str">
        <f t="shared" si="1"/>
        <v/>
      </c>
      <c r="T21" s="58"/>
      <c r="U21" s="58"/>
      <c r="V21" s="58"/>
      <c r="W21" s="58"/>
      <c r="X21" s="58"/>
      <c r="Y21" s="58"/>
    </row>
    <row r="22" spans="1:25" ht="15" x14ac:dyDescent="0.25">
      <c r="A22" s="145" t="s">
        <v>190</v>
      </c>
      <c r="B22" s="146">
        <v>2</v>
      </c>
      <c r="C22" s="26" t="str">
        <f>IFERROR(VLOOKUP($A22,'Species guilds'!$A$3:$F$300,3,FALSE),0)</f>
        <v>T</v>
      </c>
      <c r="D22" s="26" t="str">
        <f>IFERROR(VLOOKUP($A22,'Species guilds'!$A$3:$F$300,4,FALSE),0)</f>
        <v>S</v>
      </c>
      <c r="E22" s="26" t="str">
        <f>IFERROR(VLOOKUP($A22,'Species guilds'!$A$3:$F$300,5,FALSE),0)</f>
        <v>T</v>
      </c>
      <c r="F22" s="26">
        <f t="shared" si="0"/>
        <v>2</v>
      </c>
      <c r="G22" s="26">
        <f t="shared" si="2"/>
        <v>1</v>
      </c>
      <c r="H22" s="26">
        <f t="shared" si="3"/>
        <v>0</v>
      </c>
      <c r="I22" s="26">
        <f t="shared" si="4"/>
        <v>2</v>
      </c>
      <c r="J22" s="26">
        <f t="shared" si="5"/>
        <v>0</v>
      </c>
      <c r="K22" s="26">
        <f t="shared" si="6"/>
        <v>2</v>
      </c>
      <c r="L22" s="26">
        <f t="shared" si="7"/>
        <v>0</v>
      </c>
      <c r="M22" s="26">
        <f t="shared" si="8"/>
        <v>0</v>
      </c>
      <c r="N22" s="26">
        <f t="shared" si="9"/>
        <v>0</v>
      </c>
      <c r="O22" s="26">
        <f t="shared" si="10"/>
        <v>0</v>
      </c>
      <c r="P22" s="26">
        <f t="shared" si="11"/>
        <v>0</v>
      </c>
      <c r="Q22" s="26">
        <f t="shared" si="12"/>
        <v>2</v>
      </c>
      <c r="R22" s="27" t="str">
        <f t="shared" si="1"/>
        <v/>
      </c>
      <c r="T22" s="58"/>
      <c r="U22" s="58"/>
      <c r="V22" s="58"/>
      <c r="W22" s="58"/>
      <c r="X22" s="58"/>
      <c r="Y22" s="58"/>
    </row>
    <row r="23" spans="1:25" ht="15" x14ac:dyDescent="0.25">
      <c r="A23" t="s">
        <v>277</v>
      </c>
      <c r="B23" s="146">
        <v>3</v>
      </c>
      <c r="C23" s="26" t="str">
        <f>IFERROR(VLOOKUP($A23,'Species guilds'!$A$3:$F$300,3,FALSE),0)</f>
        <v>C</v>
      </c>
      <c r="D23" s="26" t="str">
        <f>IFERROR(VLOOKUP($A23,'Species guilds'!$A$3:$F$300,4,FALSE),0)</f>
        <v>S</v>
      </c>
      <c r="E23" s="26" t="str">
        <f>IFERROR(VLOOKUP($A23,'Species guilds'!$A$3:$F$300,5,FALSE),0)</f>
        <v>IT</v>
      </c>
      <c r="F23" s="26">
        <f t="shared" si="0"/>
        <v>3</v>
      </c>
      <c r="G23" s="26">
        <f t="shared" si="2"/>
        <v>1</v>
      </c>
      <c r="H23" s="26">
        <f t="shared" si="3"/>
        <v>3</v>
      </c>
      <c r="I23" s="26">
        <f t="shared" si="4"/>
        <v>0</v>
      </c>
      <c r="J23" s="26">
        <f t="shared" si="5"/>
        <v>0</v>
      </c>
      <c r="K23" s="26">
        <f t="shared" si="6"/>
        <v>3</v>
      </c>
      <c r="L23" s="26">
        <f t="shared" si="7"/>
        <v>0</v>
      </c>
      <c r="M23" s="26">
        <f t="shared" si="8"/>
        <v>0</v>
      </c>
      <c r="N23" s="26">
        <f t="shared" si="9"/>
        <v>0</v>
      </c>
      <c r="O23" s="26">
        <f t="shared" si="10"/>
        <v>3</v>
      </c>
      <c r="P23" s="26">
        <f t="shared" si="11"/>
        <v>0</v>
      </c>
      <c r="Q23" s="26">
        <f t="shared" si="12"/>
        <v>0</v>
      </c>
      <c r="R23" s="27" t="str">
        <f t="shared" si="1"/>
        <v/>
      </c>
      <c r="T23" s="58"/>
      <c r="U23" s="58"/>
      <c r="V23" s="58"/>
      <c r="W23" s="58"/>
      <c r="X23" s="58"/>
      <c r="Y23" s="58"/>
    </row>
    <row r="24" spans="1:25" ht="15" x14ac:dyDescent="0.25">
      <c r="A24" t="s">
        <v>52</v>
      </c>
      <c r="B24" s="146">
        <v>7</v>
      </c>
      <c r="C24" s="26" t="str">
        <f>IFERROR(VLOOKUP($A24,'Species guilds'!$A$3:$F$300,3,FALSE),0)</f>
        <v>T</v>
      </c>
      <c r="D24" s="26" t="str">
        <f>IFERROR(VLOOKUP($A24,'Species guilds'!$A$3:$F$300,4,FALSE),0)</f>
        <v>M</v>
      </c>
      <c r="E24" s="26" t="str">
        <f>IFERROR(VLOOKUP($A24,'Species guilds'!$A$3:$F$300,5,FALSE),0)</f>
        <v>IT</v>
      </c>
      <c r="F24" s="26">
        <f t="shared" si="0"/>
        <v>7</v>
      </c>
      <c r="G24" s="26">
        <f t="shared" si="2"/>
        <v>1</v>
      </c>
      <c r="H24" s="26">
        <f t="shared" si="3"/>
        <v>0</v>
      </c>
      <c r="I24" s="26">
        <f t="shared" si="4"/>
        <v>7</v>
      </c>
      <c r="J24" s="26">
        <f t="shared" si="5"/>
        <v>0</v>
      </c>
      <c r="K24" s="26">
        <f t="shared" si="6"/>
        <v>0</v>
      </c>
      <c r="L24" s="26">
        <f t="shared" si="7"/>
        <v>7</v>
      </c>
      <c r="M24" s="26">
        <f t="shared" si="8"/>
        <v>0</v>
      </c>
      <c r="N24" s="26">
        <f t="shared" si="9"/>
        <v>0</v>
      </c>
      <c r="O24" s="26">
        <f t="shared" si="10"/>
        <v>7</v>
      </c>
      <c r="P24" s="26">
        <f t="shared" si="11"/>
        <v>0</v>
      </c>
      <c r="Q24" s="26">
        <f t="shared" si="12"/>
        <v>0</v>
      </c>
      <c r="R24" s="27" t="str">
        <f t="shared" si="1"/>
        <v/>
      </c>
      <c r="T24" s="58"/>
      <c r="U24" s="58"/>
      <c r="V24" s="58"/>
      <c r="W24" s="58"/>
      <c r="X24" s="58"/>
      <c r="Y24" s="58"/>
    </row>
    <row r="25" spans="1:25" ht="15" x14ac:dyDescent="0.25">
      <c r="A25" t="s">
        <v>124</v>
      </c>
      <c r="B25" s="146">
        <v>4</v>
      </c>
      <c r="C25" s="26" t="str">
        <f>IFERROR(VLOOKUP($A25,'Species guilds'!$A$3:$F$300,3,FALSE),0)</f>
        <v>W</v>
      </c>
      <c r="D25" s="26" t="str">
        <f>IFERROR(VLOOKUP($A25,'Species guilds'!$A$3:$F$300,4,FALSE),0)</f>
        <v>M</v>
      </c>
      <c r="E25" s="26" t="str">
        <f>IFERROR(VLOOKUP($A25,'Species guilds'!$A$3:$F$300,5,FALSE),0)</f>
        <v>IM</v>
      </c>
      <c r="F25" s="26">
        <f t="shared" si="0"/>
        <v>4</v>
      </c>
      <c r="G25" s="26">
        <f t="shared" si="2"/>
        <v>1</v>
      </c>
      <c r="H25" s="26">
        <f t="shared" si="3"/>
        <v>0</v>
      </c>
      <c r="I25" s="26">
        <f t="shared" si="4"/>
        <v>0</v>
      </c>
      <c r="J25" s="26">
        <f t="shared" si="5"/>
        <v>4</v>
      </c>
      <c r="K25" s="26">
        <f t="shared" si="6"/>
        <v>0</v>
      </c>
      <c r="L25" s="26">
        <f t="shared" si="7"/>
        <v>4</v>
      </c>
      <c r="M25" s="26">
        <f t="shared" si="8"/>
        <v>0</v>
      </c>
      <c r="N25" s="26">
        <f t="shared" si="9"/>
        <v>0</v>
      </c>
      <c r="O25" s="26">
        <f t="shared" si="10"/>
        <v>0</v>
      </c>
      <c r="P25" s="26">
        <f t="shared" si="11"/>
        <v>4</v>
      </c>
      <c r="Q25" s="26">
        <f t="shared" si="12"/>
        <v>0</v>
      </c>
      <c r="R25" s="27" t="str">
        <f t="shared" si="1"/>
        <v/>
      </c>
      <c r="T25" s="58"/>
      <c r="U25" s="58"/>
      <c r="V25" s="58"/>
      <c r="W25" s="58"/>
      <c r="X25" s="58"/>
      <c r="Y25" s="58"/>
    </row>
    <row r="26" spans="1:25" ht="15" x14ac:dyDescent="0.25">
      <c r="A26" t="s">
        <v>259</v>
      </c>
      <c r="B26" s="146">
        <v>12</v>
      </c>
      <c r="C26" s="26" t="str">
        <f>IFERROR(VLOOKUP($A26,'Species guilds'!$A$3:$F$300,3,FALSE),0)</f>
        <v>T</v>
      </c>
      <c r="D26" s="26" t="str">
        <f>IFERROR(VLOOKUP($A26,'Species guilds'!$A$3:$F$300,4,FALSE),0)</f>
        <v>L</v>
      </c>
      <c r="E26" s="26" t="str">
        <f>IFERROR(VLOOKUP($A26,'Species guilds'!$A$3:$F$300,5,FALSE),0)</f>
        <v>IM</v>
      </c>
      <c r="F26" s="26">
        <f t="shared" si="0"/>
        <v>12</v>
      </c>
      <c r="G26" s="26">
        <f t="shared" si="2"/>
        <v>1</v>
      </c>
      <c r="H26" s="26">
        <f t="shared" si="3"/>
        <v>0</v>
      </c>
      <c r="I26" s="26">
        <f t="shared" si="4"/>
        <v>12</v>
      </c>
      <c r="J26" s="26">
        <f t="shared" si="5"/>
        <v>0</v>
      </c>
      <c r="K26" s="26">
        <f t="shared" si="6"/>
        <v>0</v>
      </c>
      <c r="L26" s="26">
        <f t="shared" si="7"/>
        <v>0</v>
      </c>
      <c r="M26" s="26">
        <f t="shared" si="8"/>
        <v>0</v>
      </c>
      <c r="N26" s="26">
        <f t="shared" si="9"/>
        <v>12</v>
      </c>
      <c r="O26" s="26">
        <f t="shared" si="10"/>
        <v>0</v>
      </c>
      <c r="P26" s="26">
        <f t="shared" si="11"/>
        <v>12</v>
      </c>
      <c r="Q26" s="26">
        <f t="shared" si="12"/>
        <v>0</v>
      </c>
      <c r="R26" s="27" t="str">
        <f t="shared" si="1"/>
        <v/>
      </c>
      <c r="T26" s="58"/>
      <c r="U26" s="58"/>
      <c r="V26" s="58"/>
      <c r="W26" s="58"/>
      <c r="X26" s="58"/>
      <c r="Y26" s="58"/>
    </row>
    <row r="27" spans="1:25" ht="15" x14ac:dyDescent="0.25">
      <c r="A27" t="s">
        <v>293</v>
      </c>
      <c r="B27" s="146">
        <v>1</v>
      </c>
      <c r="C27" s="26" t="str">
        <f>IFERROR(VLOOKUP($A27,'Species guilds'!$A$3:$F$300,3,FALSE),0)</f>
        <v>W</v>
      </c>
      <c r="D27" s="26" t="str">
        <f>IFERROR(VLOOKUP($A27,'Species guilds'!$A$3:$F$300,4,FALSE),0)</f>
        <v>S</v>
      </c>
      <c r="E27" s="26" t="str">
        <f>IFERROR(VLOOKUP($A27,'Species guilds'!$A$3:$F$300,5,FALSE),0)</f>
        <v>T</v>
      </c>
      <c r="F27" s="26">
        <f t="shared" si="0"/>
        <v>1</v>
      </c>
      <c r="G27" s="26">
        <f t="shared" si="2"/>
        <v>1</v>
      </c>
      <c r="H27" s="26">
        <f t="shared" si="3"/>
        <v>0</v>
      </c>
      <c r="I27" s="26">
        <f t="shared" si="4"/>
        <v>0</v>
      </c>
      <c r="J27" s="26">
        <f t="shared" si="5"/>
        <v>1</v>
      </c>
      <c r="K27" s="26">
        <f t="shared" si="6"/>
        <v>1</v>
      </c>
      <c r="L27" s="26">
        <f t="shared" si="7"/>
        <v>0</v>
      </c>
      <c r="M27" s="26">
        <f t="shared" si="8"/>
        <v>0</v>
      </c>
      <c r="N27" s="26">
        <f t="shared" si="9"/>
        <v>0</v>
      </c>
      <c r="O27" s="26">
        <f t="shared" si="10"/>
        <v>0</v>
      </c>
      <c r="P27" s="26">
        <f t="shared" si="11"/>
        <v>0</v>
      </c>
      <c r="Q27" s="26">
        <f t="shared" si="12"/>
        <v>1</v>
      </c>
      <c r="R27" s="27" t="str">
        <f t="shared" si="1"/>
        <v/>
      </c>
      <c r="T27" s="37"/>
      <c r="U27" s="58"/>
      <c r="V27" s="58"/>
      <c r="W27" s="58"/>
      <c r="X27" s="58"/>
      <c r="Y27" s="58"/>
    </row>
    <row r="28" spans="1:25" ht="15" x14ac:dyDescent="0.25">
      <c r="A28" t="s">
        <v>339</v>
      </c>
      <c r="B28" s="146">
        <v>2</v>
      </c>
      <c r="C28" s="26" t="str">
        <f>IFERROR(VLOOKUP($A28,'Species guilds'!$A$3:$F$300,3,FALSE),0)</f>
        <v>W</v>
      </c>
      <c r="D28" s="26" t="str">
        <f>IFERROR(VLOOKUP($A28,'Species guilds'!$A$3:$F$300,4,FALSE),0)</f>
        <v>L</v>
      </c>
      <c r="E28" s="26" t="str">
        <f>IFERROR(VLOOKUP($A28,'Species guilds'!$A$3:$F$300,5,FALSE),0)</f>
        <v>IM</v>
      </c>
      <c r="F28" s="26">
        <f t="shared" si="0"/>
        <v>2</v>
      </c>
      <c r="G28" s="26">
        <f t="shared" si="2"/>
        <v>1</v>
      </c>
      <c r="H28" s="26">
        <f t="shared" si="3"/>
        <v>0</v>
      </c>
      <c r="I28" s="26">
        <f t="shared" si="4"/>
        <v>0</v>
      </c>
      <c r="J28" s="26">
        <f t="shared" si="5"/>
        <v>2</v>
      </c>
      <c r="K28" s="26">
        <f t="shared" si="6"/>
        <v>0</v>
      </c>
      <c r="L28" s="26">
        <f t="shared" si="7"/>
        <v>0</v>
      </c>
      <c r="M28" s="26">
        <f t="shared" si="8"/>
        <v>0</v>
      </c>
      <c r="N28" s="26">
        <f t="shared" si="9"/>
        <v>2</v>
      </c>
      <c r="O28" s="26">
        <f t="shared" si="10"/>
        <v>0</v>
      </c>
      <c r="P28" s="26">
        <f t="shared" si="11"/>
        <v>2</v>
      </c>
      <c r="Q28" s="26">
        <f t="shared" si="12"/>
        <v>0</v>
      </c>
      <c r="R28" s="27" t="str">
        <f t="shared" si="1"/>
        <v/>
      </c>
      <c r="T28" s="60"/>
      <c r="U28" s="60"/>
      <c r="V28" s="60"/>
      <c r="W28" s="60"/>
      <c r="X28" s="60"/>
      <c r="Y28" s="58"/>
    </row>
    <row r="29" spans="1:25" ht="15" x14ac:dyDescent="0.25">
      <c r="A29" s="145" t="s">
        <v>395</v>
      </c>
      <c r="B29" s="146">
        <v>1</v>
      </c>
      <c r="C29" s="26" t="str">
        <f>IFERROR(VLOOKUP($A29,'Species guilds'!$A$3:$F$300,3,FALSE),0)</f>
        <v>W</v>
      </c>
      <c r="D29" s="26" t="str">
        <f>IFERROR(VLOOKUP($A29,'Species guilds'!$A$3:$F$300,4,FALSE),0)</f>
        <v>L</v>
      </c>
      <c r="E29" s="26" t="str">
        <f>IFERROR(VLOOKUP($A29,'Species guilds'!$A$3:$F$300,5,FALSE),0)</f>
        <v>IM</v>
      </c>
      <c r="F29" s="26">
        <f t="shared" si="0"/>
        <v>1</v>
      </c>
      <c r="G29" s="26">
        <f t="shared" si="2"/>
        <v>1</v>
      </c>
      <c r="H29" s="26">
        <f t="shared" si="3"/>
        <v>0</v>
      </c>
      <c r="I29" s="26">
        <f t="shared" si="4"/>
        <v>0</v>
      </c>
      <c r="J29" s="26">
        <f t="shared" si="5"/>
        <v>1</v>
      </c>
      <c r="K29" s="26">
        <f t="shared" si="6"/>
        <v>0</v>
      </c>
      <c r="L29" s="26">
        <f t="shared" si="7"/>
        <v>0</v>
      </c>
      <c r="M29" s="26">
        <f t="shared" si="8"/>
        <v>0</v>
      </c>
      <c r="N29" s="26">
        <f t="shared" si="9"/>
        <v>1</v>
      </c>
      <c r="O29" s="26">
        <f t="shared" si="10"/>
        <v>0</v>
      </c>
      <c r="P29" s="26">
        <f t="shared" si="11"/>
        <v>1</v>
      </c>
      <c r="Q29" s="26">
        <f t="shared" si="12"/>
        <v>0</v>
      </c>
      <c r="R29" s="27" t="str">
        <f t="shared" si="1"/>
        <v/>
      </c>
      <c r="T29" s="60"/>
      <c r="U29" s="60"/>
      <c r="V29" s="60"/>
      <c r="W29" s="60"/>
      <c r="X29" s="60"/>
      <c r="Y29" s="58"/>
    </row>
    <row r="30" spans="1:25" ht="15" x14ac:dyDescent="0.25">
      <c r="A30" t="s">
        <v>364</v>
      </c>
      <c r="B30" s="146">
        <v>1</v>
      </c>
      <c r="C30" s="26" t="str">
        <f>IFERROR(VLOOKUP($A30,'Species guilds'!$A$3:$F$300,3,FALSE),0)</f>
        <v>T</v>
      </c>
      <c r="D30" s="26" t="str">
        <f>IFERROR(VLOOKUP($A30,'Species guilds'!$A$3:$F$300,4,FALSE),0)</f>
        <v>M</v>
      </c>
      <c r="E30" s="26" t="str">
        <f>IFERROR(VLOOKUP($A30,'Species guilds'!$A$3:$F$300,5,FALSE),0)</f>
        <v>T</v>
      </c>
      <c r="F30" s="26">
        <f t="shared" si="0"/>
        <v>1</v>
      </c>
      <c r="G30" s="26">
        <f t="shared" si="2"/>
        <v>1</v>
      </c>
      <c r="H30" s="26">
        <f t="shared" si="3"/>
        <v>0</v>
      </c>
      <c r="I30" s="26">
        <f t="shared" si="4"/>
        <v>1</v>
      </c>
      <c r="J30" s="26">
        <f t="shared" si="5"/>
        <v>0</v>
      </c>
      <c r="K30" s="26">
        <f t="shared" si="6"/>
        <v>0</v>
      </c>
      <c r="L30" s="26">
        <f t="shared" si="7"/>
        <v>1</v>
      </c>
      <c r="M30" s="26">
        <f t="shared" si="8"/>
        <v>0</v>
      </c>
      <c r="N30" s="26">
        <f t="shared" si="9"/>
        <v>0</v>
      </c>
      <c r="O30" s="26">
        <f t="shared" si="10"/>
        <v>0</v>
      </c>
      <c r="P30" s="26">
        <f t="shared" si="11"/>
        <v>0</v>
      </c>
      <c r="Q30" s="26">
        <f t="shared" si="12"/>
        <v>1</v>
      </c>
      <c r="R30" s="27" t="str">
        <f t="shared" si="1"/>
        <v/>
      </c>
      <c r="T30" s="60"/>
      <c r="U30" s="60"/>
      <c r="V30" s="60"/>
      <c r="W30" s="60"/>
      <c r="X30" s="60"/>
      <c r="Y30" s="58"/>
    </row>
    <row r="31" spans="1:25" ht="15" x14ac:dyDescent="0.25">
      <c r="A31" t="s">
        <v>186</v>
      </c>
      <c r="B31" s="25">
        <v>1</v>
      </c>
      <c r="C31" s="26" t="str">
        <f>IFERROR(VLOOKUP($A31,'Species guilds'!$A$3:$F$300,3,FALSE),0)</f>
        <v>T</v>
      </c>
      <c r="D31" s="26" t="str">
        <f>IFERROR(VLOOKUP($A31,'Species guilds'!$A$3:$F$300,4,FALSE),0)</f>
        <v>M</v>
      </c>
      <c r="E31" s="26" t="str">
        <f>IFERROR(VLOOKUP($A31,'Species guilds'!$A$3:$F$300,5,FALSE),0)</f>
        <v>IM</v>
      </c>
      <c r="F31" s="26">
        <f t="shared" si="0"/>
        <v>1</v>
      </c>
      <c r="G31" s="26">
        <f t="shared" si="2"/>
        <v>1</v>
      </c>
      <c r="H31" s="26">
        <f t="shared" si="3"/>
        <v>0</v>
      </c>
      <c r="I31" s="26">
        <f t="shared" si="4"/>
        <v>1</v>
      </c>
      <c r="J31" s="26">
        <f t="shared" si="5"/>
        <v>0</v>
      </c>
      <c r="K31" s="26">
        <f t="shared" si="6"/>
        <v>0</v>
      </c>
      <c r="L31" s="26">
        <f t="shared" si="7"/>
        <v>1</v>
      </c>
      <c r="M31" s="26">
        <f t="shared" si="8"/>
        <v>0</v>
      </c>
      <c r="N31" s="26">
        <f t="shared" si="9"/>
        <v>0</v>
      </c>
      <c r="O31" s="26">
        <f t="shared" si="10"/>
        <v>0</v>
      </c>
      <c r="P31" s="26">
        <f t="shared" si="11"/>
        <v>1</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41</v>
      </c>
      <c r="F53" s="9">
        <f>SUM(F20:F52)</f>
        <v>41</v>
      </c>
      <c r="G53" s="2"/>
      <c r="H53" s="9">
        <f>SUM(H20:H52)</f>
        <v>7</v>
      </c>
      <c r="I53" s="9">
        <f t="shared" ref="I53:Q53" si="14">SUM(I20:I52)</f>
        <v>26</v>
      </c>
      <c r="J53" s="9">
        <f t="shared" si="14"/>
        <v>8</v>
      </c>
      <c r="K53" s="9">
        <f t="shared" si="14"/>
        <v>13</v>
      </c>
      <c r="L53" s="9">
        <f t="shared" si="14"/>
        <v>13</v>
      </c>
      <c r="M53" s="9">
        <f t="shared" si="14"/>
        <v>0</v>
      </c>
      <c r="N53" s="9">
        <f t="shared" si="14"/>
        <v>15</v>
      </c>
      <c r="O53" s="9">
        <f t="shared" si="14"/>
        <v>14</v>
      </c>
      <c r="P53" s="9">
        <f t="shared" si="14"/>
        <v>20</v>
      </c>
      <c r="Q53" s="9">
        <f t="shared" si="14"/>
        <v>7</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zoomScaleNormal="100" workbookViewId="0">
      <selection activeCell="F24" sqref="F24"/>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42411</v>
      </c>
      <c r="C5" s="176"/>
      <c r="D5" s="176"/>
      <c r="E5" s="83"/>
      <c r="F5" s="36"/>
    </row>
    <row r="6" spans="1:6" ht="12.75" x14ac:dyDescent="0.2">
      <c r="A6" s="83" t="s">
        <v>858</v>
      </c>
      <c r="B6" s="177">
        <f>'Enter field data'!B6:D6</f>
        <v>42202</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South Branch Blake Creek at County E</v>
      </c>
      <c r="C9" s="176"/>
      <c r="D9" s="176"/>
      <c r="E9" s="83"/>
      <c r="F9" s="85"/>
    </row>
    <row r="10" spans="1:6" ht="12.75" x14ac:dyDescent="0.2">
      <c r="A10" s="83" t="s">
        <v>37</v>
      </c>
      <c r="B10" s="179" t="str">
        <f>'Enter field data'!B11:D11</f>
        <v>Waupaca</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282100</v>
      </c>
      <c r="C12" s="178"/>
      <c r="D12" s="178"/>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Cool-Cold Headwater</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910</v>
      </c>
      <c r="E18" s="185"/>
      <c r="F18" s="93"/>
    </row>
    <row r="19" spans="1:6" ht="12.75" x14ac:dyDescent="0.2">
      <c r="A19" s="36" t="s">
        <v>885</v>
      </c>
      <c r="B19" s="36"/>
      <c r="C19" s="94"/>
      <c r="D19" s="168" t="s">
        <v>22</v>
      </c>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7</v>
      </c>
      <c r="C31" s="115" t="s">
        <v>9</v>
      </c>
      <c r="D31" s="116">
        <f>'Enter field data'!$K$53</f>
        <v>13</v>
      </c>
      <c r="E31" s="117" t="s">
        <v>12</v>
      </c>
      <c r="F31" s="118">
        <f>'Enter field data'!$O$53</f>
        <v>14</v>
      </c>
    </row>
    <row r="32" spans="1:6" ht="12.75" x14ac:dyDescent="0.2">
      <c r="A32" s="113" t="s">
        <v>7</v>
      </c>
      <c r="B32" s="114">
        <f>'Enter field data'!$I$53</f>
        <v>26</v>
      </c>
      <c r="C32" s="115" t="s">
        <v>10</v>
      </c>
      <c r="D32" s="116">
        <f>'Enter field data'!$L$53</f>
        <v>13</v>
      </c>
      <c r="E32" s="117" t="s">
        <v>13</v>
      </c>
      <c r="F32" s="118">
        <f>'Enter field data'!$P$53</f>
        <v>20</v>
      </c>
    </row>
    <row r="33" spans="1:6" ht="12.75" x14ac:dyDescent="0.2">
      <c r="A33" s="113" t="s">
        <v>8</v>
      </c>
      <c r="B33" s="114">
        <f>'Enter field data'!$J$53</f>
        <v>8</v>
      </c>
      <c r="C33" s="115" t="s">
        <v>11</v>
      </c>
      <c r="D33" s="116">
        <f>'Enter field data'!$N$53</f>
        <v>15</v>
      </c>
      <c r="E33" s="117" t="s">
        <v>14</v>
      </c>
      <c r="F33" s="118">
        <f>'Enter field data'!$Q$53</f>
        <v>7</v>
      </c>
    </row>
    <row r="34" spans="1:6" ht="12.75" x14ac:dyDescent="0.2">
      <c r="A34" s="36"/>
      <c r="B34" s="36"/>
      <c r="C34" s="36"/>
      <c r="D34" s="36"/>
      <c r="E34" s="36"/>
      <c r="F34" s="36"/>
    </row>
    <row r="35" spans="1:6" x14ac:dyDescent="0.3">
      <c r="A35" s="80" t="s">
        <v>67</v>
      </c>
      <c r="B35" s="36"/>
      <c r="C35" s="36"/>
      <c r="D35" s="36"/>
      <c r="E35" s="36"/>
      <c r="F35" s="36"/>
    </row>
    <row r="36" spans="1:6" x14ac:dyDescent="0.3">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x14ac:dyDescent="0.3">
      <c r="A39" s="113" t="s">
        <v>6</v>
      </c>
      <c r="B39" s="123">
        <f>($B$31/'Enter field data'!$F$53)</f>
        <v>0.17073170731707318</v>
      </c>
      <c r="C39" s="124">
        <f>VLOOKUP($D$15,'Expected guild %'!$A$5:$G$13,2,FALSE)</f>
        <v>0</v>
      </c>
      <c r="D39" s="124">
        <f>VLOOKUP($D$15,'Expected guild %'!$A$5:$G$13,3,FALSE)</f>
        <v>0.75</v>
      </c>
      <c r="E39" s="125" t="str">
        <f>IF(AND(C39&lt;=B39,B39&lt;= D39)=TRUE,"Y","N")</f>
        <v>Y</v>
      </c>
      <c r="F39" s="36"/>
    </row>
    <row r="40" spans="1:6" x14ac:dyDescent="0.3">
      <c r="A40" s="113" t="s">
        <v>7</v>
      </c>
      <c r="B40" s="123">
        <f>($B$32/'Enter field data'!$F$53)</f>
        <v>0.63414634146341464</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0.1951219512195122</v>
      </c>
      <c r="C41" s="124">
        <f>VLOOKUP($D$15,'Expected guild %'!$A$5:$G$13,6,FALSE)</f>
        <v>0</v>
      </c>
      <c r="D41" s="124">
        <f>VLOOKUP($D$15,'Expected guild %'!$A$5:$G$13,7,FALSE)</f>
        <v>0.25</v>
      </c>
      <c r="E41" s="125" t="str">
        <f>IF(AND(C41&lt;=B41,B41&lt;= D41)=TRUE,"Y","N")</f>
        <v>Y</v>
      </c>
      <c r="F41" s="36"/>
    </row>
    <row r="42" spans="1:6" x14ac:dyDescent="0.3">
      <c r="A42" s="36"/>
      <c r="B42" s="36"/>
      <c r="C42" s="36"/>
      <c r="D42" s="36"/>
      <c r="E42" s="36"/>
      <c r="F42" s="36"/>
    </row>
    <row r="43" spans="1:6" x14ac:dyDescent="0.3">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0.31707317073170732</v>
      </c>
      <c r="C46" s="126">
        <f>VLOOKUP($D$15,'Expected guild %'!$A$19:$G$27,2,FALSE)</f>
        <v>0.5</v>
      </c>
      <c r="D46" s="124">
        <f>VLOOKUP($D$15,'Expected guild %'!$A$19:$G$27,3,FALSE)</f>
        <v>1</v>
      </c>
      <c r="E46" s="125" t="str">
        <f>IF(AND(C46&lt;=B46,B46&lt;= D46)=TRUE,"Y","N")</f>
        <v>N</v>
      </c>
      <c r="F46" s="36"/>
    </row>
    <row r="47" spans="1:6" x14ac:dyDescent="0.3">
      <c r="A47" s="113" t="s">
        <v>10</v>
      </c>
      <c r="B47" s="124">
        <f>($D$32/'Enter field data'!$F$53)</f>
        <v>0.31707317073170732</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0.36585365853658536</v>
      </c>
      <c r="C48" s="126">
        <f>VLOOKUP($D$15,'Expected guild %'!$A$19:$G$27,6,FALSE)</f>
        <v>0</v>
      </c>
      <c r="D48" s="124">
        <f>VLOOKUP($D$15,'Expected guild %'!$A$19:$G$27,7,FALSE)</f>
        <v>0.1</v>
      </c>
      <c r="E48" s="125" t="str">
        <f>IF(AND(C48&lt;=B48,B48&lt;= D48)=TRUE,"Y","N")</f>
        <v>N</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0.34146341463414637</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0.48780487804878048</v>
      </c>
      <c r="C70" s="133">
        <f>VLOOKUP($D$15,'Expected guild %'!$A$33:$G$41,4,FALSE)</f>
        <v>0</v>
      </c>
      <c r="D70" s="124">
        <f>VLOOKUP($D$15,'Expected guild %'!$A$33:$G$41,5,FALSE)</f>
        <v>1</v>
      </c>
      <c r="E70" s="125" t="str">
        <f>IF(AND(C70&lt;=B70,B70&lt;= D70)=TRUE,"Y","N")</f>
        <v>Y</v>
      </c>
    </row>
    <row r="71" spans="1:7" x14ac:dyDescent="0.3">
      <c r="A71" s="113" t="s">
        <v>14</v>
      </c>
      <c r="B71" s="123">
        <f>($F$33/'Enter field data'!$F$53)</f>
        <v>0.17073170731707318</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t="e">
        <f>'Weather Results'!C18</f>
        <v>#N/A</v>
      </c>
    </row>
    <row r="85" spans="1:4" x14ac:dyDescent="0.3">
      <c r="A85" s="192"/>
      <c r="B85" s="135" t="s">
        <v>847</v>
      </c>
      <c r="C85" s="136"/>
      <c r="D85" s="137" t="e">
        <f>'Weather Results'!C19</f>
        <v>#N/A</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t="e">
        <f>'Weather Results'!C27</f>
        <v>#N/A</v>
      </c>
    </row>
    <row r="94" spans="1:4" x14ac:dyDescent="0.3">
      <c r="A94" s="191"/>
      <c r="B94" s="135" t="s">
        <v>856</v>
      </c>
      <c r="C94" s="136"/>
      <c r="D94" s="137" t="e">
        <f>'Weather Results'!C28</f>
        <v>#N/A</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42202</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20150717</v>
      </c>
    </row>
    <row r="5" spans="1:5" ht="15" hidden="1" x14ac:dyDescent="0.25">
      <c r="A5" s="43"/>
      <c r="B5" s="43" t="s">
        <v>833</v>
      </c>
      <c r="C5" s="65" t="str">
        <f>CONCATENATE(YEAR(C1-30),IF(MONTH(C1-30)&lt;10,"0"&amp;MONTH(C1-30),MONTH(C1-30)),IF(DAY(C1-30)&lt;10,"0"&amp;DAY(C1-30),DAY(C1-30)))</f>
        <v>20150617</v>
      </c>
    </row>
    <row r="6" spans="1:5" ht="15" hidden="1" x14ac:dyDescent="0.25">
      <c r="A6" s="43"/>
      <c r="B6" s="43" t="s">
        <v>834</v>
      </c>
      <c r="C6" s="65" t="str">
        <f>CONCATENATE(YEAR(C1-90),IF(MONTH(C1-90)&lt;10,"0"&amp;MONTH(C1-90),MONTH(C1-90)),IF(DAY(C1-90)&lt;10,"0"&amp;DAY(C1-90),DAY(C1-90)))</f>
        <v>20150418</v>
      </c>
    </row>
    <row r="7" spans="1:5" ht="15" hidden="1" x14ac:dyDescent="0.25">
      <c r="A7" s="43"/>
      <c r="B7" s="43" t="s">
        <v>835</v>
      </c>
      <c r="C7" s="65" t="str">
        <f>CONCATENATE(YEAR(C1-365),IF(MONTH(C1-365)&lt;10,"0"&amp;MONTH(C1-365),MONTH(C1-365)),IF(DAY(C1-365)&lt;10,"0"&amp;DAY(C1-365),DAY(C1-365)))</f>
        <v>20140717</v>
      </c>
    </row>
    <row r="8" spans="1:5" ht="15" hidden="1" x14ac:dyDescent="0.25">
      <c r="A8" s="43"/>
      <c r="B8" s="43" t="s">
        <v>836</v>
      </c>
      <c r="C8" s="65" t="str">
        <f>CONCATENATE(YEAR(C1-1460),IF(MONTH(C1-1460)&lt;10,"0"&amp;MONTH(C1-1460),MONTH(C1-1460)),IF(DAY(C1-1460)&lt;10,"0"&amp;DAY(C1-1460),DAY(C1-1460)))</f>
        <v>20110718</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13</v>
      </c>
    </row>
    <row r="12" spans="1:5" ht="15" hidden="1" x14ac:dyDescent="0.25">
      <c r="A12" s="43"/>
      <c r="B12" s="43" t="s">
        <v>840</v>
      </c>
      <c r="C12" s="65">
        <f>IF(MONTH($C$1)=7,DAY($C$1),0)+IF(MONTH($C$1)=8,30-DAY($C$1),0)</f>
        <v>17</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2016-02-11T22:00:02Z</dcterms:modified>
</cp:coreProperties>
</file>