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46" i="1" l="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17" i="9"/>
  <c r="D85" i="4" s="1"/>
  <c r="C25" i="9" l="1"/>
  <c r="D93" i="4" s="1"/>
  <c r="C23" i="9"/>
  <c r="D91"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C47" i="1"/>
  <c r="C48" i="1"/>
  <c r="C49" i="1"/>
  <c r="C50" i="1"/>
  <c r="C51" i="1"/>
  <c r="C52" i="1"/>
  <c r="C53" i="1"/>
  <c r="C21" i="1"/>
  <c r="R21" i="1" s="1"/>
  <c r="M48" i="1"/>
  <c r="F48" i="1" s="1"/>
  <c r="R29" i="1" l="1"/>
  <c r="Q29" i="1"/>
  <c r="G29" i="1"/>
  <c r="P29" i="1" s="1"/>
  <c r="M31" i="1"/>
  <c r="F31" i="1" s="1"/>
  <c r="M30" i="1"/>
  <c r="F30" i="1" s="1"/>
  <c r="G30" i="1"/>
  <c r="Q30" i="1" s="1"/>
  <c r="K30" i="1"/>
  <c r="H30" i="1"/>
  <c r="M38" i="1"/>
  <c r="F38" i="1" s="1"/>
  <c r="H31" i="1"/>
  <c r="H52" i="1"/>
  <c r="H48" i="1"/>
  <c r="H44" i="1"/>
  <c r="D94" i="4"/>
  <c r="C29" i="9"/>
  <c r="D97" i="4" s="1"/>
  <c r="O30" i="1"/>
  <c r="J30" i="1"/>
  <c r="M29" i="1"/>
  <c r="F29" i="1" s="1"/>
  <c r="G31" i="1"/>
  <c r="J31" i="1" s="1"/>
  <c r="N29" i="1"/>
  <c r="O29" i="1"/>
  <c r="L30" i="1"/>
  <c r="M34" i="1"/>
  <c r="F34" i="1" s="1"/>
  <c r="M23" i="1"/>
  <c r="F23" i="1" s="1"/>
  <c r="J53" i="1"/>
  <c r="I53" i="1"/>
  <c r="H53" i="1"/>
  <c r="J51" i="1"/>
  <c r="I51" i="1"/>
  <c r="H51" i="1"/>
  <c r="J49" i="1"/>
  <c r="I49" i="1"/>
  <c r="H49" i="1"/>
  <c r="J47" i="1"/>
  <c r="I47" i="1"/>
  <c r="H47" i="1"/>
  <c r="J45" i="1"/>
  <c r="H45" i="1"/>
  <c r="I41" i="1"/>
  <c r="H41" i="1"/>
  <c r="I40" i="1"/>
  <c r="H40" i="1"/>
  <c r="I35" i="1"/>
  <c r="H35" i="1"/>
  <c r="I33" i="1"/>
  <c r="H33" i="1"/>
  <c r="H26" i="1"/>
  <c r="M21" i="1"/>
  <c r="L52" i="1"/>
  <c r="N52" i="1"/>
  <c r="K52" i="1"/>
  <c r="L50" i="1"/>
  <c r="N50" i="1"/>
  <c r="K50" i="1"/>
  <c r="L48" i="1"/>
  <c r="N48" i="1"/>
  <c r="K48" i="1"/>
  <c r="L46" i="1"/>
  <c r="N46" i="1"/>
  <c r="K46" i="1"/>
  <c r="L44" i="1"/>
  <c r="K44" i="1"/>
  <c r="L42" i="1"/>
  <c r="N42" i="1"/>
  <c r="K42" i="1"/>
  <c r="K40" i="1"/>
  <c r="K35" i="1"/>
  <c r="G35" i="1"/>
  <c r="J35" i="1" s="1"/>
  <c r="G33" i="1"/>
  <c r="L33" i="1" s="1"/>
  <c r="K33" i="1"/>
  <c r="Q52" i="1"/>
  <c r="P52" i="1"/>
  <c r="O52" i="1"/>
  <c r="Q50" i="1"/>
  <c r="P50" i="1"/>
  <c r="O50" i="1"/>
  <c r="Q48" i="1"/>
  <c r="P48" i="1"/>
  <c r="O48" i="1"/>
  <c r="Q46" i="1"/>
  <c r="P46" i="1"/>
  <c r="O46" i="1"/>
  <c r="Q44" i="1"/>
  <c r="P44" i="1"/>
  <c r="Q42" i="1"/>
  <c r="O42" i="1"/>
  <c r="Q40" i="1"/>
  <c r="O40" i="1"/>
  <c r="Q35" i="1"/>
  <c r="O35" i="1"/>
  <c r="Q33" i="1"/>
  <c r="O33" i="1"/>
  <c r="Q26" i="1"/>
  <c r="O26" i="1"/>
  <c r="Q38" i="1"/>
  <c r="P38" i="1"/>
  <c r="O38" i="1"/>
  <c r="J38" i="1"/>
  <c r="I38" i="1"/>
  <c r="H38" i="1"/>
  <c r="Q37" i="1"/>
  <c r="O37" i="1"/>
  <c r="H36" i="1"/>
  <c r="J23" i="1"/>
  <c r="I23" i="1"/>
  <c r="H23" i="1"/>
  <c r="G21" i="1"/>
  <c r="L21" i="1" s="1"/>
  <c r="G50" i="1"/>
  <c r="G46" i="1"/>
  <c r="G42" i="1"/>
  <c r="P42" i="1" s="1"/>
  <c r="G27" i="1"/>
  <c r="L27" i="1" s="1"/>
  <c r="J52" i="1"/>
  <c r="I52" i="1"/>
  <c r="J50" i="1"/>
  <c r="I50" i="1"/>
  <c r="J48" i="1"/>
  <c r="I48" i="1"/>
  <c r="J46" i="1"/>
  <c r="I46" i="1"/>
  <c r="I44" i="1"/>
  <c r="J43" i="1"/>
  <c r="I43" i="1"/>
  <c r="H43" i="1"/>
  <c r="I42" i="1"/>
  <c r="H42" i="1"/>
  <c r="I39" i="1"/>
  <c r="H39" i="1"/>
  <c r="J34" i="1"/>
  <c r="I34" i="1"/>
  <c r="H34" i="1"/>
  <c r="H32" i="1"/>
  <c r="I27" i="1"/>
  <c r="H27" i="1"/>
  <c r="N53" i="1"/>
  <c r="L53" i="1"/>
  <c r="K53" i="1"/>
  <c r="G53" i="1"/>
  <c r="N51" i="1"/>
  <c r="K51" i="1"/>
  <c r="G51" i="1"/>
  <c r="L51" i="1"/>
  <c r="N49" i="1"/>
  <c r="L49" i="1"/>
  <c r="K49" i="1"/>
  <c r="G49" i="1"/>
  <c r="N47" i="1"/>
  <c r="K47" i="1"/>
  <c r="G47" i="1"/>
  <c r="L47" i="1"/>
  <c r="M46" i="1"/>
  <c r="F46" i="1" s="1"/>
  <c r="N45" i="1"/>
  <c r="L45" i="1"/>
  <c r="K45" i="1"/>
  <c r="G45" i="1"/>
  <c r="I45" i="1" s="1"/>
  <c r="K43" i="1"/>
  <c r="G43" i="1"/>
  <c r="N43" i="1" s="1"/>
  <c r="L43" i="1"/>
  <c r="M42" i="1"/>
  <c r="F42" i="1" s="1"/>
  <c r="N41" i="1"/>
  <c r="K41" i="1"/>
  <c r="G41" i="1"/>
  <c r="J41" i="1" s="1"/>
  <c r="N39" i="1"/>
  <c r="K39" i="1"/>
  <c r="G39" i="1"/>
  <c r="J39" i="1" s="1"/>
  <c r="M35" i="1"/>
  <c r="F35" i="1" s="1"/>
  <c r="N34" i="1"/>
  <c r="L34" i="1"/>
  <c r="K34" i="1"/>
  <c r="M33" i="1"/>
  <c r="F33" i="1" s="1"/>
  <c r="K32" i="1"/>
  <c r="G28" i="1"/>
  <c r="H28" i="1" s="1"/>
  <c r="G26" i="1"/>
  <c r="J26" i="1" s="1"/>
  <c r="K26" i="1"/>
  <c r="G24" i="1"/>
  <c r="O24" i="1" s="1"/>
  <c r="Q53" i="1"/>
  <c r="P53" i="1"/>
  <c r="O53" i="1"/>
  <c r="Q51" i="1"/>
  <c r="P51" i="1"/>
  <c r="O51" i="1"/>
  <c r="Q49" i="1"/>
  <c r="P49" i="1"/>
  <c r="O49" i="1"/>
  <c r="Q47" i="1"/>
  <c r="P47" i="1"/>
  <c r="O47" i="1"/>
  <c r="Q45" i="1"/>
  <c r="P45" i="1"/>
  <c r="O45" i="1"/>
  <c r="Q43" i="1"/>
  <c r="P43" i="1"/>
  <c r="O43" i="1"/>
  <c r="Q41" i="1"/>
  <c r="Q39" i="1"/>
  <c r="P39" i="1"/>
  <c r="O39" i="1"/>
  <c r="Q34" i="1"/>
  <c r="P34" i="1"/>
  <c r="O34" i="1"/>
  <c r="O32" i="1"/>
  <c r="Q27" i="1"/>
  <c r="O27" i="1"/>
  <c r="O25" i="1"/>
  <c r="Q23" i="1"/>
  <c r="P23" i="1"/>
  <c r="O23" i="1"/>
  <c r="L38" i="1"/>
  <c r="N38" i="1"/>
  <c r="K38" i="1"/>
  <c r="K37" i="1"/>
  <c r="G37" i="1"/>
  <c r="P37" i="1" s="1"/>
  <c r="I37" i="1"/>
  <c r="H37" i="1"/>
  <c r="K36" i="1"/>
  <c r="G22" i="1"/>
  <c r="I22" i="1" s="1"/>
  <c r="K22" i="1"/>
  <c r="G52" i="1"/>
  <c r="G48" i="1"/>
  <c r="G44" i="1"/>
  <c r="N44" i="1" s="1"/>
  <c r="G40" i="1"/>
  <c r="J40" i="1" s="1"/>
  <c r="G36" i="1"/>
  <c r="Q36" i="1" s="1"/>
  <c r="G32" i="1"/>
  <c r="J32" i="1" s="1"/>
  <c r="G25" i="1"/>
  <c r="L25" i="1" s="1"/>
  <c r="H50" i="1"/>
  <c r="H46" i="1"/>
  <c r="N23" i="1"/>
  <c r="L23" i="1"/>
  <c r="K23" i="1"/>
  <c r="H29" i="1" l="1"/>
  <c r="K28" i="1"/>
  <c r="Q22" i="1"/>
  <c r="H21" i="1"/>
  <c r="I26" i="1"/>
  <c r="N28" i="1"/>
  <c r="P28" i="1"/>
  <c r="P33" i="1"/>
  <c r="N33" i="1"/>
  <c r="L36" i="1"/>
  <c r="O36" i="1"/>
  <c r="J29" i="1"/>
  <c r="N35" i="1"/>
  <c r="P40" i="1"/>
  <c r="Q28" i="1"/>
  <c r="L26" i="1"/>
  <c r="J33" i="1"/>
  <c r="I30" i="1"/>
  <c r="K31" i="1"/>
  <c r="I29" i="1"/>
  <c r="K27" i="1"/>
  <c r="K29" i="1"/>
  <c r="L39" i="1"/>
  <c r="L37" i="1"/>
  <c r="P41" i="1"/>
  <c r="I32" i="1"/>
  <c r="J42" i="1"/>
  <c r="N27" i="1"/>
  <c r="L40" i="1"/>
  <c r="N30" i="1"/>
  <c r="N36" i="1"/>
  <c r="J36" i="1"/>
  <c r="N25" i="1"/>
  <c r="Q31" i="1"/>
  <c r="L29" i="1"/>
  <c r="P36" i="1"/>
  <c r="O28" i="1"/>
  <c r="P31" i="1"/>
  <c r="I28" i="1"/>
  <c r="P30" i="1"/>
  <c r="J37" i="1"/>
  <c r="N37" i="1"/>
  <c r="P35" i="1"/>
  <c r="L35" i="1"/>
  <c r="N31" i="1"/>
  <c r="O41" i="1"/>
  <c r="L41" i="1"/>
  <c r="P32" i="1"/>
  <c r="I36" i="1"/>
  <c r="O44" i="1"/>
  <c r="N40" i="1"/>
  <c r="J28" i="1"/>
  <c r="L31" i="1"/>
  <c r="O31" i="1"/>
  <c r="P27" i="1"/>
  <c r="N24" i="1"/>
  <c r="L28" i="1"/>
  <c r="J27" i="1"/>
  <c r="J44" i="1"/>
  <c r="I31" i="1"/>
  <c r="N32" i="1"/>
  <c r="J25" i="1"/>
  <c r="J21"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<sst xmlns="http://schemas.openxmlformats.org/spreadsheetml/2006/main" count="1922" uniqueCount="925">
  <si>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</si>
  <si>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</si>
  <si>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</si>
  <si>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</si>
  <si>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</si>
  <si>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</si>
  <si>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</si>
  <si>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</si>
  <si>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</si>
  <si>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</si>
  <si>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</si>
  <si>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</si>
  <si>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</si>
  <si>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</si>
  <si>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</si>
  <si>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</si>
  <si>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</si>
  <si>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</si>
  <si>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</si>
  <si>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</si>
  <si>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</si>
  <si>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</si>
  <si>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</si>
  <si>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</si>
  <si>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</si>
  <si>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</si>
  <si>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</si>
  <si>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</si>
  <si>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</si>
  <si>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</si>
  <si>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</si>
  <si>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</si>
  <si>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</si>
  <si>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</si>
  <si>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</si>
  <si>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</si>
  <si>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</si>
  <si>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</si>
  <si>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</si>
  <si>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</si>
  <si>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</si>
  <si>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</si>
  <si>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</si>
  <si>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</si>
  <si>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</si>
  <si>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</si>
  <si>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</si>
  <si>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</si>
  <si>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</si>
  <si>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</si>
  <si>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</si>
  <si>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</si>
  <si>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</si>
  <si>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</si>
  <si>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</si>
  <si>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</si>
  <si>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</si>
  <si>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</si>
  <si>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</si>
  <si>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</si>
  <si>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</si>
  <si>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</si>
  <si>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</si>
  <si>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</si>
  <si>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</si>
  <si>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</si>
  <si>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</si>
  <si>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</si>
  <si>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</si>
  <si>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</si>
  <si>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</si>
  <si>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</si>
  <si>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</si>
  <si>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</si>
  <si>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</si>
  <si>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</si>
  <si>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</si>
  <si>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</si>
  <si>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</si>
  <si>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</si>
  <si>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</si>
  <si>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</si>
  <si>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</si>
  <si>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</si>
  <si>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</si>
  <si>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</si>
  <si>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</si>
  <si>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</si>
  <si>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</si>
  <si>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</si>
  <si>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</si>
  <si>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</si>
  <si>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</si>
  <si>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</si>
  <si>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</si>
  <si>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</si>
  <si>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</si>
  <si>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</si>
  <si>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</si>
  <si>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</si>
  <si>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</si>
  <si>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</si>
  <si>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</si>
  <si>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</si>
  <si>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</si>
  <si>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</si>
  <si>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</si>
  <si>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</si>
  <si>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</si>
  <si>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</si>
  <si>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</si>
  <si>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</si>
  <si>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</si>
  <si>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</si>
  <si>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</si>
  <si>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</si>
  <si>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</si>
  <si>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</si>
  <si>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</si>
  <si>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</si>
  <si>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</si>
  <si>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</si>
  <si>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</si>
  <si>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</si>
  <si>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</si>
  <si>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</si>
  <si>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</si>
  <si>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</si>
  <si>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</si>
  <si>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</si>
  <si>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</si>
  <si>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</si>
  <si>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</si>
  <si>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</si>
  <si>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</si>
  <si>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</si>
  <si>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</si>
  <si>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</si>
  <si>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</si>
  <si>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</si>
  <si>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</si>
  <si>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</si>
  <si>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</si>
  <si>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</si>
  <si>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</si>
  <si>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</si>
  <si>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</si>
  <si>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</si>
  <si>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</si>
  <si>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</si>
  <si>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</si>
  <si>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</si>
  <si>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</si>
  <si>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</si>
  <si>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</si>
  <si>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</si>
  <si>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</si>
  <si>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</si>
  <si>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</si>
  <si>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</si>
  <si>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</si>
  <si>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</si>
  <si>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</si>
  <si>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</si>
  <si>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</si>
  <si>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</si>
  <si>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</si>
  <si>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</si>
  <si>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</si>
  <si>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</si>
  <si>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</si>
  <si>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</si>
  <si>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</si>
  <si>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</si>
  <si>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</si>
  <si>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</si>
  <si>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</si>
  <si>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</si>
  <si>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</si>
  <si>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</si>
  <si>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</si>
  <si>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</si>
  <si>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</si>
  <si>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</si>
  <si>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</si>
  <si>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</si>
  <si>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</si>
  <si>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</si>
  <si>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</si>
  <si>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</si>
  <si>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</si>
  <si>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</si>
  <si>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</si>
  <si>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</si>
  <si>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</si>
  <si>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</si>
  <si>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</si>
  <si>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</si>
  <si>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</si>
  <si>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</si>
  <si>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</si>
  <si>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</si>
  <si>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</si>
  <si>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</si>
  <si>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</si>
  <si>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</si>
  <si>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</si>
  <si>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</si>
  <si>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</si>
  <si>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</si>
  <si>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</si>
  <si>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</si>
  <si>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</si>
  <si>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</si>
  <si>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</si>
  <si>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</si>
  <si>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</si>
  <si>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</si>
  <si>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</si>
  <si>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</si>
  <si>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</si>
  <si>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</si>
  <si>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</si>
  <si>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</si>
  <si>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</si>
  <si>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</si>
  <si>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</si>
  <si>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</si>
  <si>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</si>
  <si>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</si>
  <si>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</si>
  <si>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</si>
  <si>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</si>
  <si>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</si>
  <si>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</si>
  <si>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</si>
  <si>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</si>
  <si>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</si>
  <si>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</si>
  <si>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</si>
  <si>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</si>
  <si>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</si>
  <si>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</si>
  <si>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</si>
  <si>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</si>
  <si>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</si>
  <si>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</si>
  <si>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</si>
  <si>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</si>
  <si>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</si>
  <si>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</si>
  <si>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</si>
  <si>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</si>
  <si>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</si>
  <si>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</si>
  <si>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</si>
  <si>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</si>
  <si>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</si>
  <si>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</si>
  <si>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</si>
  <si>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</si>
  <si>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</si>
  <si>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</si>
  <si>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</si>
  <si>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</si>
  <si>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</si>
  <si>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</si>
  <si>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</si>
  <si>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</si>
  <si>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</si>
  <si>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</si>
  <si>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</si>
  <si>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</si>
  <si>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</si>
  <si>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</si>
  <si>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</si>
  <si>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</si>
  <si>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</si>
  <si>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</si>
  <si>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</si>
  <si>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</si>
  <si>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</si>
  <si>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</si>
  <si>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</si>
  <si>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</si>
  <si>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</si>
  <si>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</si>
  <si>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</si>
  <si>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</si>
  <si>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</si>
  <si>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</si>
  <si>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</si>
  <si>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</si>
  <si>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</si>
  <si>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</si>
  <si>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</si>
  <si>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</si>
  <si>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</si>
  <si>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</si>
  <si>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</si>
  <si>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</si>
  <si>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</si>
  <si>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</si>
  <si>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</si>
  <si>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</si>
  <si>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</si>
  <si>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</si>
  <si>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</si>
  <si>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</si>
  <si>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</si>
  <si>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</si>
  <si>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</si>
  <si>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</si>
  <si>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</si>
  <si>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</si>
  <si>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</si>
  <si>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</si>
  <si>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</si>
  <si>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</si>
  <si>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</si>
  <si>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</si>
  <si>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</si>
  <si>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</si>
  <si>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</si>
  <si>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</si>
  <si>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</si>
  <si>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</si>
  <si>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</si>
  <si>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</si>
  <si>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</si>
  <si>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</si>
  <si>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</si>
  <si>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</si>
  <si>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</si>
  <si>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</si>
  <si>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</si>
  <si>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</si>
  <si>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</si>
  <si>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</si>
  <si>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</si>
  <si>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</si>
  <si>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</si>
  <si>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</si>
  <si>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</si>
  <si>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</si>
  <si>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</si>
  <si>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</si>
  <si>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</si>
  <si>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</si>
  <si>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</si>
  <si>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</si>
  <si>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</si>
  <si>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</si>
  <si>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</si>
  <si>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</si>
  <si>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</si>
  <si>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</si>
  <si>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</si>
  <si>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</si>
  <si>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</si>
  <si>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</si>
  <si>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</si>
  <si>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</si>
  <si>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</si>
  <si>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</si>
  <si>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</si>
  <si>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</si>
  <si>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</si>
  <si>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</si>
  <si>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</si>
  <si>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</si>
  <si>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</si>
  <si>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</si>
  <si>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</si>
  <si>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</si>
  <si>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</si>
  <si>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</si>
  <si>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</si>
  <si>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</si>
  <si>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</si>
  <si>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</si>
  <si>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</si>
  <si>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</si>
  <si>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</si>
  <si>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</si>
  <si>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</si>
  <si>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</si>
  <si>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</si>
  <si>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</si>
  <si>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</si>
  <si>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</si>
  <si>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</si>
  <si>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</si>
  <si>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</si>
  <si>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</si>
  <si>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</si>
  <si>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</si>
  <si>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</si>
  <si>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</si>
  <si>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</si>
  <si>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</si>
  <si>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</si>
  <si>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</si>
  <si>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</si>
  <si>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</si>
  <si>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</si>
  <si>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</si>
  <si>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</si>
  <si>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</si>
  <si>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</si>
  <si>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</si>
  <si>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</si>
  <si>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</si>
  <si>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</si>
  <si>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</si>
  <si>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</si>
  <si>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</si>
  <si>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</si>
  <si>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</si>
  <si>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</si>
  <si>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</si>
  <si>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</si>
  <si>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</si>
  <si>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</si>
  <si>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</si>
  <si>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</si>
  <si>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</si>
  <si>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</si>
  <si>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</si>
  <si>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</si>
  <si>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</si>
  <si>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</si>
  <si>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</si>
  <si>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</si>
  <si>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</si>
  <si>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</si>
  <si>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</si>
  <si>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</si>
  <si>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</si>
  <si>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</si>
  <si>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</si>
  <si>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</si>
  <si>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</si>
  <si>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</si>
  <si>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</si>
  <si>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</si>
  <si>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</si>
  <si>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</si>
  <si>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</si>
  <si>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</si>
  <si>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</si>
  <si>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</si>
  <si>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</si>
  <si>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</si>
  <si>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</si>
  <si>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</si>
  <si>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</si>
  <si>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</si>
  <si>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</si>
  <si>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</si>
  <si>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</si>
  <si>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</si>
  <si>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</si>
  <si>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</si>
  <si>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</si>
  <si>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</si>
  <si>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</si>
  <si>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</si>
  <si>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</si>
  <si>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</si>
  <si>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</si>
  <si>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</si>
  <si>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</si>
  <si>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</si>
  <si>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</si>
  <si>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</si>
  <si>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</si>
  <si>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</si>
  <si>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</si>
  <si>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</si>
  <si>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</si>
  <si>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</si>
  <si>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</si>
  <si>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</si>
  <si>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</si>
  <si>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</si>
  <si>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</si>
  <si>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</si>
  <si>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</si>
  <si>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</si>
  <si>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</si>
  <si>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</si>
  <si>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</si>
  <si>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</si>
  <si>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</si>
  <si>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</si>
  <si>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</si>
  <si>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</si>
  <si>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</si>
  <si>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</si>
  <si>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</si>
  <si>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</si>
  <si>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</si>
  <si>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</si>
  <si>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</si>
  <si>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</si>
  <si>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</si>
  <si>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</si>
  <si>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</si>
  <si>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</si>
  <si>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</si>
  <si>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</si>
  <si>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</si>
  <si>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</si>
  <si>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</si>
  <si>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</si>
  <si>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</si>
  <si>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</si>
  <si>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</si>
  <si>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</si>
  <si>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</si>
  <si>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</si>
  <si>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</si>
  <si>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</si>
  <si>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</si>
  <si>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</si>
  <si>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</si>
  <si>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</si>
  <si>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</si>
  <si>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</si>
  <si>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</si>
  <si>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</si>
  <si>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</si>
  <si>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</si>
  <si>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</si>
  <si>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</si>
  <si>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</si>
  <si>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</si>
  <si>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</si>
  <si>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</si>
  <si>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</si>
  <si>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</si>
  <si>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</si>
  <si>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</si>
  <si>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</si>
  <si>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</si>
  <si>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</si>
  <si>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</si>
  <si>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</si>
  <si>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</si>
  <si>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</si>
  <si>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</si>
  <si>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</si>
  <si>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</si>
  <si>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</si>
  <si>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</si>
  <si>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</si>
  <si>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</si>
  <si>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</si>
  <si>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</si>
  <si>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</si>
  <si>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</si>
  <si>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</si>
  <si>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</si>
  <si>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</si>
  <si>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</si>
  <si>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</si>
  <si>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</si>
  <si>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</si>
  <si>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</si>
  <si>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</si>
  <si>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</si>
  <si>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</si>
  <si>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</si>
  <si>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</si>
  <si>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</si>
  <si>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</si>
  <si>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</si>
  <si>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</si>
  <si>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</si>
  <si>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</si>
  <si>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</si>
  <si>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</si>
  <si>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</si>
  <si>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</si>
  <si>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</si>
  <si>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</si>
  <si>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</si>
  <si>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</si>
  <si>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</si>
  <si>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</si>
  <si>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</si>
  <si>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</si>
  <si>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</si>
  <si>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</si>
  <si>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</si>
  <si>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</si>
  <si>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</si>
  <si>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</si>
  <si>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</si>
  <si>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</si>
  <si>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</si>
  <si>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</si>
  <si>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</si>
  <si>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</si>
  <si>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</si>
  <si>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</si>
  <si>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</si>
  <si>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</si>
  <si>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</si>
  <si>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</si>
  <si>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</si>
  <si>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</si>
  <si>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</si>
  <si>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</si>
  <si>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</si>
  <si>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</si>
  <si>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</si>
  <si>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</si>
  <si>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</si>
  <si>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</si>
  <si>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</si>
  <si>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</si>
  <si>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</si>
  <si>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</si>
  <si>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</si>
  <si>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</si>
  <si>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</si>
  <si>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</si>
  <si>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</si>
  <si>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</si>
  <si>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</si>
  <si>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</si>
  <si>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</si>
  <si>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</si>
  <si>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</si>
  <si>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</si>
  <si>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</si>
  <si>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</si>
  <si>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</si>
  <si>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</si>
  <si>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</si>
  <si>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</si>
  <si>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</si>
  <si>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</si>
  <si>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</si>
  <si>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</si>
  <si>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</si>
  <si>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</si>
  <si>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</si>
  <si>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</si>
  <si>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</si>
  <si>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</si>
  <si>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</si>
  <si>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</si>
  <si>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</si>
  <si>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</si>
  <si>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</si>
  <si>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</si>
  <si>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</si>
  <si>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</si>
  <si>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</si>
  <si>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</si>
  <si>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</si>
  <si>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</si>
  <si>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</si>
  <si>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</si>
  <si>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</si>
  <si>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</si>
  <si>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</si>
  <si>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</si>
  <si>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</si>
  <si>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</si>
  <si>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</si>
  <si>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</si>
  <si>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</si>
  <si>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</si>
  <si>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</si>
  <si>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</si>
  <si>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</si>
  <si>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</si>
  <si>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</si>
  <si>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</si>
  <si>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</si>
  <si>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</si>
  <si>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</si>
  <si>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</si>
  <si>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</si>
  <si>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</si>
  <si>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</si>
  <si>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</si>
  <si>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</si>
  <si>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</si>
  <si>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</si>
  <si>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</si>
  <si>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</si>
  <si>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</si>
  <si>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</si>
  <si>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</si>
  <si>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</si>
  <si>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</si>
  <si>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</si>
  <si>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</si>
  <si>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</si>
  <si>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</si>
  <si>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</si>
  <si>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</si>
  <si>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</si>
  <si>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</si>
  <si>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</si>
  <si>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</si>
  <si>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</si>
  <si>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</si>
  <si>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</si>
  <si>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</si>
  <si>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</si>
  <si>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</si>
  <si>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</si>
  <si>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</si>
  <si>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</si>
  <si>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</si>
  <si>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</si>
  <si>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</si>
  <si>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</si>
  <si>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</si>
  <si>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</si>
  <si>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</si>
  <si>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</si>
  <si>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</si>
  <si>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</si>
  <si>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</si>
  <si>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</si>
  <si>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</si>
  <si>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</si>
  <si>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</si>
  <si>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</si>
  <si>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</si>
  <si>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</si>
  <si>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</si>
  <si>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</si>
  <si>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</si>
  <si>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</si>
  <si>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</si>
  <si>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</si>
  <si>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</si>
  <si>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</si>
  <si>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</si>
  <si>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</si>
  <si>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</si>
  <si>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</si>
  <si>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</si>
  <si>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</si>
  <si>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</si>
  <si>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</si>
  <si>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</si>
  <si>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</si>
  <si>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</si>
  <si>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</si>
  <si>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</si>
  <si>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</si>
  <si>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</si>
  <si>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</si>
  <si>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</si>
  <si>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</si>
  <si>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</si>
  <si>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</si>
  <si>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</si>
  <si>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</si>
  <si>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</si>
  <si>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</si>
  <si>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</si>
  <si>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</si>
  <si>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</si>
  <si>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</si>
  <si>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</si>
  <si>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</si>
  <si>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</si>
  <si>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</si>
  <si>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</si>
  <si>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</si>
  <si>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</si>
  <si>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</si>
  <si>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</si>
  <si>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</si>
  <si>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</si>
  <si>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</si>
  <si>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</si>
  <si>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</si>
  <si>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</si>
  <si>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</si>
  <si>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</si>
  <si>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</si>
  <si>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</si>
  <si>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</si>
  <si>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</si>
  <si>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</si>
  <si>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</si>
  <si>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</si>
  <si>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</si>
  <si>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</si>
  <si>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</si>
  <si>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</si>
  <si>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</si>
  <si>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</si>
  <si>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</si>
  <si>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</si>
  <si>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</si>
  <si>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</si>
  <si>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</si>
  <si>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</si>
  <si>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</si>
  <si>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</si>
  <si>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</si>
  <si>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</si>
  <si>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</si>
  <si>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</si>
  <si>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</si>
  <si>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</si>
  <si>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</si>
  <si>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</si>
  <si>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</si>
  <si>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</si>
  <si>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</si>
  <si>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</si>
  <si>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</si>
  <si>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</si>
  <si>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</si>
  <si>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</si>
  <si>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</si>
  <si>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</si>
  <si>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</si>
  <si>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</si>
  <si>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</si>
  <si>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</si>
  <si>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</si>
  <si>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</si>
  <si>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</si>
  <si>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</si>
  <si>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</si>
  <si>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</si>
  <si>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</si>
  <si>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</si>
  <si>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</si>
  <si>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</si>
  <si>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</si>
  <si>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</si>
  <si>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</si>
  <si>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</si>
  <si>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</si>
  <si>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</si>
  <si>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</si>
  <si>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</si>
  <si>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</si>
  <si>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</si>
  <si>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</si>
  <si>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</si>
  <si>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</si>
  <si>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</si>
  <si>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</si>
  <si>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</si>
  <si>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</si>
  <si>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</si>
  <si>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</si>
  <si>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</si>
  <si>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</si>
  <si>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</si>
  <si>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</si>
  <si>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</si>
  <si>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</si>
  <si>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</si>
  <si>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</si>
  <si>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</si>
  <si>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</si>
  <si>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</si>
  <si>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</si>
  <si>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</si>
  <si>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</si>
  <si>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</si>
  <si>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</si>
  <si>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</si>
  <si>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</si>
  <si>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</si>
  <si>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</si>
  <si>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</si>
  <si>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</si>
  <si>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</si>
  <si>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</si>
  <si>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</si>
  <si>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</si>
  <si>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</si>
  <si>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</si>
  <si>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</si>
  <si>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</si>
  <si>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</si>
  <si>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</si>
  <si>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</si>
  <si>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</si>
  <si>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</si>
  <si>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</si>
  <si>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</si>
  <si>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</si>
  <si>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</si>
  <si>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</si>
  <si>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</si>
  <si>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</si>
  <si>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</si>
  <si>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</si>
  <si>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</si>
  <si>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</si>
  <si>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</si>
  <si>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</si>
  <si>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</si>
  <si>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</si>
  <si>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COMMON SHINER</t>
  </si>
  <si>
    <t>WHITE SUCKER</t>
  </si>
  <si>
    <t>CREEK CHUB</t>
  </si>
  <si>
    <t>CENTRAL STONEROLLER</t>
  </si>
  <si>
    <t>HORNYHEAD CHUB</t>
  </si>
  <si>
    <t>Jim Amrhein</t>
  </si>
  <si>
    <t>SOUTHERN REDBELLY DACE</t>
  </si>
  <si>
    <t>BROWN TROUT</t>
  </si>
  <si>
    <t>Tolerants exceeded, but this is typical of headwater species</t>
  </si>
  <si>
    <t>Brewery Creek</t>
  </si>
  <si>
    <t>Brewery Creek - Ferndale Rd</t>
  </si>
  <si>
    <t>Tests out as CWHW, but might leave as is.  Coldwater spp are close and under influence of mine discharge.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</si>
</sst>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38" t="s">
        <v>918</v>
      </c>
      <c r="C4" s="139"/>
      <c r="D4" s="140"/>
      <c r="F4" s="2" t="s">
        <v>841</v>
      </c>
    </row>
    <row r="5" spans="1:18" x14ac:dyDescent="0.25">
      <c r="A5" s="1" t="s">
        <v>837</v>
      </c>
      <c r="B5" s="148"/>
      <c r="C5" s="139"/>
      <c r="D5" s="140"/>
      <c r="F5" s="82"/>
      <c r="G5" s="28"/>
      <c r="H5" s="28"/>
      <c r="I5" s="28"/>
      <c r="J5" s="28"/>
      <c r="K5" s="28"/>
      <c r="L5" s="28"/>
      <c r="M5" s="28"/>
      <c r="N5" s="28"/>
      <c r="O5" s="28"/>
      <c r="P5" s="28"/>
      <c r="Q5" s="28"/>
      <c r="R5" s="28" t="s">
        <v>878</v>
      </c>
    </row>
    <row r="6" spans="1:18" x14ac:dyDescent="0.25">
      <c r="A6" s="1" t="s">
        <v>835</v>
      </c>
      <c r="B6" s="149">
        <v>42159</v>
      </c>
      <c r="C6" s="150"/>
      <c r="D6" s="151"/>
      <c r="F6" s="26"/>
      <c r="G6" s="28"/>
      <c r="H6" s="28"/>
      <c r="I6" s="28"/>
      <c r="J6" s="28"/>
      <c r="K6" s="28"/>
      <c r="L6" s="28"/>
      <c r="M6" s="28"/>
      <c r="N6" s="28"/>
      <c r="O6" s="28"/>
      <c r="P6" s="28"/>
      <c r="Q6" s="28"/>
      <c r="R6" s="28" t="s">
        <v>378</v>
      </c>
    </row>
    <row r="7" spans="1:18" s="28" customFormat="1" x14ac:dyDescent="0.25">
      <c r="A7" s="28" t="s">
        <v>881</v>
      </c>
      <c r="B7" s="152">
        <v>253200</v>
      </c>
      <c r="C7" s="150"/>
      <c r="D7" s="151"/>
      <c r="F7" s="27"/>
    </row>
    <row r="8" spans="1:18" s="28" customFormat="1" x14ac:dyDescent="0.25">
      <c r="A8" s="28" t="s">
        <v>884</v>
      </c>
      <c r="B8" s="152" t="s">
        <v>923</v>
      </c>
      <c r="C8" s="150"/>
      <c r="D8" s="151"/>
      <c r="F8" s="27"/>
    </row>
    <row r="9" spans="1:18" x14ac:dyDescent="0.25">
      <c r="A9" s="1" t="s">
        <v>49</v>
      </c>
      <c r="B9" s="141" t="s">
        <v>882</v>
      </c>
      <c r="C9" s="141"/>
      <c r="D9" s="141"/>
    </row>
    <row r="10" spans="1:18" x14ac:dyDescent="0.25">
      <c r="B10" s="86"/>
      <c r="C10" s="86"/>
      <c r="D10" s="86"/>
    </row>
    <row r="11" spans="1:18" x14ac:dyDescent="0.25">
      <c r="A11" s="1" t="s">
        <v>34</v>
      </c>
      <c r="B11" s="152" t="s">
        <v>922</v>
      </c>
      <c r="C11" s="150"/>
      <c r="D11" s="151"/>
      <c r="F11" s="27"/>
      <c r="G11" s="27"/>
      <c r="H11" s="27"/>
      <c r="I11" s="27"/>
      <c r="J11" s="27"/>
      <c r="K11" s="27"/>
      <c r="L11" s="27"/>
      <c r="M11" s="27"/>
      <c r="N11" s="27"/>
      <c r="O11" s="27"/>
      <c r="P11" s="27"/>
      <c r="Q11" s="27"/>
      <c r="R11" s="27"/>
    </row>
    <row r="12" spans="1:18" x14ac:dyDescent="0.25">
      <c r="A12" s="1" t="s">
        <v>37</v>
      </c>
      <c r="B12" s="141"/>
      <c r="C12" s="141"/>
      <c r="D12" s="141"/>
    </row>
    <row r="13" spans="1:18" x14ac:dyDescent="0.25">
      <c r="A13" s="1" t="s">
        <v>35</v>
      </c>
      <c r="B13" s="141"/>
      <c r="C13" s="141"/>
      <c r="D13" s="141"/>
      <c r="F13" s="27"/>
      <c r="G13" s="27"/>
      <c r="H13" s="27"/>
      <c r="I13" s="27"/>
      <c r="J13" s="27"/>
      <c r="K13" s="27"/>
      <c r="L13" s="27"/>
      <c r="M13" s="27"/>
      <c r="N13" s="27"/>
      <c r="O13" s="27"/>
      <c r="P13" s="27"/>
      <c r="Q13" s="27"/>
      <c r="R13" s="27"/>
    </row>
    <row r="14" spans="1:18" x14ac:dyDescent="0.25">
      <c r="A14" s="1" t="s">
        <v>36</v>
      </c>
      <c r="B14" s="141"/>
      <c r="C14" s="141"/>
      <c r="D14" s="141"/>
      <c r="F14" s="27"/>
      <c r="G14" s="27"/>
      <c r="H14" s="27"/>
      <c r="I14" s="27"/>
      <c r="J14" s="27"/>
      <c r="K14" s="27"/>
      <c r="L14" s="27"/>
      <c r="M14" s="27"/>
      <c r="N14" s="27"/>
      <c r="O14" s="27"/>
      <c r="P14" s="27"/>
      <c r="Q14" s="27"/>
      <c r="R14" s="27"/>
    </row>
    <row r="15" spans="1:18" s="28" customFormat="1" x14ac:dyDescent="0.25">
      <c r="A15" s="28" t="s">
        <v>840</v>
      </c>
      <c r="B15" s="153" t="s">
        <v>756</v>
      </c>
      <c r="C15" s="139"/>
      <c r="D15" s="140"/>
      <c r="E15" s="11" t="s">
        <v>880</v>
      </c>
      <c r="F15" s="27"/>
    </row>
    <row r="16" spans="1:18" x14ac:dyDescent="0.25">
      <c r="B16" s="130"/>
      <c r="C16" s="130"/>
      <c r="D16" s="130"/>
    </row>
    <row r="17" spans="1:25" x14ac:dyDescent="0.25">
      <c r="A17" s="1" t="s">
        <v>33</v>
      </c>
      <c r="B17" s="138" t="s">
        <v>21</v>
      </c>
      <c r="C17" s="144"/>
      <c r="D17" s="145"/>
      <c r="E17" s="11" t="s">
        <v>842</v>
      </c>
      <c r="F17" s="24"/>
      <c r="G17" s="24"/>
      <c r="S17" s="11"/>
    </row>
    <row r="18" spans="1:25" x14ac:dyDescent="0.25">
      <c r="G18" s="146" t="s">
        <v>59</v>
      </c>
      <c r="H18" s="147"/>
      <c r="I18" s="147"/>
      <c r="J18" s="147"/>
      <c r="K18" s="147"/>
      <c r="L18" s="147"/>
      <c r="M18" s="147"/>
      <c r="N18" s="147"/>
      <c r="O18" s="147"/>
      <c r="P18" s="147"/>
      <c r="Q18" s="147"/>
    </row>
    <row r="19" spans="1:25" x14ac:dyDescent="0.25">
      <c r="A19" s="2" t="s">
        <v>877</v>
      </c>
      <c r="C19" s="28"/>
      <c r="D19" s="28"/>
      <c r="E19" s="28"/>
      <c r="F19" s="28"/>
      <c r="G19" s="142" t="s">
        <v>377</v>
      </c>
      <c r="H19" s="135" t="s">
        <v>5</v>
      </c>
      <c r="I19" s="136"/>
      <c r="J19" s="137"/>
      <c r="K19" s="135" t="s">
        <v>64</v>
      </c>
      <c r="L19" s="136"/>
      <c r="M19" s="136"/>
      <c r="N19" s="137"/>
      <c r="O19" s="135" t="s">
        <v>1</v>
      </c>
      <c r="P19" s="136"/>
      <c r="Q19" s="137"/>
      <c r="R19" s="28"/>
    </row>
    <row r="20" spans="1:25" ht="45" x14ac:dyDescent="0.25">
      <c r="A20" s="5" t="s">
        <v>50</v>
      </c>
      <c r="B20" s="4" t="s">
        <v>4</v>
      </c>
      <c r="C20" s="5" t="s">
        <v>2</v>
      </c>
      <c r="D20" s="5" t="s">
        <v>3</v>
      </c>
      <c r="E20" s="5" t="s">
        <v>44</v>
      </c>
      <c r="F20" s="30" t="s">
        <v>376</v>
      </c>
      <c r="G20" s="14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920</v>
      </c>
      <c r="B21" s="40">
        <v>6</v>
      </c>
      <c r="C21" s="26" t="str">
        <f>IFERROR(VLOOKUP($A21,'Species guilds'!$A$3:$F$301,3,FALSE),0)</f>
        <v>C</v>
      </c>
      <c r="D21" s="26" t="str">
        <f>IFERROR(VLOOKUP($A21,'Species guilds'!$A$3:$F$301,4,FALSE),0)</f>
        <v>M</v>
      </c>
      <c r="E21" s="26" t="str">
        <f>IFERROR(VLOOKUP($A21,'Species guilds'!$A$3:$F$301,5,FALSE),0)</f>
        <v>IM</v>
      </c>
      <c r="F21" s="26">
        <f t="shared" ref="F21:F53" si="0">IF(AND(M21&gt;0,B21&gt;0)=FALSE,B21,0)</f>
        <v>6</v>
      </c>
      <c r="G21" s="26">
        <f>IF(D21="Lake",0,1)</f>
        <v>1</v>
      </c>
      <c r="H21" s="26">
        <f>IF($C21=H$20,$B21*G21,0)</f>
        <v>6</v>
      </c>
      <c r="I21" s="26">
        <f>IF($C21=I$20,$B21*G21,0)</f>
        <v>0</v>
      </c>
      <c r="J21" s="26">
        <f>IF($C21=J$20,$B21*G21,0)</f>
        <v>0</v>
      </c>
      <c r="K21" s="26">
        <f>IF($D21=K$20,$B21*G21,0)</f>
        <v>0</v>
      </c>
      <c r="L21" s="26">
        <f>IF($D21=L$20,$B21*G21,0)</f>
        <v>6</v>
      </c>
      <c r="M21" s="26">
        <f>IF($D21=M$20,$B21,0)</f>
        <v>0</v>
      </c>
      <c r="N21" s="26">
        <f>IF($D21=N$20,$B21*G21,0)</f>
        <v>0</v>
      </c>
      <c r="O21" s="26">
        <f>IF($E21=O$20,$B21*G21,0)</f>
        <v>0</v>
      </c>
      <c r="P21" s="26">
        <f>IF($E21=P$20,$B21*G21,0)</f>
        <v>6</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915</v>
      </c>
      <c r="B22" s="40">
        <v>158</v>
      </c>
      <c r="C22" s="26" t="str">
        <f>IFERROR(VLOOKUP($A22,'Species guilds'!$A$3:$F$301,3,FALSE),0)</f>
        <v>T</v>
      </c>
      <c r="D22" s="26" t="str">
        <f>IFERROR(VLOOKUP($A22,'Species guilds'!$A$3:$F$301,4,FALSE),0)</f>
        <v>S</v>
      </c>
      <c r="E22" s="26" t="str">
        <f>IFERROR(VLOOKUP($A22,'Species guilds'!$A$3:$F$301,5,FALSE),0)</f>
        <v>T</v>
      </c>
      <c r="F22" s="26">
        <f t="shared" si="0"/>
        <v>158</v>
      </c>
      <c r="G22" s="26">
        <f t="shared" ref="G22:G53" si="1">IF(D22="Lake",0,1)</f>
        <v>1</v>
      </c>
      <c r="H22" s="26">
        <f t="shared" ref="H22:H53" si="2">IF($C22=H$20,$B22*G22,0)</f>
        <v>0</v>
      </c>
      <c r="I22" s="26">
        <f t="shared" ref="I22:I53" si="3">IF($C22=I$20,$B22*G22,0)</f>
        <v>158</v>
      </c>
      <c r="J22" s="26">
        <f t="shared" ref="J22:J53" si="4">IF($C22=J$20,$B22*G22,0)</f>
        <v>0</v>
      </c>
      <c r="K22" s="26">
        <f t="shared" ref="K22:K53" si="5">IF($D22=K$20,$B22*G22,0)</f>
        <v>158</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158</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916</v>
      </c>
      <c r="B23" s="40">
        <v>13</v>
      </c>
      <c r="C23" s="26" t="str">
        <f>IFERROR(VLOOKUP($A23,'Species guilds'!$A$3:$F$301,3,FALSE),0)</f>
        <v>W</v>
      </c>
      <c r="D23" s="26" t="str">
        <f>IFERROR(VLOOKUP($A23,'Species guilds'!$A$3:$F$301,4,FALSE),0)</f>
        <v>S</v>
      </c>
      <c r="E23" s="26" t="str">
        <f>IFERROR(VLOOKUP($A23,'Species guilds'!$A$3:$F$301,5,FALSE),0)</f>
        <v>IM</v>
      </c>
      <c r="F23" s="26">
        <f t="shared" si="0"/>
        <v>13</v>
      </c>
      <c r="G23" s="26">
        <f t="shared" si="1"/>
        <v>1</v>
      </c>
      <c r="H23" s="26">
        <f t="shared" si="2"/>
        <v>0</v>
      </c>
      <c r="I23" s="26">
        <f t="shared" si="3"/>
        <v>0</v>
      </c>
      <c r="J23" s="26">
        <f t="shared" si="4"/>
        <v>13</v>
      </c>
      <c r="K23" s="26">
        <f t="shared" si="5"/>
        <v>13</v>
      </c>
      <c r="L23" s="26">
        <f t="shared" si="6"/>
        <v>0</v>
      </c>
      <c r="M23" s="26">
        <f t="shared" si="7"/>
        <v>0</v>
      </c>
      <c r="N23" s="26">
        <f t="shared" si="8"/>
        <v>0</v>
      </c>
      <c r="O23" s="26">
        <f t="shared" si="9"/>
        <v>0</v>
      </c>
      <c r="P23" s="26">
        <f t="shared" si="10"/>
        <v>13</v>
      </c>
      <c r="Q23" s="26">
        <f t="shared" si="11"/>
        <v>0</v>
      </c>
      <c r="R23" s="79" t="str">
        <f t="shared" si="12"/>
        <v/>
      </c>
      <c r="T23" s="43"/>
      <c r="U23" s="43"/>
      <c r="V23" s="43"/>
      <c r="W23" s="43"/>
      <c r="X23" s="43"/>
      <c r="Y23" s="43"/>
    </row>
    <row r="24" spans="1:25" x14ac:dyDescent="0.25">
      <c r="A24" s="40" t="s">
        <v>917</v>
      </c>
      <c r="B24" s="40">
        <v>3</v>
      </c>
      <c r="C24" s="26" t="str">
        <f>IFERROR(VLOOKUP($A24,'Species guilds'!$A$3:$F$301,3,FALSE),0)</f>
        <v>W</v>
      </c>
      <c r="D24" s="26" t="str">
        <f>IFERROR(VLOOKUP($A24,'Species guilds'!$A$3:$F$301,4,FALSE),0)</f>
        <v>M</v>
      </c>
      <c r="E24" s="26" t="str">
        <f>IFERROR(VLOOKUP($A24,'Species guilds'!$A$3:$F$301,5,FALSE),0)</f>
        <v>IM</v>
      </c>
      <c r="F24" s="26">
        <f t="shared" si="0"/>
        <v>3</v>
      </c>
      <c r="G24" s="26">
        <f t="shared" si="1"/>
        <v>1</v>
      </c>
      <c r="H24" s="26">
        <f t="shared" si="2"/>
        <v>0</v>
      </c>
      <c r="I24" s="26">
        <f t="shared" si="3"/>
        <v>0</v>
      </c>
      <c r="J24" s="26">
        <f t="shared" si="4"/>
        <v>3</v>
      </c>
      <c r="K24" s="26">
        <f t="shared" si="5"/>
        <v>0</v>
      </c>
      <c r="L24" s="26">
        <f t="shared" si="6"/>
        <v>3</v>
      </c>
      <c r="M24" s="26">
        <f t="shared" si="7"/>
        <v>0</v>
      </c>
      <c r="N24" s="26">
        <f t="shared" si="8"/>
        <v>0</v>
      </c>
      <c r="O24" s="26">
        <f t="shared" si="9"/>
        <v>0</v>
      </c>
      <c r="P24" s="26">
        <f t="shared" si="10"/>
        <v>3</v>
      </c>
      <c r="Q24" s="26">
        <f t="shared" si="11"/>
        <v>0</v>
      </c>
      <c r="R24" s="79" t="str">
        <f t="shared" si="12"/>
        <v/>
      </c>
      <c r="T24" s="43"/>
      <c r="U24" s="43"/>
      <c r="V24" s="43"/>
      <c r="W24" s="43"/>
      <c r="X24" s="43"/>
      <c r="Y24" s="43"/>
    </row>
    <row r="25" spans="1:25" x14ac:dyDescent="0.25">
      <c r="A25" s="40" t="s">
        <v>914</v>
      </c>
      <c r="B25" s="40">
        <v>9</v>
      </c>
      <c r="C25" s="26" t="str">
        <f>IFERROR(VLOOKUP($A25,'Species guilds'!$A$3:$F$301,3,FALSE),0)</f>
        <v>T</v>
      </c>
      <c r="D25" s="26" t="str">
        <f>IFERROR(VLOOKUP($A25,'Species guilds'!$A$3:$F$301,4,FALSE),0)</f>
        <v>M</v>
      </c>
      <c r="E25" s="26" t="str">
        <f>IFERROR(VLOOKUP($A25,'Species guilds'!$A$3:$F$301,5,FALSE),0)</f>
        <v>T</v>
      </c>
      <c r="F25" s="26">
        <f t="shared" si="0"/>
        <v>9</v>
      </c>
      <c r="G25" s="26">
        <f t="shared" si="1"/>
        <v>1</v>
      </c>
      <c r="H25" s="26">
        <f t="shared" si="2"/>
        <v>0</v>
      </c>
      <c r="I25" s="26">
        <f t="shared" si="3"/>
        <v>9</v>
      </c>
      <c r="J25" s="26">
        <f t="shared" si="4"/>
        <v>0</v>
      </c>
      <c r="K25" s="26">
        <f t="shared" si="5"/>
        <v>0</v>
      </c>
      <c r="L25" s="26">
        <f t="shared" si="6"/>
        <v>9</v>
      </c>
      <c r="M25" s="26">
        <f t="shared" si="7"/>
        <v>0</v>
      </c>
      <c r="N25" s="26">
        <f t="shared" si="8"/>
        <v>0</v>
      </c>
      <c r="O25" s="26">
        <f t="shared" si="9"/>
        <v>0</v>
      </c>
      <c r="P25" s="26">
        <f t="shared" si="10"/>
        <v>0</v>
      </c>
      <c r="Q25" s="26">
        <f t="shared" si="11"/>
        <v>9</v>
      </c>
      <c r="R25" s="79" t="str">
        <f t="shared" si="12"/>
        <v/>
      </c>
      <c r="T25" s="43"/>
      <c r="U25" s="43"/>
      <c r="V25" s="43"/>
      <c r="W25" s="43"/>
      <c r="X25" s="43"/>
      <c r="Y25" s="43"/>
    </row>
    <row r="26" spans="1:25" x14ac:dyDescent="0.25">
      <c r="A26" s="40" t="s">
        <v>913</v>
      </c>
      <c r="B26" s="40">
        <v>2</v>
      </c>
      <c r="C26" s="26" t="str">
        <f>IFERROR(VLOOKUP($A26,'Species guilds'!$A$3:$F$301,3,FALSE),0)</f>
        <v>W</v>
      </c>
      <c r="D26" s="26" t="str">
        <f>IFERROR(VLOOKUP($A26,'Species guilds'!$A$3:$F$301,4,FALSE),0)</f>
        <v>M</v>
      </c>
      <c r="E26" s="26" t="str">
        <f>IFERROR(VLOOKUP($A26,'Species guilds'!$A$3:$F$301,5,FALSE),0)</f>
        <v>IM</v>
      </c>
      <c r="F26" s="26">
        <f t="shared" si="0"/>
        <v>2</v>
      </c>
      <c r="G26" s="26">
        <f t="shared" si="1"/>
        <v>1</v>
      </c>
      <c r="H26" s="26">
        <f t="shared" si="2"/>
        <v>0</v>
      </c>
      <c r="I26" s="26">
        <f t="shared" si="3"/>
        <v>0</v>
      </c>
      <c r="J26" s="26">
        <f t="shared" si="4"/>
        <v>2</v>
      </c>
      <c r="K26" s="26">
        <f t="shared" si="5"/>
        <v>0</v>
      </c>
      <c r="L26" s="26">
        <f t="shared" si="6"/>
        <v>2</v>
      </c>
      <c r="M26" s="26">
        <f t="shared" si="7"/>
        <v>0</v>
      </c>
      <c r="N26" s="26">
        <f t="shared" si="8"/>
        <v>0</v>
      </c>
      <c r="O26" s="26">
        <f t="shared" si="9"/>
        <v>0</v>
      </c>
      <c r="P26" s="26">
        <f t="shared" si="10"/>
        <v>2</v>
      </c>
      <c r="Q26" s="26">
        <f t="shared" si="11"/>
        <v>0</v>
      </c>
      <c r="R26" s="79" t="str">
        <f t="shared" si="12"/>
        <v/>
      </c>
      <c r="T26" s="43"/>
      <c r="U26" s="43"/>
      <c r="V26" s="43"/>
      <c r="W26" s="43"/>
      <c r="X26" s="43"/>
      <c r="Y26" s="43"/>
    </row>
    <row r="27" spans="1:25" x14ac:dyDescent="0.25">
      <c r="A27" s="40" t="s">
        <v>919</v>
      </c>
      <c r="B27" s="40">
        <v>2</v>
      </c>
      <c r="C27" s="26" t="str">
        <f>IFERROR(VLOOKUP($A27,'Species guilds'!$A$3:$F$301,3,FALSE),0)</f>
        <v>W</v>
      </c>
      <c r="D27" s="26" t="str">
        <f>IFERROR(VLOOKUP($A27,'Species guilds'!$A$3:$F$301,4,FALSE),0)</f>
        <v>S</v>
      </c>
      <c r="E27" s="26" t="str">
        <f>IFERROR(VLOOKUP($A27,'Species guilds'!$A$3:$F$301,5,FALSE),0)</f>
        <v>IM</v>
      </c>
      <c r="F27" s="26">
        <f t="shared" si="0"/>
        <v>2</v>
      </c>
      <c r="G27" s="26">
        <f t="shared" si="1"/>
        <v>1</v>
      </c>
      <c r="H27" s="26">
        <f t="shared" si="2"/>
        <v>0</v>
      </c>
      <c r="I27" s="26">
        <f t="shared" si="3"/>
        <v>0</v>
      </c>
      <c r="J27" s="26">
        <f t="shared" si="4"/>
        <v>2</v>
      </c>
      <c r="K27" s="26">
        <f t="shared" si="5"/>
        <v>2</v>
      </c>
      <c r="L27" s="26">
        <f t="shared" si="6"/>
        <v>0</v>
      </c>
      <c r="M27" s="26">
        <f t="shared" si="7"/>
        <v>0</v>
      </c>
      <c r="N27" s="26">
        <f t="shared" si="8"/>
        <v>0</v>
      </c>
      <c r="O27" s="26">
        <f t="shared" si="9"/>
        <v>0</v>
      </c>
      <c r="P27" s="26">
        <f t="shared" si="10"/>
        <v>2</v>
      </c>
      <c r="Q27" s="26">
        <f t="shared" si="11"/>
        <v>0</v>
      </c>
      <c r="R27" s="79" t="str">
        <f t="shared" si="12"/>
        <v/>
      </c>
      <c r="T27" s="43"/>
      <c r="U27" s="43"/>
      <c r="V27" s="43"/>
      <c r="W27" s="43"/>
      <c r="X27" s="43"/>
      <c r="Y27" s="43"/>
    </row>
    <row r="28" spans="1:25" x14ac:dyDescent="0.25">
      <c r="A28" s="40"/>
      <c r="B28" s="40"/>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40"/>
      <c r="B29" s="40"/>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40"/>
      <c r="B30" s="40"/>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40"/>
      <c r="B31" s="40"/>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40"/>
      <c r="B32" s="40"/>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40"/>
      <c r="B33" s="40"/>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40"/>
      <c r="B34" s="40"/>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40"/>
      <c r="B35" s="40"/>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40"/>
      <c r="B36" s="40"/>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40"/>
      <c r="B37" s="40"/>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40"/>
      <c r="B38" s="40"/>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40"/>
      <c r="B39" s="40"/>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40"/>
      <c r="B40" s="40"/>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40"/>
      <c r="B41" s="40"/>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40"/>
      <c r="B42" s="4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40"/>
      <c r="B43" s="40"/>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40"/>
      <c r="B44" s="40"/>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40"/>
      <c r="B45" s="40"/>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193</v>
      </c>
      <c r="F54" s="9">
        <f>SUM(F21:F53)</f>
        <v>193</v>
      </c>
      <c r="G54" s="2"/>
      <c r="H54" s="9">
        <f>SUM(H21:H53)</f>
        <v>6</v>
      </c>
      <c r="I54" s="9">
        <f t="shared" ref="I54:Q54" si="14">SUM(I21:I53)</f>
        <v>167</v>
      </c>
      <c r="J54" s="9">
        <f t="shared" si="14"/>
        <v>20</v>
      </c>
      <c r="K54" s="9">
        <f t="shared" si="14"/>
        <v>173</v>
      </c>
      <c r="L54" s="9">
        <f t="shared" si="14"/>
        <v>20</v>
      </c>
      <c r="M54" s="9">
        <f t="shared" si="14"/>
        <v>0</v>
      </c>
      <c r="N54" s="9">
        <f t="shared" si="14"/>
        <v>0</v>
      </c>
      <c r="O54" s="9">
        <f t="shared" si="14"/>
        <v>0</v>
      </c>
      <c r="P54" s="9">
        <f t="shared" si="14"/>
        <v>26</v>
      </c>
      <c r="Q54" s="9">
        <f t="shared" si="14"/>
        <v>167</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54" t="str">
        <f>'Enter field data'!B4</f>
        <v>Jim Amrhein</v>
      </c>
      <c r="C4" s="155"/>
      <c r="D4" s="85"/>
      <c r="E4" s="65"/>
      <c r="F4" s="89" t="s">
        <v>841</v>
      </c>
      <c r="G4" s="83"/>
      <c r="H4" s="83"/>
      <c r="I4" s="83"/>
      <c r="J4" s="83"/>
      <c r="K4" s="83"/>
      <c r="L4" s="83"/>
      <c r="M4" s="83"/>
      <c r="N4" s="83"/>
      <c r="O4" s="83"/>
      <c r="P4" s="83"/>
      <c r="Q4" s="83"/>
      <c r="R4" s="83"/>
    </row>
    <row r="5" spans="1:18" ht="15" x14ac:dyDescent="0.2">
      <c r="A5" s="65" t="s">
        <v>836</v>
      </c>
      <c r="B5" s="156">
        <f>'Enter field data'!B5</f>
        <v>0</v>
      </c>
      <c r="C5" s="157"/>
      <c r="D5" s="85"/>
      <c r="E5" s="65"/>
      <c r="F5" s="90"/>
      <c r="G5" s="83" t="s">
        <v>887</v>
      </c>
      <c r="H5" s="83"/>
      <c r="I5" s="83"/>
      <c r="J5" s="83"/>
      <c r="K5" s="83"/>
      <c r="L5" s="83"/>
      <c r="M5" s="83"/>
      <c r="N5" s="83"/>
      <c r="O5" s="83"/>
      <c r="P5" s="83"/>
      <c r="Q5" s="83"/>
      <c r="R5" s="83" t="s">
        <v>878</v>
      </c>
    </row>
    <row r="6" spans="1:18" ht="15" x14ac:dyDescent="0.2">
      <c r="A6" s="65" t="s">
        <v>835</v>
      </c>
      <c r="B6" s="156">
        <f>'Enter field data'!B6</f>
        <v>42159</v>
      </c>
      <c r="C6" s="157"/>
      <c r="D6" s="85"/>
      <c r="E6" s="65"/>
      <c r="F6" s="91"/>
      <c r="G6" s="83" t="s">
        <v>888</v>
      </c>
      <c r="H6" s="83"/>
      <c r="I6" s="83"/>
      <c r="J6" s="83"/>
      <c r="K6" s="83"/>
      <c r="L6" s="83"/>
      <c r="M6" s="83"/>
      <c r="N6" s="83"/>
      <c r="O6" s="83"/>
      <c r="P6" s="83"/>
      <c r="Q6" s="83"/>
      <c r="R6" s="83" t="s">
        <v>378</v>
      </c>
    </row>
    <row r="7" spans="1:18" x14ac:dyDescent="0.2">
      <c r="A7" s="65" t="s">
        <v>881</v>
      </c>
      <c r="B7" s="154">
        <f>'Enter field data'!B7</f>
        <v>253200</v>
      </c>
      <c r="C7" s="158"/>
      <c r="D7" s="85"/>
      <c r="E7" s="65"/>
      <c r="F7" s="65"/>
    </row>
    <row r="8" spans="1:18" x14ac:dyDescent="0.2">
      <c r="A8" s="65" t="s">
        <v>884</v>
      </c>
      <c r="B8" s="154" t="str">
        <f>'Enter field data'!B8</f>
        <v>Brewery Creek - Ferndale Rd</v>
      </c>
      <c r="C8" s="158"/>
      <c r="D8" s="85"/>
      <c r="E8" s="65"/>
      <c r="F8" s="65"/>
    </row>
    <row r="9" spans="1:18" x14ac:dyDescent="0.2">
      <c r="A9" s="65" t="s">
        <v>49</v>
      </c>
      <c r="B9" s="154" t="str">
        <f>'Enter field data'!B9</f>
        <v>Fish survey</v>
      </c>
      <c r="C9" s="158"/>
      <c r="D9" s="85"/>
      <c r="E9" s="65"/>
      <c r="F9" s="65"/>
    </row>
    <row r="10" spans="1:18" x14ac:dyDescent="0.2">
      <c r="A10" s="65"/>
      <c r="B10" s="66"/>
      <c r="C10" s="85"/>
      <c r="D10" s="85"/>
      <c r="E10" s="65"/>
      <c r="F10" s="65"/>
    </row>
    <row r="11" spans="1:18" x14ac:dyDescent="0.2">
      <c r="A11" s="65" t="s">
        <v>34</v>
      </c>
      <c r="B11" s="154" t="str">
        <f>'Enter field data'!B11</f>
        <v>Brewery Creek</v>
      </c>
      <c r="C11" s="158"/>
      <c r="D11" s="85"/>
      <c r="E11" s="65"/>
      <c r="F11" s="92"/>
    </row>
    <row r="12" spans="1:18" x14ac:dyDescent="0.2">
      <c r="A12" s="65" t="s">
        <v>37</v>
      </c>
      <c r="B12" s="154">
        <f>'Enter field data'!B12</f>
        <v>0</v>
      </c>
      <c r="C12" s="158"/>
      <c r="D12" s="85"/>
      <c r="E12" s="65"/>
      <c r="F12" s="65"/>
    </row>
    <row r="13" spans="1:18" x14ac:dyDescent="0.2">
      <c r="A13" s="65" t="s">
        <v>35</v>
      </c>
      <c r="B13" s="154">
        <f>'Enter field data'!B13</f>
        <v>0</v>
      </c>
      <c r="C13" s="158"/>
      <c r="D13" s="85"/>
      <c r="E13" s="65"/>
      <c r="F13" s="92"/>
    </row>
    <row r="14" spans="1:18" x14ac:dyDescent="0.2">
      <c r="A14" s="65" t="s">
        <v>36</v>
      </c>
      <c r="B14" s="154">
        <f>'Enter field data'!B14</f>
        <v>0</v>
      </c>
      <c r="C14" s="158"/>
      <c r="D14" s="85"/>
      <c r="E14" s="65"/>
      <c r="F14" s="92"/>
    </row>
    <row r="15" spans="1:18" ht="15" x14ac:dyDescent="0.2">
      <c r="A15" s="65" t="s">
        <v>875</v>
      </c>
      <c r="B15" s="159" t="str">
        <f>'Enter field data'!B15</f>
        <v>0709000301</v>
      </c>
      <c r="C15" s="160"/>
      <c r="D15" s="84"/>
      <c r="E15" s="65"/>
      <c r="F15" s="92"/>
    </row>
    <row r="16" spans="1:18" x14ac:dyDescent="0.2">
      <c r="A16" s="65"/>
      <c r="B16" s="65"/>
      <c r="C16" s="65"/>
      <c r="D16" s="65"/>
      <c r="E16" s="65"/>
      <c r="F16" s="65"/>
    </row>
    <row r="17" spans="1:6" ht="15" x14ac:dyDescent="0.2">
      <c r="A17" s="65" t="s">
        <v>33</v>
      </c>
      <c r="B17" s="65"/>
      <c r="C17" s="85"/>
      <c r="D17" s="182" t="str">
        <f>'Enter field data'!B17</f>
        <v>Cool-Cold Headwater</v>
      </c>
      <c r="E17" s="147"/>
      <c r="F17" s="68"/>
    </row>
    <row r="18" spans="1:6" x14ac:dyDescent="0.2">
      <c r="A18" s="65"/>
      <c r="B18" s="65"/>
      <c r="C18" s="68"/>
      <c r="D18" s="68"/>
      <c r="E18" s="68"/>
      <c r="F18" s="68"/>
    </row>
    <row r="19" spans="1:6" x14ac:dyDescent="0.2">
      <c r="A19" s="69" t="s">
        <v>859</v>
      </c>
      <c r="B19" s="65"/>
      <c r="C19" s="68"/>
      <c r="D19" s="68"/>
      <c r="E19" s="68"/>
      <c r="F19" s="68"/>
    </row>
    <row r="20" spans="1:6" x14ac:dyDescent="0.2">
      <c r="A20" s="174" t="s">
        <v>860</v>
      </c>
      <c r="B20" s="174"/>
      <c r="C20" s="175"/>
      <c r="D20" s="176"/>
      <c r="E20" s="177"/>
      <c r="F20" s="93"/>
    </row>
    <row r="21" spans="1:6" x14ac:dyDescent="0.2">
      <c r="A21" s="65" t="s">
        <v>861</v>
      </c>
      <c r="B21" s="65"/>
      <c r="C21" s="67"/>
      <c r="D21" s="184"/>
      <c r="E21" s="185"/>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78"/>
      <c r="E24" s="178"/>
      <c r="F24" s="93"/>
    </row>
    <row r="25" spans="1:6" x14ac:dyDescent="0.2">
      <c r="A25" s="96" t="s">
        <v>864</v>
      </c>
      <c r="B25" s="97"/>
      <c r="C25" s="97"/>
      <c r="D25" s="178"/>
      <c r="E25" s="178"/>
      <c r="F25" s="93"/>
    </row>
    <row r="26" spans="1:6" x14ac:dyDescent="0.2">
      <c r="A26" s="98" t="s">
        <v>873</v>
      </c>
      <c r="B26" s="99"/>
      <c r="C26" s="99"/>
      <c r="D26" s="178"/>
      <c r="E26" s="178"/>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6</v>
      </c>
      <c r="C33" s="109" t="s">
        <v>9</v>
      </c>
      <c r="D33" s="110">
        <f>'Enter field data'!$K$54</f>
        <v>173</v>
      </c>
      <c r="E33" s="111" t="s">
        <v>12</v>
      </c>
      <c r="F33" s="112">
        <f>'Enter field data'!$O$54</f>
        <v>0</v>
      </c>
    </row>
    <row r="34" spans="1:6" x14ac:dyDescent="0.2">
      <c r="A34" s="108" t="s">
        <v>7</v>
      </c>
      <c r="B34" s="81">
        <f>'Enter field data'!$I$54</f>
        <v>167</v>
      </c>
      <c r="C34" s="109" t="s">
        <v>10</v>
      </c>
      <c r="D34" s="110">
        <f>'Enter field data'!$L$54</f>
        <v>20</v>
      </c>
      <c r="E34" s="111" t="s">
        <v>13</v>
      </c>
      <c r="F34" s="112">
        <f>'Enter field data'!$P$54</f>
        <v>26</v>
      </c>
    </row>
    <row r="35" spans="1:6" x14ac:dyDescent="0.2">
      <c r="A35" s="108" t="s">
        <v>8</v>
      </c>
      <c r="B35" s="81">
        <f>'Enter field data'!$J$54</f>
        <v>20</v>
      </c>
      <c r="C35" s="109" t="s">
        <v>11</v>
      </c>
      <c r="D35" s="110">
        <f>'Enter field data'!$N$54</f>
        <v>0</v>
      </c>
      <c r="E35" s="111" t="s">
        <v>14</v>
      </c>
      <c r="F35" s="112">
        <f>'Enter field data'!$Q$54</f>
        <v>167</v>
      </c>
    </row>
    <row r="36" spans="1:6" x14ac:dyDescent="0.2">
      <c r="A36" s="65"/>
      <c r="B36" s="65"/>
      <c r="C36" s="65"/>
      <c r="D36" s="65"/>
      <c r="E36" s="65"/>
      <c r="F36" s="65"/>
    </row>
    <row r="37" spans="1:6" x14ac:dyDescent="0.2">
      <c r="A37" s="87" t="s">
        <v>67</v>
      </c>
      <c r="B37" s="65"/>
      <c r="C37" s="65"/>
      <c r="D37" s="65"/>
      <c r="E37" s="65"/>
      <c r="F37" s="65"/>
    </row>
    <row r="38" spans="1:6" x14ac:dyDescent="0.2">
      <c r="A38" s="179" t="s">
        <v>5</v>
      </c>
      <c r="B38" s="180"/>
      <c r="C38" s="180"/>
      <c r="D38" s="180"/>
      <c r="E38" s="181"/>
      <c r="F38" s="65"/>
    </row>
    <row r="39" spans="1:6" x14ac:dyDescent="0.2">
      <c r="A39" s="113" t="s">
        <v>55</v>
      </c>
      <c r="B39" s="166" t="s">
        <v>65</v>
      </c>
      <c r="C39" s="168" t="s">
        <v>66</v>
      </c>
      <c r="D39" s="169"/>
      <c r="E39" s="170" t="s">
        <v>56</v>
      </c>
      <c r="F39" s="65"/>
    </row>
    <row r="40" spans="1:6" x14ac:dyDescent="0.2">
      <c r="A40" s="114"/>
      <c r="B40" s="167"/>
      <c r="C40" s="115" t="s">
        <v>62</v>
      </c>
      <c r="D40" s="116" t="s">
        <v>63</v>
      </c>
      <c r="E40" s="171"/>
      <c r="F40" s="65"/>
    </row>
    <row r="41" spans="1:6" x14ac:dyDescent="0.2">
      <c r="A41" s="108" t="s">
        <v>6</v>
      </c>
      <c r="B41" s="117">
        <f>($B$33/'Enter field data'!$F$54)</f>
        <v>3.1088082901554404E-2</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0.86528497409326421</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0.10362694300518134</v>
      </c>
      <c r="C43" s="118">
        <f>VLOOKUP($D$17,'Expected guild %'!$A$5:$G$13,6,FALSE)</f>
        <v>0</v>
      </c>
      <c r="D43" s="118">
        <f>VLOOKUP($D$17,'Expected guild %'!$A$5:$G$13,7,FALSE)</f>
        <v>0.25</v>
      </c>
      <c r="E43" s="119" t="str">
        <f>IF(AND(C43&lt;=B43,B43&lt;= D43)=TRUE,"Y","N")</f>
        <v>Y</v>
      </c>
      <c r="F43" s="65"/>
    </row>
    <row r="44" spans="1:6" x14ac:dyDescent="0.2">
      <c r="A44" s="65"/>
      <c r="B44" s="65"/>
      <c r="C44" s="65"/>
      <c r="D44" s="65"/>
      <c r="E44" s="65"/>
      <c r="F44" s="65"/>
    </row>
    <row r="45" spans="1:6" x14ac:dyDescent="0.2">
      <c r="A45" s="179" t="s">
        <v>0</v>
      </c>
      <c r="B45" s="180"/>
      <c r="C45" s="180"/>
      <c r="D45" s="180"/>
      <c r="E45" s="181"/>
      <c r="F45" s="65"/>
    </row>
    <row r="46" spans="1:6" x14ac:dyDescent="0.2">
      <c r="A46" s="166" t="s">
        <v>55</v>
      </c>
      <c r="B46" s="166" t="s">
        <v>65</v>
      </c>
      <c r="C46" s="168" t="s">
        <v>66</v>
      </c>
      <c r="D46" s="169"/>
      <c r="E46" s="170" t="s">
        <v>56</v>
      </c>
      <c r="F46" s="65"/>
    </row>
    <row r="47" spans="1:6" x14ac:dyDescent="0.2">
      <c r="A47" s="167"/>
      <c r="B47" s="167"/>
      <c r="C47" s="115" t="s">
        <v>62</v>
      </c>
      <c r="D47" s="116" t="s">
        <v>63</v>
      </c>
      <c r="E47" s="171"/>
      <c r="F47" s="65"/>
    </row>
    <row r="48" spans="1:6" x14ac:dyDescent="0.2">
      <c r="A48" s="108" t="s">
        <v>9</v>
      </c>
      <c r="B48" s="118">
        <f>($D$33/'Enter field data'!$F$54)</f>
        <v>0.89637305699481862</v>
      </c>
      <c r="C48" s="120">
        <f>VLOOKUP($D$17,'Expected guild %'!$A$19:$G$27,2,FALSE)</f>
        <v>0.5</v>
      </c>
      <c r="D48" s="118">
        <f>VLOOKUP($D$17,'Expected guild %'!$A$19:$G$27,3,FALSE)</f>
        <v>1</v>
      </c>
      <c r="E48" s="119" t="str">
        <f>IF(AND(C48&lt;=B48,B48&lt;= D48)=TRUE,"Y","N")</f>
        <v>Y</v>
      </c>
      <c r="F48" s="65"/>
    </row>
    <row r="49" spans="1:7" x14ac:dyDescent="0.2">
      <c r="A49" s="108" t="s">
        <v>10</v>
      </c>
      <c r="B49" s="118">
        <f>($D$34/'Enter field data'!$F$54)</f>
        <v>0.10362694300518134</v>
      </c>
      <c r="C49" s="120">
        <f>VLOOKUP($D$17,'Expected guild %'!$A$19:$G$27,4,FALSE)</f>
        <v>0</v>
      </c>
      <c r="D49" s="118">
        <f>VLOOKUP($D$17,'Expected guild %'!$A$19:$G$27,5,FALSE)</f>
        <v>0.5</v>
      </c>
      <c r="E49" s="119" t="str">
        <f>IF(AND(C49&lt;=B49,B49&lt;= D49)=TRUE,"Y","N")</f>
        <v>Y</v>
      </c>
      <c r="F49" s="65"/>
    </row>
    <row r="50" spans="1:7" x14ac:dyDescent="0.2">
      <c r="A50" s="108" t="s">
        <v>11</v>
      </c>
      <c r="B50" s="118">
        <f>($D$35/'Enter field data'!$F$54)</f>
        <v>0</v>
      </c>
      <c r="C50" s="120">
        <f>VLOOKUP($D$17,'Expected guild %'!$A$19:$G$27,6,FALSE)</f>
        <v>0</v>
      </c>
      <c r="D50" s="118">
        <f>VLOOKUP($D$17,'Expected guild %'!$A$19:$G$27,7,FALSE)</f>
        <v>0.1</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65" t="s">
        <v>924</v>
      </c>
      <c r="B54" s="183"/>
      <c r="C54" s="183"/>
      <c r="D54" s="183"/>
      <c r="E54" s="183"/>
      <c r="F54" s="163"/>
      <c r="G54" s="164"/>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79" t="s">
        <v>1</v>
      </c>
      <c r="B68" s="180"/>
      <c r="C68" s="180"/>
      <c r="D68" s="180"/>
      <c r="E68" s="181"/>
      <c r="F68" s="65"/>
    </row>
    <row r="69" spans="1:7" x14ac:dyDescent="0.2">
      <c r="A69" s="166" t="s">
        <v>55</v>
      </c>
      <c r="B69" s="166" t="s">
        <v>65</v>
      </c>
      <c r="C69" s="168" t="s">
        <v>66</v>
      </c>
      <c r="D69" s="169"/>
      <c r="E69" s="170" t="s">
        <v>56</v>
      </c>
      <c r="F69" s="65"/>
    </row>
    <row r="70" spans="1:7" x14ac:dyDescent="0.2">
      <c r="A70" s="167"/>
      <c r="B70" s="167"/>
      <c r="C70" s="115" t="s">
        <v>62</v>
      </c>
      <c r="D70" s="116" t="s">
        <v>63</v>
      </c>
      <c r="E70" s="171"/>
      <c r="F70" s="65"/>
    </row>
    <row r="71" spans="1:7" x14ac:dyDescent="0.2">
      <c r="A71" s="108" t="s">
        <v>12</v>
      </c>
      <c r="B71" s="117">
        <f>($F$33/'Enter field data'!$F$54)</f>
        <v>0</v>
      </c>
      <c r="C71" s="127" t="str">
        <f>VLOOKUP($D$17,'Expected guild %'!$A$33:$G$41,2,FALSE)</f>
        <v>PRESENT</v>
      </c>
      <c r="D71" s="118">
        <f>VLOOKUP($D$17,'Expected guild %'!$A$33:$G$41,3,FALSE)</f>
        <v>1</v>
      </c>
      <c r="E71" s="119" t="str">
        <f>IF(AND(B71&gt;0,B71&lt;= D71)=TRUE,"Y","N")</f>
        <v>N</v>
      </c>
      <c r="F71" s="65"/>
    </row>
    <row r="72" spans="1:7" x14ac:dyDescent="0.2">
      <c r="A72" s="108" t="s">
        <v>386</v>
      </c>
      <c r="B72" s="117">
        <f>($F$34/'Enter field data'!$F$54)</f>
        <v>0.13471502590673576</v>
      </c>
      <c r="C72" s="127">
        <f>VLOOKUP($D$17,'Expected guild %'!$A$33:$G$41,4,FALSE)</f>
        <v>0</v>
      </c>
      <c r="D72" s="118">
        <f>VLOOKUP($D$17,'Expected guild %'!$A$33:$G$41,5,FALSE)</f>
        <v>1</v>
      </c>
      <c r="E72" s="119" t="str">
        <f>IF(AND(C72&lt;=B72,B72&lt;= D72)=TRUE,"Y","N")</f>
        <v>Y</v>
      </c>
    </row>
    <row r="73" spans="1:7" x14ac:dyDescent="0.2">
      <c r="A73" s="108" t="s">
        <v>14</v>
      </c>
      <c r="B73" s="117">
        <f>($F$35/'Enter field data'!$F$54)</f>
        <v>0.86528497409326421</v>
      </c>
      <c r="C73" s="127">
        <f>VLOOKUP($D$17,'Expected guild %'!$A$33:$G$41,6,FALSE)</f>
        <v>0</v>
      </c>
      <c r="D73" s="118">
        <f>VLOOKUP($D$17,'Expected guild %'!$A$33:$G$41,7,FALSE)</f>
        <v>0.75</v>
      </c>
      <c r="E73" s="119" t="str">
        <f>IF(AND(C73&lt;=B73,B73&lt;= D73)=TRUE,"Y","N")</f>
        <v>N</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65" t="s">
        <v>921</v>
      </c>
      <c r="B79" s="163"/>
      <c r="C79" s="163"/>
      <c r="D79" s="163"/>
      <c r="E79" s="163"/>
      <c r="F79" s="163"/>
      <c r="G79" s="164"/>
    </row>
    <row r="81" spans="1:4" x14ac:dyDescent="0.2">
      <c r="A81" s="128" t="s">
        <v>839</v>
      </c>
    </row>
    <row r="82" spans="1:4" x14ac:dyDescent="0.2">
      <c r="A82" s="101" t="s">
        <v>852</v>
      </c>
    </row>
    <row r="83" spans="1:4" x14ac:dyDescent="0.2">
      <c r="A83" s="101" t="s">
        <v>853</v>
      </c>
    </row>
    <row r="85" spans="1:4" x14ac:dyDescent="0.2">
      <c r="A85" s="173" t="s">
        <v>821</v>
      </c>
      <c r="B85" s="71" t="s">
        <v>822</v>
      </c>
      <c r="C85" s="72"/>
      <c r="D85" s="73">
        <f>'Weather Results'!C17</f>
        <v>14.940322580645162</v>
      </c>
    </row>
    <row r="86" spans="1:4" x14ac:dyDescent="0.2">
      <c r="A86" s="173"/>
      <c r="B86" s="71" t="s">
        <v>823</v>
      </c>
      <c r="C86" s="72"/>
      <c r="D86" s="73">
        <f>'Weather Results'!C18</f>
        <v>12.555531333333333</v>
      </c>
    </row>
    <row r="87" spans="1:4" x14ac:dyDescent="0.2">
      <c r="A87" s="173"/>
      <c r="B87" s="71" t="s">
        <v>824</v>
      </c>
      <c r="C87" s="72"/>
      <c r="D87" s="73">
        <f>'Weather Results'!C19</f>
        <v>16.970363333333331</v>
      </c>
    </row>
    <row r="88" spans="1:4" x14ac:dyDescent="0.2">
      <c r="A88" s="173"/>
      <c r="B88" s="74" t="s">
        <v>825</v>
      </c>
      <c r="C88" s="72"/>
      <c r="D88" s="75" t="str">
        <f>'Weather Results'!C20</f>
        <v>NO</v>
      </c>
    </row>
    <row r="90" spans="1:4" x14ac:dyDescent="0.2">
      <c r="A90" s="172" t="s">
        <v>826</v>
      </c>
      <c r="B90" s="71" t="s">
        <v>827</v>
      </c>
      <c r="C90" s="72"/>
      <c r="D90" s="73">
        <f>'Weather Results'!C22</f>
        <v>3.4419354838709681</v>
      </c>
    </row>
    <row r="91" spans="1:4" x14ac:dyDescent="0.2">
      <c r="A91" s="172"/>
      <c r="B91" s="71" t="s">
        <v>828</v>
      </c>
      <c r="C91" s="72"/>
      <c r="D91" s="73">
        <f>'Weather Results'!C23</f>
        <v>1.7918032786885245</v>
      </c>
    </row>
    <row r="92" spans="1:4" x14ac:dyDescent="0.2">
      <c r="A92" s="172"/>
      <c r="B92" s="71" t="s">
        <v>829</v>
      </c>
      <c r="C92" s="72"/>
      <c r="D92" s="73">
        <f>'Weather Results'!C24</f>
        <v>2.5735507246376814</v>
      </c>
    </row>
    <row r="93" spans="1:4" x14ac:dyDescent="0.2">
      <c r="A93" s="172"/>
      <c r="B93" s="71" t="s">
        <v>830</v>
      </c>
      <c r="C93" s="72"/>
      <c r="D93" s="73">
        <f>'Weather Results'!C25</f>
        <v>2.3720547945205479</v>
      </c>
    </row>
    <row r="94" spans="1:4" x14ac:dyDescent="0.2">
      <c r="A94" s="172"/>
      <c r="B94" s="71" t="s">
        <v>831</v>
      </c>
      <c r="C94" s="72"/>
      <c r="D94" s="73">
        <f>'Weather Results'!C26</f>
        <v>2.656156005028679</v>
      </c>
    </row>
    <row r="95" spans="1:4" x14ac:dyDescent="0.2">
      <c r="A95" s="172"/>
      <c r="B95" s="71" t="s">
        <v>832</v>
      </c>
      <c r="C95" s="72"/>
      <c r="D95" s="73">
        <f>'Weather Results'!C27</f>
        <v>1.8009290666666666</v>
      </c>
    </row>
    <row r="96" spans="1:4" x14ac:dyDescent="0.2">
      <c r="A96" s="172"/>
      <c r="B96" s="71" t="s">
        <v>833</v>
      </c>
      <c r="C96" s="72"/>
      <c r="D96" s="73">
        <f>'Weather Results'!C28</f>
        <v>3.9953304666666667</v>
      </c>
    </row>
    <row r="97" spans="1:7" x14ac:dyDescent="0.2">
      <c r="A97" s="172"/>
      <c r="B97" s="74" t="s">
        <v>834</v>
      </c>
      <c r="C97" s="77"/>
      <c r="D97" s="75" t="str">
        <f>'Weather Results'!C29</f>
        <v>NO</v>
      </c>
    </row>
    <row r="99" spans="1:7" x14ac:dyDescent="0.2">
      <c r="A99" s="101" t="s">
        <v>858</v>
      </c>
    </row>
    <row r="100" spans="1:7" ht="16.5" customHeight="1" x14ac:dyDescent="0.25">
      <c r="A100" s="161"/>
      <c r="B100" s="162"/>
      <c r="C100" s="162"/>
      <c r="D100" s="162"/>
      <c r="E100" s="162"/>
      <c r="F100" s="163"/>
      <c r="G100" s="164"/>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61"/>
      <c r="B105" s="163"/>
      <c r="C105" s="163"/>
      <c r="D105" s="163"/>
      <c r="E105" s="163"/>
      <c r="F105" s="163"/>
      <c r="G105" s="164"/>
    </row>
    <row r="107" spans="1:7" x14ac:dyDescent="0.2">
      <c r="A107" s="129" t="s">
        <v>874</v>
      </c>
    </row>
    <row r="108" spans="1:7" x14ac:dyDescent="0.2">
      <c r="A108" s="129"/>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807</v>
      </c>
      <c r="B1" s="61" t="s">
        <v>808</v>
      </c>
      <c r="C1" s="59">
        <f>'Enter field data'!B6</f>
        <v>42159</v>
      </c>
    </row>
    <row r="2" spans="1:5" s="39" customFormat="1" x14ac:dyDescent="0.25">
      <c r="A2" s="186"/>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20150604</v>
      </c>
    </row>
    <row r="5" spans="1:5" hidden="1" x14ac:dyDescent="0.25">
      <c r="A5" s="37"/>
      <c r="B5" s="37" t="s">
        <v>810</v>
      </c>
      <c r="C5" s="50" t="str">
        <f>CONCATENATE(YEAR(C1-30),IF(MONTH(C1-30)&lt;10,"0"&amp;MONTH(C1-30),MONTH(C1-30)),IF(DAY(C1-30)&lt;10,"0"&amp;DAY(C1-30),DAY(C1-30)))</f>
        <v>20150505</v>
      </c>
    </row>
    <row r="6" spans="1:5" hidden="1" x14ac:dyDescent="0.25">
      <c r="A6" s="37"/>
      <c r="B6" s="37" t="s">
        <v>811</v>
      </c>
      <c r="C6" s="50" t="str">
        <f>CONCATENATE(YEAR(C1-90),IF(MONTH(C1-90)&lt;10,"0"&amp;MONTH(C1-90),MONTH(C1-90)),IF(DAY(C1-90)&lt;10,"0"&amp;DAY(C1-90),DAY(C1-90)))</f>
        <v>20150306</v>
      </c>
    </row>
    <row r="7" spans="1:5" hidden="1" x14ac:dyDescent="0.25">
      <c r="A7" s="37"/>
      <c r="B7" s="37" t="s">
        <v>812</v>
      </c>
      <c r="C7" s="50" t="str">
        <f>CONCATENATE(YEAR(C1-365),IF(MONTH(C1-365)&lt;10,"0"&amp;MONTH(C1-365),MONTH(C1-365)),IF(DAY(C1-365)&lt;10,"0"&amp;DAY(C1-365),DAY(C1-365)))</f>
        <v>20140604</v>
      </c>
    </row>
    <row r="8" spans="1:5" hidden="1" x14ac:dyDescent="0.25">
      <c r="A8" s="37"/>
      <c r="B8" s="37" t="s">
        <v>813</v>
      </c>
      <c r="C8" s="50" t="str">
        <f>CONCATENATE(YEAR(C1-1460),IF(MONTH(C1-1460)&lt;10,"0"&amp;MONTH(C1-1460),MONTH(C1-1460)),IF(DAY(C1-1460)&lt;10,"0"&amp;DAY(C1-1460),DAY(C1-1460)))</f>
        <v>20110605</v>
      </c>
    </row>
    <row r="9" spans="1:5" hidden="1" x14ac:dyDescent="0.25">
      <c r="A9" s="37"/>
      <c r="B9" s="37" t="s">
        <v>814</v>
      </c>
      <c r="C9" s="50">
        <f>IF(MONTH($C$1)=4,DAY($C$1),0)+IF(MONTH($C$1)=5,30-DAY($C$1),0)</f>
        <v>0</v>
      </c>
    </row>
    <row r="10" spans="1:5" hidden="1" x14ac:dyDescent="0.25">
      <c r="A10" s="37"/>
      <c r="B10" s="37" t="s">
        <v>815</v>
      </c>
      <c r="C10" s="50">
        <f>IF(MONTH($C$1)=5,DAY($C$1),0)+IF(MONTH($C$1)=6,30-DAY($C$1),0)</f>
        <v>26</v>
      </c>
    </row>
    <row r="11" spans="1:5" hidden="1" x14ac:dyDescent="0.25">
      <c r="A11" s="37"/>
      <c r="B11" s="37" t="s">
        <v>816</v>
      </c>
      <c r="C11" s="50">
        <f>IF(MONTH($C$1)=6,DAY($C$1),0)+IF(MONTH($C$1)=7,30-DAY($C$1),0)</f>
        <v>4</v>
      </c>
    </row>
    <row r="12" spans="1:5" hidden="1" x14ac:dyDescent="0.25">
      <c r="A12" s="37"/>
      <c r="B12" s="37" t="s">
        <v>817</v>
      </c>
      <c r="C12" s="50">
        <f>IF(MONTH($C$1)=7,DAY($C$1),0)+IF(MONTH($C$1)=8,30-DAY($C$1),0)</f>
        <v>0</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7"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14.940322580645162</v>
      </c>
    </row>
    <row r="18" spans="1:3" x14ac:dyDescent="0.25">
      <c r="A18" s="187"/>
      <c r="B18" s="58" t="s">
        <v>823</v>
      </c>
      <c r="C18" s="56">
        <f>(VLOOKUP($C$2,temp!$A$1:$O$369,2,FALSE)*$C$9+VLOOKUP($C$2,temp!$A$1:$O$369,4,FALSE)*$C$10+VLOOKUP($C$2,temp!$A$1:$O$369,6,FALSE)*$C$11+VLOOKUP($C$2,temp!$A$1:$O$369,8,FALSE)*$C$12+VLOOKUP($C$2,temp!$A$1:$O$369,10,FALSE)*$C$13+VLOOKUP($C$2,temp!$A$1:$O$369,12,FALSE)*$C$14+VLOOKUP($C$2,temp!$A$1:$O$369,14,FALSE)*$C$15)/30</f>
        <v>12.555531333333333</v>
      </c>
    </row>
    <row r="19" spans="1:3" x14ac:dyDescent="0.25">
      <c r="A19" s="187"/>
      <c r="B19" s="58" t="s">
        <v>824</v>
      </c>
      <c r="C19" s="56">
        <f>(VLOOKUP($C$2,temp!$A$1:$O$369,3,FALSE)*$C$9+VLOOKUP($C$2,temp!$A$1:$O$369,5,FALSE)*$C$10+VLOOKUP($C$2,temp!$A$1:$O$369,7,FALSE)*$C$11+VLOOKUP($C$2,temp!$A$1:$O$369,9,FALSE)*$C$12+VLOOKUP($C$2,temp!$A$1:$O$369,11,FALSE)*$C$13+VLOOKUP($C$2,temp!$A$1:$O$369,13,FALSE)*$C$14+VLOOKUP($C$2,temp!$A$1:$O$369,15,FALSE)*$C$15)/30</f>
        <v>16.970363333333331</v>
      </c>
    </row>
    <row r="20" spans="1:3" x14ac:dyDescent="0.25">
      <c r="A20" s="187"/>
      <c r="B20" s="62" t="s">
        <v>825</v>
      </c>
      <c r="C20" s="63" t="str">
        <f>IF(C17&gt;C19,"WARM",IF(C17&lt;C18,"COOL","NO"))</f>
        <v>NO</v>
      </c>
    </row>
    <row r="21" spans="1:3" x14ac:dyDescent="0.25">
      <c r="A21" s="37"/>
      <c r="B21" s="37"/>
      <c r="C21" s="50"/>
    </row>
    <row r="22" spans="1:3" x14ac:dyDescent="0.25">
      <c r="A22" s="187" t="s">
        <v>826</v>
      </c>
      <c r="B22" s="58" t="s">
        <v>827</v>
      </c>
      <c r="C22" s="57">
        <f>AVERAGEIFS('Enter weather'!$B:$B,'Enter weather'!$A:$A,"&lt;="&amp;$C$4,'Enter weather'!$A:$A,"&gt;="&amp;$C$5,'Enter weather'!$B:$B,"&lt;&gt;"&amp;-9999)/10</f>
        <v>3.4419354838709681</v>
      </c>
    </row>
    <row r="23" spans="1:3" x14ac:dyDescent="0.25">
      <c r="A23" s="187"/>
      <c r="B23" s="58" t="s">
        <v>828</v>
      </c>
      <c r="C23" s="57">
        <f>AVERAGEIFS('Enter weather'!$B:$B,'Enter weather'!$A:$A,"&lt;="&amp;$C$5,'Enter weather'!$A:$A,"&gt;="&amp;$C$6,'Enter weather'!$B:$B,"&lt;&gt;"&amp;-9999)/10</f>
        <v>1.7918032786885245</v>
      </c>
    </row>
    <row r="24" spans="1:3" x14ac:dyDescent="0.25">
      <c r="A24" s="187"/>
      <c r="B24" s="58" t="s">
        <v>829</v>
      </c>
      <c r="C24" s="57">
        <f>AVERAGEIFS('Enter weather'!$B:$B,'Enter weather'!$A:$A,"&lt;="&amp;$C$6,'Enter weather'!$A:$A,"&gt;="&amp;$C$7,'Enter weather'!$B:$B,"&lt;&gt;"&amp;-9999)/10</f>
        <v>2.5735507246376814</v>
      </c>
    </row>
    <row r="25" spans="1:3" x14ac:dyDescent="0.25">
      <c r="A25" s="187"/>
      <c r="B25" s="58" t="s">
        <v>830</v>
      </c>
      <c r="C25" s="57">
        <f>AVERAGEIFS('Enter weather'!$B:$B,'Enter weather'!$A:$A,"&lt;="&amp;$C$7,'Enter weather'!$A:$A,"&gt;="&amp;$C$8,'Enter weather'!$B:$B,"&lt;&gt;"&amp;-9999)/10</f>
        <v>2.3720547945205479</v>
      </c>
    </row>
    <row r="26" spans="1:3" x14ac:dyDescent="0.25">
      <c r="A26" s="187"/>
      <c r="B26" s="58" t="s">
        <v>831</v>
      </c>
      <c r="C26" s="57">
        <f>$C$22*0.4+$C$23*0.3+$C$24*0.15+$C$25*0.15</f>
        <v>2.656156005028679</v>
      </c>
    </row>
    <row r="27" spans="1:3" x14ac:dyDescent="0.25">
      <c r="A27" s="187"/>
      <c r="B27" s="58" t="s">
        <v>832</v>
      </c>
      <c r="C27" s="56">
        <f>(VLOOKUP($C$2,prcp!$A$1:$O$369,2,FALSE)*$C$9+VLOOKUP($C$2,prcp!$A$1:$O$369,4,FALSE)*$C$10+VLOOKUP($C$2,prcp!$A$1:$O$369,6,FALSE)*$C$11+VLOOKUP($C$2,prcp!$A$1:$O$369,8,FALSE)*$C$12+VLOOKUP($C$2,prcp!$A$1:$O$369,10,FALSE)*$C$13+VLOOKUP($C$2,prcp!$A$1:$O$369,12,FALSE)*$C$14+VLOOKUP($C$2,prcp!$A$1:$O$369,14,FALSE)*$C$15)/30</f>
        <v>1.8009290666666666</v>
      </c>
    </row>
    <row r="28" spans="1:3" x14ac:dyDescent="0.25">
      <c r="A28" s="187"/>
      <c r="B28" s="58" t="s">
        <v>833</v>
      </c>
      <c r="C28" s="56">
        <f>(VLOOKUP($C$2,prcp!$A$1:$O$369,3,FALSE)*$C$9+VLOOKUP($C$2,prcp!$A$1:$O$369,5,FALSE)*$C$10+VLOOKUP($C$2,prcp!$A$1:$O$369,7,FALSE)*$C$11+VLOOKUP($C$2,prcp!$A$1:$O$369,9,FALSE)*$C$12+VLOOKUP($C$2,prcp!$A$1:$O$369,11,FALSE)*$C$13+VLOOKUP($C$2,prcp!$A$1:$O$369,13,FALSE)*$C$14+VLOOKUP($C$2,prcp!$A$1:$O$369,15,FALSE)*$C$15)/30</f>
        <v>3.9953304666666667</v>
      </c>
    </row>
    <row r="29" spans="1:3" x14ac:dyDescent="0.25">
      <c r="A29" s="187"/>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2017-05-22T23:54:43Z</dcterms:modified>
</cp:coreProperties>
</file>