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1" i="1" l="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C42" i="1"/>
  <c r="C43" i="1"/>
  <c r="C44" i="1"/>
  <c r="C45" i="1"/>
  <c r="C46" i="1"/>
  <c r="C47" i="1"/>
  <c r="C48" i="1"/>
  <c r="C49" i="1"/>
  <c r="C50" i="1"/>
  <c r="C51" i="1"/>
  <c r="C52" i="1"/>
  <c r="C53" i="1"/>
  <c r="C21" i="1"/>
  <c r="R21" i="1" s="1"/>
  <c r="M48" i="1"/>
  <c r="F48" i="1" s="1"/>
  <c r="H29" i="1" l="1"/>
  <c r="R29" i="1"/>
  <c r="Q29" i="1"/>
  <c r="G29" i="1"/>
  <c r="P29" i="1" s="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I40" i="1"/>
  <c r="H40" i="1"/>
  <c r="H35" i="1"/>
  <c r="J33" i="1"/>
  <c r="H33" i="1"/>
  <c r="J28" i="1"/>
  <c r="H26" i="1"/>
  <c r="M21" i="1"/>
  <c r="L52" i="1"/>
  <c r="N52" i="1"/>
  <c r="K52" i="1"/>
  <c r="L50" i="1"/>
  <c r="N50" i="1"/>
  <c r="K50" i="1"/>
  <c r="L48" i="1"/>
  <c r="N48" i="1"/>
  <c r="K48" i="1"/>
  <c r="L46" i="1"/>
  <c r="N46" i="1"/>
  <c r="K46" i="1"/>
  <c r="L44" i="1"/>
  <c r="N44" i="1"/>
  <c r="K44" i="1"/>
  <c r="L42" i="1"/>
  <c r="N42" i="1"/>
  <c r="K42" i="1"/>
  <c r="L40" i="1"/>
  <c r="K40" i="1"/>
  <c r="N35" i="1"/>
  <c r="K35" i="1"/>
  <c r="G35" i="1"/>
  <c r="I35" i="1" s="1"/>
  <c r="N33" i="1"/>
  <c r="L33" i="1"/>
  <c r="G33" i="1"/>
  <c r="I33" i="1" s="1"/>
  <c r="N27" i="1"/>
  <c r="N25" i="1"/>
  <c r="Q52" i="1"/>
  <c r="P52" i="1"/>
  <c r="O52" i="1"/>
  <c r="Q50" i="1"/>
  <c r="P50" i="1"/>
  <c r="O50" i="1"/>
  <c r="Q48" i="1"/>
  <c r="P48" i="1"/>
  <c r="O48" i="1"/>
  <c r="Q46" i="1"/>
  <c r="P46" i="1"/>
  <c r="O46" i="1"/>
  <c r="Q44" i="1"/>
  <c r="P44" i="1"/>
  <c r="O44" i="1"/>
  <c r="Q42" i="1"/>
  <c r="P42" i="1"/>
  <c r="O42" i="1"/>
  <c r="Q40" i="1"/>
  <c r="O40" i="1"/>
  <c r="Q35" i="1"/>
  <c r="P35" i="1"/>
  <c r="O35" i="1"/>
  <c r="Q33" i="1"/>
  <c r="P33" i="1"/>
  <c r="O33" i="1"/>
  <c r="O28" i="1"/>
  <c r="O26" i="1"/>
  <c r="Q38" i="1"/>
  <c r="P38" i="1"/>
  <c r="O38" i="1"/>
  <c r="J38" i="1"/>
  <c r="I38" i="1"/>
  <c r="H38" i="1"/>
  <c r="Q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O32" i="1"/>
  <c r="Q27" i="1"/>
  <c r="P27" i="1"/>
  <c r="O27" i="1"/>
  <c r="Q23" i="1"/>
  <c r="P23" i="1"/>
  <c r="O23" i="1"/>
  <c r="L38" i="1"/>
  <c r="N38" i="1"/>
  <c r="K38" i="1"/>
  <c r="K37" i="1"/>
  <c r="G37" i="1"/>
  <c r="P37" i="1" s="1"/>
  <c r="I37" i="1"/>
  <c r="H37" i="1"/>
  <c r="N36" i="1"/>
  <c r="K36" i="1"/>
  <c r="G22" i="1"/>
  <c r="I22" i="1" s="1"/>
  <c r="G52" i="1"/>
  <c r="G48" i="1"/>
  <c r="G44" i="1"/>
  <c r="G40" i="1"/>
  <c r="J40" i="1" s="1"/>
  <c r="G36" i="1"/>
  <c r="J36" i="1" s="1"/>
  <c r="G32" i="1"/>
  <c r="J32" i="1" s="1"/>
  <c r="G25" i="1"/>
  <c r="L25" i="1" s="1"/>
  <c r="H21" i="1"/>
  <c r="H50" i="1"/>
  <c r="H46" i="1"/>
  <c r="N23" i="1"/>
  <c r="L23" i="1"/>
  <c r="K23" i="1"/>
  <c r="N32" i="1" l="1"/>
  <c r="Q28" i="1"/>
  <c r="P40" i="1"/>
  <c r="J35" i="1"/>
  <c r="L27" i="1"/>
  <c r="O37" i="1"/>
  <c r="N40" i="1"/>
  <c r="P31" i="1"/>
  <c r="P32" i="1"/>
  <c r="L37" i="1"/>
  <c r="J25" i="1"/>
  <c r="K29" i="1"/>
  <c r="L36" i="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<sst xmlns="http://schemas.openxmlformats.org/spreadsheetml/2006/main" count="2067" uniqueCount="955">
  <si>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</si>
  <si>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</si>
  <si>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</si>
  <si>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</si>
  <si>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</si>
  <si>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</si>
  <si>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</si>
  <si>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</si>
  <si>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</si>
  <si>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</si>
  <si>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</si>
  <si>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</si>
  <si>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</si>
  <si>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</si>
  <si>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</si>
  <si>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</si>
  <si>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</si>
  <si>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</si>
  <si>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</si>
  <si>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</si>
  <si>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</si>
  <si>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</si>
  <si>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</si>
  <si>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</si>
  <si>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</si>
  <si>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</si>
  <si>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</si>
  <si>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</si>
  <si>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</si>
  <si>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</si>
  <si>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</si>
  <si>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</si>
  <si>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</si>
  <si>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</si>
  <si>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</si>
  <si>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</si>
  <si>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</si>
  <si>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</si>
  <si>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</si>
  <si>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</si>
  <si>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</si>
  <si>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</si>
  <si>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</si>
  <si>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</si>
  <si>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</si>
  <si>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</si>
  <si>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</si>
  <si>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</si>
  <si>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</si>
  <si>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</si>
  <si>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</si>
  <si>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</si>
  <si>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</si>
  <si>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</si>
  <si>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</si>
  <si>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</si>
  <si>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</si>
  <si>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</si>
  <si>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</si>
  <si>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</si>
  <si>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</si>
  <si>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</si>
  <si>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</si>
  <si>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</si>
  <si>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</si>
  <si>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</si>
  <si>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</si>
  <si>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</si>
  <si>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</si>
  <si>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</si>
  <si>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</si>
  <si>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</si>
  <si>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</si>
  <si>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</si>
  <si>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</si>
  <si>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</si>
  <si>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</si>
  <si>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</si>
  <si>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</si>
  <si>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</si>
  <si>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</si>
  <si>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</si>
  <si>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</si>
  <si>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</si>
  <si>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</si>
  <si>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</si>
  <si>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</si>
  <si>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</si>
  <si>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</si>
  <si>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</si>
  <si>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</si>
  <si>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</si>
  <si>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</si>
  <si>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</si>
  <si>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</si>
  <si>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</si>
  <si>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</si>
  <si>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</si>
  <si>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</si>
  <si>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</si>
  <si>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</si>
  <si>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</si>
  <si>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</si>
  <si>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</si>
  <si>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</si>
  <si>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</si>
  <si>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</si>
  <si>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</si>
  <si>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</si>
  <si>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</si>
  <si>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</si>
  <si>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</si>
  <si>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</si>
  <si>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</si>
  <si>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</si>
  <si>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</si>
  <si>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</si>
  <si>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</si>
  <si>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</si>
  <si>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</si>
  <si>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</si>
  <si>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</si>
  <si>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</si>
  <si>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</si>
  <si>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</si>
  <si>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</si>
  <si>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</si>
  <si>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</si>
  <si>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</si>
  <si>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</si>
  <si>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</si>
  <si>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</si>
  <si>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</si>
  <si>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</si>
  <si>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</si>
  <si>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</si>
  <si>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</si>
  <si>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</si>
  <si>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</si>
  <si>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</si>
  <si>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</si>
  <si>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</si>
  <si>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</si>
  <si>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</si>
  <si>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</si>
  <si>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</si>
  <si>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</si>
  <si>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</si>
  <si>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</si>
  <si>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</si>
  <si>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</si>
  <si>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</si>
  <si>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</si>
  <si>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</si>
  <si>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</si>
  <si>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</si>
  <si>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</si>
  <si>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</si>
  <si>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</si>
  <si>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</si>
  <si>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</si>
  <si>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</si>
  <si>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</si>
  <si>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</si>
  <si>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</si>
  <si>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</si>
  <si>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</si>
  <si>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</si>
  <si>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</si>
  <si>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</si>
  <si>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</si>
  <si>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</si>
  <si>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</si>
  <si>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</si>
  <si>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</si>
  <si>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</si>
  <si>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</si>
  <si>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</si>
  <si>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</si>
  <si>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</si>
  <si>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</si>
  <si>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</si>
  <si>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</si>
  <si>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</si>
  <si>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</si>
  <si>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</si>
  <si>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</si>
  <si>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</si>
  <si>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</si>
  <si>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</si>
  <si>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</si>
  <si>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</si>
  <si>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</si>
  <si>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</si>
  <si>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</si>
  <si>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</si>
  <si>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</si>
  <si>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</si>
  <si>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</si>
  <si>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</si>
  <si>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</si>
  <si>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</si>
  <si>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</si>
  <si>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</si>
  <si>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</si>
  <si>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</si>
  <si>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</si>
  <si>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</si>
  <si>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</si>
  <si>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</si>
  <si>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</si>
  <si>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</si>
  <si>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</si>
  <si>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</si>
  <si>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</si>
  <si>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</si>
  <si>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</si>
  <si>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</si>
  <si>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</si>
  <si>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</si>
  <si>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</si>
  <si>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</si>
  <si>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</si>
  <si>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</si>
  <si>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</si>
  <si>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</si>
  <si>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</si>
  <si>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</si>
  <si>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</si>
  <si>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</si>
  <si>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</si>
  <si>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</si>
  <si>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</si>
  <si>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</si>
  <si>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</si>
  <si>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</si>
  <si>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</si>
  <si>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</si>
  <si>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</si>
  <si>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</si>
  <si>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</si>
  <si>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</si>
  <si>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</si>
  <si>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</si>
  <si>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</si>
  <si>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</si>
  <si>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</si>
  <si>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</si>
  <si>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</si>
  <si>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</si>
  <si>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</si>
  <si>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</si>
  <si>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</si>
  <si>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</si>
  <si>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</si>
  <si>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</si>
  <si>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</si>
  <si>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</si>
  <si>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</si>
  <si>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</si>
  <si>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</si>
  <si>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</si>
  <si>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</si>
  <si>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</si>
  <si>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</si>
  <si>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</si>
  <si>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</si>
  <si>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</si>
  <si>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</si>
  <si>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</si>
  <si>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</si>
  <si>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</si>
  <si>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</si>
  <si>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</si>
  <si>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</si>
  <si>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</si>
  <si>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</si>
  <si>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</si>
  <si>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</si>
  <si>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</si>
  <si>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</si>
  <si>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</si>
  <si>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</si>
  <si>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</si>
  <si>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</si>
  <si>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</si>
  <si>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</si>
  <si>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</si>
  <si>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</si>
  <si>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</si>
  <si>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</si>
  <si>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</si>
  <si>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</si>
  <si>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</si>
  <si>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</si>
  <si>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</si>
  <si>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</si>
  <si>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</si>
  <si>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</si>
  <si>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</si>
  <si>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</si>
  <si>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</si>
  <si>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</si>
  <si>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</si>
  <si>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</si>
  <si>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</si>
  <si>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</si>
  <si>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</si>
  <si>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</si>
  <si>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</si>
  <si>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</si>
  <si>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</si>
  <si>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</si>
  <si>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</si>
  <si>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</si>
  <si>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</si>
  <si>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</si>
  <si>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</si>
  <si>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</si>
  <si>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</si>
  <si>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</si>
  <si>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</si>
  <si>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</si>
  <si>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</si>
  <si>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</si>
  <si>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</si>
  <si>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</si>
  <si>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</si>
  <si>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</si>
  <si>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</si>
  <si>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</si>
  <si>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</si>
  <si>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</si>
  <si>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</si>
  <si>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</si>
  <si>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</si>
  <si>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</si>
  <si>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</si>
  <si>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</si>
  <si>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</si>
  <si>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</si>
  <si>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</si>
  <si>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</si>
  <si>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</si>
  <si>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</si>
  <si>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</si>
  <si>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</si>
  <si>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</si>
  <si>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</si>
  <si>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</si>
  <si>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</si>
  <si>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</si>
  <si>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</si>
  <si>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</si>
  <si>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</si>
  <si>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</si>
  <si>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</si>
  <si>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</si>
  <si>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</si>
  <si>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</si>
  <si>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</si>
  <si>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</si>
  <si>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</si>
  <si>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</si>
  <si>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</si>
  <si>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</si>
  <si>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</si>
  <si>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</si>
  <si>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</si>
  <si>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</si>
  <si>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</si>
  <si>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</si>
  <si>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</si>
  <si>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</si>
  <si>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</si>
  <si>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</si>
  <si>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</si>
  <si>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</si>
  <si>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</si>
  <si>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</si>
  <si>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</si>
  <si>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</si>
  <si>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</si>
  <si>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</si>
  <si>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</si>
  <si>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</si>
  <si>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</si>
  <si>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</si>
  <si>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</si>
  <si>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</si>
  <si>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</si>
  <si>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</si>
  <si>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</si>
  <si>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</si>
  <si>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</si>
  <si>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</si>
  <si>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</si>
  <si>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</si>
  <si>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</si>
  <si>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</si>
  <si>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</si>
  <si>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</si>
  <si>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</si>
  <si>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</si>
  <si>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</si>
  <si>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</si>
  <si>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</si>
  <si>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</si>
  <si>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</si>
  <si>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</si>
  <si>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</si>
  <si>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</si>
  <si>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</si>
  <si>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</si>
  <si>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</si>
  <si>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</si>
  <si>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</si>
  <si>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</si>
  <si>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</si>
  <si>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</si>
  <si>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</si>
  <si>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</si>
  <si>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</si>
  <si>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</si>
  <si>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</si>
  <si>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</si>
  <si>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</si>
  <si>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</si>
  <si>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</si>
  <si>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</si>
  <si>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</si>
  <si>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</si>
  <si>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</si>
  <si>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</si>
  <si>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</si>
  <si>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</si>
  <si>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</si>
  <si>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</si>
  <si>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</si>
  <si>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</si>
  <si>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</si>
  <si>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</si>
  <si>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</si>
  <si>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</si>
  <si>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</si>
  <si>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</si>
  <si>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</si>
  <si>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</si>
  <si>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</si>
  <si>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</si>
  <si>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</si>
  <si>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</si>
  <si>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</si>
  <si>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</si>
  <si>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</si>
  <si>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</si>
  <si>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</si>
  <si>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</si>
  <si>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</si>
  <si>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</si>
  <si>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</si>
  <si>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</si>
  <si>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</si>
  <si>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</si>
  <si>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</si>
  <si>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</si>
  <si>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</si>
  <si>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</si>
  <si>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</si>
  <si>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</si>
  <si>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</si>
  <si>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</si>
  <si>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</si>
  <si>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</si>
  <si>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</si>
  <si>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</si>
  <si>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</si>
  <si>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</si>
  <si>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</si>
  <si>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</si>
  <si>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</si>
  <si>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</si>
  <si>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</si>
  <si>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</si>
  <si>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</si>
  <si>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</si>
  <si>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</si>
  <si>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</si>
  <si>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</si>
  <si>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</si>
  <si>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</si>
  <si>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</si>
  <si>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</si>
  <si>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</si>
  <si>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</si>
  <si>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</si>
  <si>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</si>
  <si>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</si>
  <si>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</si>
  <si>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</si>
  <si>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</si>
  <si>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</si>
  <si>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</si>
  <si>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</si>
  <si>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</si>
  <si>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</si>
  <si>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</si>
  <si>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</si>
  <si>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</si>
  <si>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</si>
  <si>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</si>
  <si>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</si>
  <si>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</si>
  <si>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</si>
  <si>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</si>
  <si>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</si>
  <si>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</si>
  <si>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</si>
  <si>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</si>
  <si>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</si>
  <si>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</si>
  <si>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</si>
  <si>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</si>
  <si>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</si>
  <si>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</si>
  <si>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</si>
  <si>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</si>
  <si>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</si>
  <si>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</si>
  <si>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</si>
  <si>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</si>
  <si>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</si>
  <si>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</si>
  <si>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</si>
  <si>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</si>
  <si>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</si>
  <si>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</si>
  <si>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</si>
  <si>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</si>
  <si>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</si>
  <si>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</si>
  <si>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</si>
  <si>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</si>
  <si>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</si>
  <si>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</si>
  <si>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</si>
  <si>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</si>
  <si>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</si>
  <si>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</si>
  <si>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</si>
  <si>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</si>
  <si>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</si>
  <si>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</si>
  <si>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</si>
  <si>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</si>
  <si>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</si>
  <si>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</si>
  <si>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</si>
  <si>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</si>
  <si>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</si>
  <si>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</si>
  <si>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</si>
  <si>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</si>
  <si>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</si>
  <si>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</si>
  <si>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</si>
  <si>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</si>
  <si>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</si>
  <si>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</si>
  <si>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</si>
  <si>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</si>
  <si>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</si>
  <si>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</si>
  <si>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</si>
  <si>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</si>
  <si>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</si>
  <si>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</si>
  <si>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</si>
  <si>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</si>
  <si>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</si>
  <si>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</si>
  <si>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</si>
  <si>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</si>
  <si>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</si>
  <si>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</si>
  <si>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</si>
  <si>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</si>
  <si>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</si>
  <si>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</si>
  <si>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</si>
  <si>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</si>
  <si>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</si>
  <si>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</si>
  <si>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</si>
  <si>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</si>
  <si>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</si>
  <si>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</si>
  <si>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</si>
  <si>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</si>
  <si>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</si>
  <si>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</si>
  <si>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</si>
  <si>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</si>
  <si>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</si>
  <si>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</si>
  <si>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</si>
  <si>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</si>
  <si>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</si>
  <si>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</si>
  <si>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</si>
  <si>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</si>
  <si>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</si>
  <si>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</si>
  <si>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</si>
  <si>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</si>
  <si>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</si>
  <si>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</si>
  <si>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</si>
  <si>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</si>
  <si>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</si>
  <si>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</si>
  <si>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</si>
  <si>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</si>
  <si>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</si>
  <si>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</si>
  <si>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</si>
  <si>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</si>
  <si>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</si>
  <si>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</si>
  <si>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</si>
  <si>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</si>
  <si>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</si>
  <si>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</si>
  <si>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</si>
  <si>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</si>
  <si>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</si>
  <si>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</si>
  <si>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</si>
  <si>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</si>
  <si>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</si>
  <si>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</si>
  <si>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</si>
  <si>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</si>
  <si>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</si>
  <si>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</si>
  <si>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</si>
  <si>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</si>
  <si>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</si>
  <si>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</si>
  <si>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</si>
  <si>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</si>
  <si>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</si>
  <si>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</si>
  <si>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</si>
  <si>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</si>
  <si>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</si>
  <si>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</si>
  <si>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</si>
  <si>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</si>
  <si>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</si>
  <si>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</si>
  <si>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</si>
  <si>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</si>
  <si>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</si>
  <si>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</si>
  <si>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</si>
  <si>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</si>
  <si>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</si>
  <si>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</si>
  <si>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</si>
  <si>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</si>
  <si>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</si>
  <si>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</si>
  <si>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</si>
  <si>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</si>
  <si>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</si>
  <si>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</si>
  <si>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</si>
  <si>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</si>
  <si>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</si>
  <si>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</si>
  <si>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</si>
  <si>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</si>
  <si>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</si>
  <si>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</si>
  <si>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</si>
  <si>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</si>
  <si>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</si>
  <si>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</si>
  <si>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</si>
  <si>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</si>
  <si>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</si>
  <si>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</si>
  <si>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</si>
  <si>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</si>
  <si>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</si>
  <si>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</si>
  <si>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</si>
  <si>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</si>
  <si>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</si>
  <si>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</si>
  <si>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</si>
  <si>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</si>
  <si>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</si>
  <si>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</si>
  <si>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</si>
  <si>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</si>
  <si>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</si>
  <si>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</si>
  <si>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</si>
  <si>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</si>
  <si>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</si>
  <si>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</si>
  <si>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</si>
  <si>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</si>
  <si>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</si>
  <si>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</si>
  <si>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</si>
  <si>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</si>
  <si>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</si>
  <si>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</si>
  <si>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</si>
  <si>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</si>
  <si>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</si>
  <si>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</si>
  <si>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</si>
  <si>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</si>
  <si>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</si>
  <si>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</si>
  <si>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</si>
  <si>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</si>
  <si>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</si>
  <si>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</si>
  <si>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</si>
  <si>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</si>
  <si>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</si>
  <si>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</si>
  <si>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</si>
  <si>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</si>
  <si>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</si>
  <si>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</si>
  <si>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</si>
  <si>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</si>
  <si>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</si>
  <si>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</si>
  <si>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</si>
  <si>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</si>
  <si>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</si>
  <si>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</si>
  <si>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</si>
  <si>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</si>
  <si>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</si>
  <si>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</si>
  <si>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</si>
  <si>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</si>
  <si>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</si>
  <si>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</si>
  <si>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</si>
  <si>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</si>
  <si>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</si>
  <si>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</si>
  <si>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</si>
  <si>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</si>
  <si>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</si>
  <si>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</si>
  <si>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</si>
  <si>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</si>
  <si>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</si>
  <si>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</si>
  <si>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</si>
  <si>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</si>
  <si>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</si>
  <si>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</si>
  <si>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</si>
  <si>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</si>
  <si>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</si>
  <si>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</si>
  <si>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</si>
  <si>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</si>
  <si>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</si>
  <si>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</si>
  <si>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</si>
  <si>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</si>
  <si>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</si>
  <si>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</si>
  <si>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</si>
  <si>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</si>
  <si>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</si>
  <si>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</si>
  <si>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</si>
  <si>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</si>
  <si>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</si>
  <si>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</si>
  <si>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</si>
  <si>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</si>
  <si>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</si>
  <si>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</si>
  <si>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</si>
  <si>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</si>
  <si>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</si>
  <si>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</si>
  <si>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</si>
  <si>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</si>
  <si>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</si>
  <si>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</si>
  <si>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</si>
  <si>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</si>
  <si>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</si>
  <si>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</si>
  <si>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</si>
  <si>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</si>
  <si>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</si>
  <si>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</si>
  <si>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</si>
  <si>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</si>
  <si>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</si>
  <si>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</si>
  <si>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</si>
  <si>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</si>
  <si>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</si>
  <si>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</si>
  <si>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</si>
  <si>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</si>
  <si>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</si>
  <si>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</si>
  <si>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</si>
  <si>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</si>
  <si>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</si>
  <si>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</si>
  <si>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</si>
  <si>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</si>
  <si>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</si>
  <si>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</si>
  <si>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</si>
  <si>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</si>
  <si>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</si>
  <si>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</si>
  <si>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</si>
  <si>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</si>
  <si>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</si>
  <si>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</si>
  <si>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</si>
  <si>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</si>
  <si>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</si>
  <si>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</si>
  <si>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</si>
  <si>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</si>
  <si>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</si>
  <si>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</si>
  <si>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</si>
  <si>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</si>
  <si>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</si>
  <si>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</si>
  <si>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</si>
  <si>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</si>
  <si>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</si>
  <si>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</si>
  <si>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</si>
  <si>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</si>
  <si>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</si>
  <si>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</si>
  <si>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</si>
  <si>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</si>
  <si>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</si>
  <si>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</si>
  <si>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</si>
  <si>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</si>
  <si>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</si>
  <si>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</si>
  <si>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</si>
  <si>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</si>
  <si>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</si>
  <si>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</si>
  <si>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</si>
  <si>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</si>
  <si>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</si>
  <si>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</si>
  <si>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</si>
  <si>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</si>
  <si>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</si>
  <si>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</si>
  <si>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</si>
  <si>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</si>
  <si>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</si>
  <si>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</si>
  <si>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</si>
  <si>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</si>
  <si>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</si>
  <si>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</si>
  <si>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</si>
  <si>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</si>
  <si>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</si>
  <si>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</si>
  <si>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</si>
  <si>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</si>
  <si>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</si>
  <si>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</si>
  <si>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</si>
  <si>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</si>
  <si>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</si>
  <si>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</si>
  <si>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</si>
  <si>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</si>
  <si>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</si>
  <si>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</si>
  <si>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</si>
  <si>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</si>
  <si>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</si>
  <si>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</si>
  <si>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</si>
  <si>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</si>
  <si>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</si>
  <si>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</si>
  <si>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</si>
  <si>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</si>
  <si>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</si>
  <si>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</si>
  <si>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</si>
  <si>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</si>
  <si>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</si>
  <si>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</si>
  <si>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</si>
  <si>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</si>
  <si>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</si>
  <si>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</si>
  <si>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</si>
  <si>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</si>
  <si>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</si>
  <si>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</si>
  <si>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</si>
  <si>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</si>
  <si>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</si>
  <si>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Wood River 460m DS STH 70 Second Crossing</t>
  </si>
  <si>
    <t>Wood River</t>
  </si>
  <si>
    <t>Burnett</t>
  </si>
  <si>
    <t>central mudminnow</t>
  </si>
  <si>
    <t>northern pike</t>
  </si>
  <si>
    <t>hornyhead chub</t>
  </si>
  <si>
    <t>common shiner</t>
  </si>
  <si>
    <t>bigmouth shiner</t>
  </si>
  <si>
    <t>spotfin shiner</t>
  </si>
  <si>
    <t>longnose dace</t>
  </si>
  <si>
    <t>creek chub</t>
  </si>
  <si>
    <t>northern pearl dace</t>
  </si>
  <si>
    <t>northern hog sucker</t>
  </si>
  <si>
    <t>silver redhorse</t>
  </si>
  <si>
    <t>shorthead redhorse</t>
  </si>
  <si>
    <t>burbot</t>
  </si>
  <si>
    <t>bluegill</t>
  </si>
  <si>
    <t>smallmouth bass</t>
  </si>
  <si>
    <t>largemouth bass</t>
  </si>
  <si>
    <t>lampreys (ammocoete)</t>
  </si>
  <si>
    <t>johnny darter</t>
  </si>
  <si>
    <t>blackside darter</t>
  </si>
  <si>
    <t>logperch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</si>
</sst>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R9" sqref="R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2" t="s">
        <v>931</v>
      </c>
      <c r="C4" s="165"/>
      <c r="D4" s="166"/>
      <c r="F4" s="2" t="s">
        <v>836</v>
      </c>
    </row>
    <row r="5" spans="1:20" x14ac:dyDescent="0.25">
      <c r="A5" s="1" t="s">
        <v>832</v>
      </c>
      <c r="B5" s="167">
        <v>42506</v>
      </c>
      <c r="C5" s="165"/>
      <c r="D5" s="166"/>
      <c r="F5" s="82"/>
      <c r="G5" s="28"/>
      <c r="H5" s="28"/>
      <c r="I5" s="28"/>
      <c r="J5" s="28"/>
      <c r="K5" s="28"/>
      <c r="L5" s="28"/>
      <c r="M5" s="28"/>
      <c r="N5" s="28"/>
      <c r="O5" s="28"/>
      <c r="P5" s="28"/>
      <c r="Q5" s="28"/>
      <c r="R5" s="28" t="s">
        <v>866</v>
      </c>
    </row>
    <row r="6" spans="1:20" x14ac:dyDescent="0.25">
      <c r="A6" s="1" t="s">
        <v>830</v>
      </c>
      <c r="B6" s="168">
        <v>41911</v>
      </c>
      <c r="C6" s="160"/>
      <c r="D6" s="161"/>
      <c r="F6" s="26"/>
      <c r="G6" s="28"/>
      <c r="H6" s="28"/>
      <c r="I6" s="28"/>
      <c r="J6" s="28"/>
      <c r="K6" s="28"/>
      <c r="L6" s="28"/>
      <c r="M6" s="28"/>
      <c r="N6" s="28"/>
      <c r="O6" s="28"/>
      <c r="P6" s="28"/>
      <c r="Q6" s="28"/>
      <c r="R6" s="28" t="s">
        <v>378</v>
      </c>
    </row>
    <row r="7" spans="1:20" s="28" customFormat="1" x14ac:dyDescent="0.25">
      <c r="A7" s="28" t="s">
        <v>869</v>
      </c>
      <c r="B7" s="159">
        <v>10042968</v>
      </c>
      <c r="C7" s="160"/>
      <c r="D7" s="161"/>
      <c r="F7" s="27"/>
    </row>
    <row r="8" spans="1:20" s="28" customFormat="1" x14ac:dyDescent="0.25">
      <c r="A8" s="28" t="s">
        <v>872</v>
      </c>
      <c r="B8" s="159" t="s">
        <v>932</v>
      </c>
      <c r="C8" s="160"/>
      <c r="D8" s="161"/>
      <c r="F8" s="27"/>
    </row>
    <row r="9" spans="1:20" x14ac:dyDescent="0.25">
      <c r="A9" s="1" t="s">
        <v>49</v>
      </c>
      <c r="B9" s="176" t="s">
        <v>870</v>
      </c>
      <c r="C9" s="176"/>
      <c r="D9" s="176"/>
    </row>
    <row r="10" spans="1:20" x14ac:dyDescent="0.25">
      <c r="B10" s="86"/>
      <c r="C10" s="86"/>
      <c r="D10" s="86"/>
    </row>
    <row r="11" spans="1:20" x14ac:dyDescent="0.25">
      <c r="A11" s="1" t="s">
        <v>34</v>
      </c>
      <c r="B11" s="159" t="s">
        <v>933</v>
      </c>
      <c r="C11" s="160"/>
      <c r="D11" s="161"/>
      <c r="F11" s="27"/>
      <c r="G11" s="27"/>
      <c r="H11" s="27"/>
      <c r="I11" s="27"/>
      <c r="J11" s="27"/>
      <c r="K11" s="27"/>
      <c r="L11" s="27"/>
      <c r="M11" s="27"/>
      <c r="N11" s="27"/>
      <c r="O11" s="27"/>
      <c r="P11" s="27"/>
      <c r="Q11" s="27"/>
      <c r="R11" s="27"/>
    </row>
    <row r="12" spans="1:20" x14ac:dyDescent="0.25">
      <c r="A12" s="1" t="s">
        <v>37</v>
      </c>
      <c r="B12" s="176" t="s">
        <v>934</v>
      </c>
      <c r="C12" s="176"/>
      <c r="D12" s="176"/>
    </row>
    <row r="13" spans="1:20" x14ac:dyDescent="0.25">
      <c r="A13" s="1" t="s">
        <v>35</v>
      </c>
      <c r="B13" s="176"/>
      <c r="C13" s="176"/>
      <c r="D13" s="176"/>
      <c r="F13" s="27"/>
      <c r="G13" s="27"/>
      <c r="H13" s="27"/>
      <c r="I13" s="27"/>
      <c r="J13" s="27"/>
      <c r="K13" s="27"/>
      <c r="L13" s="27"/>
      <c r="M13" s="27"/>
      <c r="N13" s="27"/>
      <c r="O13" s="27"/>
      <c r="P13" s="27"/>
      <c r="Q13" s="27"/>
      <c r="R13" s="27"/>
    </row>
    <row r="14" spans="1:20" x14ac:dyDescent="0.25">
      <c r="A14" s="1" t="s">
        <v>36</v>
      </c>
      <c r="B14" s="176">
        <v>2642900</v>
      </c>
      <c r="C14" s="176"/>
      <c r="D14" s="176"/>
      <c r="F14" s="27"/>
      <c r="G14" s="27"/>
      <c r="H14" s="27"/>
      <c r="I14" s="27"/>
      <c r="J14" s="27"/>
      <c r="K14" s="27"/>
      <c r="L14" s="27"/>
      <c r="M14" s="27"/>
      <c r="N14" s="27"/>
      <c r="O14" s="27"/>
      <c r="P14" s="27"/>
      <c r="Q14" s="27"/>
      <c r="R14" s="27"/>
    </row>
    <row r="15" spans="1:20" s="28" customFormat="1" x14ac:dyDescent="0.25">
      <c r="A15" s="28" t="s">
        <v>835</v>
      </c>
      <c r="B15" s="177" t="s">
        <v>545</v>
      </c>
      <c r="C15" s="165"/>
      <c r="D15" s="166"/>
      <c r="E15" s="11" t="s">
        <v>868</v>
      </c>
      <c r="F15" s="27"/>
    </row>
    <row r="16" spans="1:20" x14ac:dyDescent="0.25">
      <c r="B16" s="130"/>
      <c r="C16" s="130"/>
      <c r="D16" s="130"/>
      <c r="T16" s="37"/>
    </row>
    <row r="17" spans="1:25" x14ac:dyDescent="0.25">
      <c r="A17" s="1" t="s">
        <v>33</v>
      </c>
      <c r="B17" s="162" t="s">
        <v>58</v>
      </c>
      <c r="C17" s="163"/>
      <c r="D17" s="164"/>
      <c r="E17" s="11" t="s">
        <v>837</v>
      </c>
      <c r="F17" s="24"/>
      <c r="G17" s="24"/>
      <c r="S17" s="11"/>
    </row>
    <row r="18" spans="1:25" x14ac:dyDescent="0.25">
      <c r="G18" s="174" t="s">
        <v>59</v>
      </c>
      <c r="H18" s="175"/>
      <c r="I18" s="175"/>
      <c r="J18" s="175"/>
      <c r="K18" s="175"/>
      <c r="L18" s="175"/>
      <c r="M18" s="175"/>
      <c r="N18" s="175"/>
      <c r="O18" s="175"/>
      <c r="P18" s="175"/>
      <c r="Q18" s="175"/>
    </row>
    <row r="19" spans="1:25" x14ac:dyDescent="0.25">
      <c r="A19" s="2" t="s">
        <v>865</v>
      </c>
      <c r="C19" s="28"/>
      <c r="D19" s="28"/>
      <c r="E19" s="28"/>
      <c r="F19" s="28"/>
      <c r="G19" s="172" t="s">
        <v>377</v>
      </c>
      <c r="H19" s="169" t="s">
        <v>5</v>
      </c>
      <c r="I19" s="170"/>
      <c r="J19" s="171"/>
      <c r="K19" s="169" t="s">
        <v>64</v>
      </c>
      <c r="L19" s="170"/>
      <c r="M19" s="170"/>
      <c r="N19" s="171"/>
      <c r="O19" s="169" t="s">
        <v>1</v>
      </c>
      <c r="P19" s="170"/>
      <c r="Q19" s="171"/>
      <c r="R19" s="28"/>
    </row>
    <row r="20" spans="1:25" ht="45" x14ac:dyDescent="0.25">
      <c r="A20" s="5" t="s">
        <v>50</v>
      </c>
      <c r="B20" s="4" t="s">
        <v>4</v>
      </c>
      <c r="C20" s="5" t="s">
        <v>2</v>
      </c>
      <c r="D20" s="5" t="s">
        <v>3</v>
      </c>
      <c r="E20" s="5" t="s">
        <v>44</v>
      </c>
      <c r="F20" s="30" t="s">
        <v>376</v>
      </c>
      <c r="G20" s="17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8</v>
      </c>
      <c r="C21" s="26" t="str">
        <f>IFERROR(VLOOKUP($A21,'Species guilds'!$A$3:$F$301,3,FALSE),0)</f>
        <v>T</v>
      </c>
      <c r="D21" s="26" t="str">
        <f>IFERROR(VLOOKUP($A21,'Species guilds'!$A$3:$F$301,4,FALSE),0)</f>
        <v>S</v>
      </c>
      <c r="E21" s="26" t="str">
        <f>IFERROR(VLOOKUP($A21,'Species guilds'!$A$3:$F$301,5,FALSE),0)</f>
        <v>T</v>
      </c>
      <c r="F21" s="26">
        <f t="shared" ref="F21:F53" si="0">IF(AND(M21&gt;0,B21&gt;0)=FALSE,B21,0)</f>
        <v>8</v>
      </c>
      <c r="G21" s="26">
        <f>IF(D21="Lake",0,1)</f>
        <v>1</v>
      </c>
      <c r="H21" s="26">
        <f>IF($C21=H$20,$B21*G21,0)</f>
        <v>0</v>
      </c>
      <c r="I21" s="26">
        <f>IF($C21=I$20,$B21*G21,0)</f>
        <v>8</v>
      </c>
      <c r="J21" s="26">
        <f>IF($C21=J$20,$B21*G21,0)</f>
        <v>0</v>
      </c>
      <c r="K21" s="26">
        <f>IF($D21=K$20,$B21*G21,0)</f>
        <v>8</v>
      </c>
      <c r="L21" s="26">
        <f>IF($D21=L$20,$B21*G21,0)</f>
        <v>0</v>
      </c>
      <c r="M21" s="26">
        <f>IF($D21=M$20,$B21,0)</f>
        <v>0</v>
      </c>
      <c r="N21" s="26">
        <f>IF($D21=N$20,$B21*G21,0)</f>
        <v>0</v>
      </c>
      <c r="O21" s="26">
        <f>IF($E21=O$20,$B21*G21,0)</f>
        <v>0</v>
      </c>
      <c r="P21" s="26">
        <f>IF($E21=P$20,$B21*G21,0)</f>
        <v>0</v>
      </c>
      <c r="Q21" s="26">
        <f>IF($E21=Q$20,$B21*G21,0)</f>
        <v>8</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3</v>
      </c>
      <c r="C22" s="26" t="str">
        <f>IFERROR(VLOOKUP($A22,'Species guilds'!$A$3:$F$301,3,FALSE),0)</f>
        <v>T</v>
      </c>
      <c r="D22" s="26" t="str">
        <f>IFERROR(VLOOKUP($A22,'Species guilds'!$A$3:$F$301,4,FALSE),0)</f>
        <v>S</v>
      </c>
      <c r="E22" s="26" t="str">
        <f>IFERROR(VLOOKUP($A22,'Species guilds'!$A$3:$F$301,5,FALSE),0)</f>
        <v>IM</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3</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9</v>
      </c>
      <c r="C23" s="26" t="str">
        <f>IFERROR(VLOOKUP($A23,'Species guilds'!$A$3:$F$301,3,FALSE),0)</f>
        <v>W</v>
      </c>
      <c r="D23" s="26" t="str">
        <f>IFERROR(VLOOKUP($A23,'Species guilds'!$A$3:$F$301,4,FALSE),0)</f>
        <v>M</v>
      </c>
      <c r="E23" s="26" t="str">
        <f>IFERROR(VLOOKUP($A23,'Species guilds'!$A$3:$F$301,5,FALSE),0)</f>
        <v>IM</v>
      </c>
      <c r="F23" s="26">
        <f t="shared" si="0"/>
        <v>9</v>
      </c>
      <c r="G23" s="26">
        <f t="shared" si="1"/>
        <v>1</v>
      </c>
      <c r="H23" s="26">
        <f t="shared" si="2"/>
        <v>0</v>
      </c>
      <c r="I23" s="26">
        <f t="shared" si="3"/>
        <v>0</v>
      </c>
      <c r="J23" s="26">
        <f t="shared" si="4"/>
        <v>9</v>
      </c>
      <c r="K23" s="26">
        <f t="shared" si="5"/>
        <v>0</v>
      </c>
      <c r="L23" s="26">
        <f t="shared" si="6"/>
        <v>9</v>
      </c>
      <c r="M23" s="26">
        <f t="shared" si="7"/>
        <v>0</v>
      </c>
      <c r="N23" s="26">
        <f t="shared" si="8"/>
        <v>0</v>
      </c>
      <c r="O23" s="26">
        <f t="shared" si="9"/>
        <v>0</v>
      </c>
      <c r="P23" s="26">
        <f t="shared" si="10"/>
        <v>9</v>
      </c>
      <c r="Q23" s="26">
        <f t="shared" si="11"/>
        <v>0</v>
      </c>
      <c r="R23" s="79" t="str">
        <f t="shared" si="12"/>
        <v/>
      </c>
      <c r="T23" s="43"/>
      <c r="U23" s="43"/>
      <c r="V23" s="43"/>
      <c r="W23" s="43"/>
      <c r="X23" s="43"/>
      <c r="Y23" s="43"/>
    </row>
    <row r="24" spans="1:25" x14ac:dyDescent="0.25">
      <c r="A24" s="157" t="s">
        <v>938</v>
      </c>
      <c r="B24" s="158">
        <v>8</v>
      </c>
      <c r="C24" s="26" t="str">
        <f>IFERROR(VLOOKUP($A24,'Species guilds'!$A$3:$F$301,3,FALSE),0)</f>
        <v>W</v>
      </c>
      <c r="D24" s="26" t="str">
        <f>IFERROR(VLOOKUP($A24,'Species guilds'!$A$3:$F$301,4,FALSE),0)</f>
        <v>M</v>
      </c>
      <c r="E24" s="26" t="str">
        <f>IFERROR(VLOOKUP($A24,'Species guilds'!$A$3:$F$301,5,FALSE),0)</f>
        <v>IM</v>
      </c>
      <c r="F24" s="26">
        <f t="shared" si="0"/>
        <v>8</v>
      </c>
      <c r="G24" s="26">
        <f t="shared" si="1"/>
        <v>1</v>
      </c>
      <c r="H24" s="26">
        <f t="shared" si="2"/>
        <v>0</v>
      </c>
      <c r="I24" s="26">
        <f t="shared" si="3"/>
        <v>0</v>
      </c>
      <c r="J24" s="26">
        <f t="shared" si="4"/>
        <v>8</v>
      </c>
      <c r="K24" s="26">
        <f t="shared" si="5"/>
        <v>0</v>
      </c>
      <c r="L24" s="26">
        <f t="shared" si="6"/>
        <v>8</v>
      </c>
      <c r="M24" s="26">
        <f t="shared" si="7"/>
        <v>0</v>
      </c>
      <c r="N24" s="26">
        <f t="shared" si="8"/>
        <v>0</v>
      </c>
      <c r="O24" s="26">
        <f t="shared" si="9"/>
        <v>0</v>
      </c>
      <c r="P24" s="26">
        <f t="shared" si="10"/>
        <v>8</v>
      </c>
      <c r="Q24" s="26">
        <f t="shared" si="11"/>
        <v>0</v>
      </c>
      <c r="R24" s="79" t="str">
        <f t="shared" si="12"/>
        <v/>
      </c>
      <c r="T24" s="43"/>
      <c r="U24" s="43"/>
      <c r="V24" s="43"/>
      <c r="W24" s="43"/>
      <c r="X24" s="43"/>
      <c r="Y24" s="43"/>
    </row>
    <row r="25" spans="1:25" x14ac:dyDescent="0.25">
      <c r="A25" s="157" t="s">
        <v>939</v>
      </c>
      <c r="B25" s="158">
        <v>3</v>
      </c>
      <c r="C25" s="26" t="str">
        <f>IFERROR(VLOOKUP($A25,'Species guilds'!$A$3:$F$301,3,FALSE),0)</f>
        <v>W</v>
      </c>
      <c r="D25" s="26" t="str">
        <f>IFERROR(VLOOKUP($A25,'Species guilds'!$A$3:$F$301,4,FALSE),0)</f>
        <v>M</v>
      </c>
      <c r="E25" s="26" t="str">
        <f>IFERROR(VLOOKUP($A25,'Species guilds'!$A$3:$F$301,5,FALSE),0)</f>
        <v>IM</v>
      </c>
      <c r="F25" s="26">
        <f t="shared" si="0"/>
        <v>3</v>
      </c>
      <c r="G25" s="26">
        <f t="shared" si="1"/>
        <v>1</v>
      </c>
      <c r="H25" s="26">
        <f t="shared" si="2"/>
        <v>0</v>
      </c>
      <c r="I25" s="26">
        <f t="shared" si="3"/>
        <v>0</v>
      </c>
      <c r="J25" s="26">
        <f t="shared" si="4"/>
        <v>3</v>
      </c>
      <c r="K25" s="26">
        <f t="shared" si="5"/>
        <v>0</v>
      </c>
      <c r="L25" s="26">
        <f t="shared" si="6"/>
        <v>3</v>
      </c>
      <c r="M25" s="26">
        <f t="shared" si="7"/>
        <v>0</v>
      </c>
      <c r="N25" s="26">
        <f t="shared" si="8"/>
        <v>0</v>
      </c>
      <c r="O25" s="26">
        <f t="shared" si="9"/>
        <v>0</v>
      </c>
      <c r="P25" s="26">
        <f t="shared" si="10"/>
        <v>3</v>
      </c>
      <c r="Q25" s="26">
        <f t="shared" si="11"/>
        <v>0</v>
      </c>
      <c r="R25" s="79" t="str">
        <f t="shared" si="12"/>
        <v/>
      </c>
      <c r="T25" s="43"/>
      <c r="U25" s="43"/>
      <c r="V25" s="43"/>
      <c r="W25" s="43"/>
      <c r="X25" s="43"/>
      <c r="Y25" s="43"/>
    </row>
    <row r="26" spans="1:25" x14ac:dyDescent="0.25">
      <c r="A26" s="156" t="s">
        <v>940</v>
      </c>
      <c r="B26" s="156">
        <v>2</v>
      </c>
      <c r="C26" s="26" t="str">
        <f>IFERROR(VLOOKUP($A26,'Species guilds'!$A$3:$F$301,3,FALSE),0)</f>
        <v>W</v>
      </c>
      <c r="D26" s="26" t="str">
        <f>IFERROR(VLOOKUP($A26,'Species guilds'!$A$3:$F$301,4,FALSE),0)</f>
        <v>L</v>
      </c>
      <c r="E26" s="26" t="str">
        <f>IFERROR(VLOOKUP($A26,'Species guilds'!$A$3:$F$301,5,FALSE),0)</f>
        <v>IM</v>
      </c>
      <c r="F26" s="26">
        <f t="shared" si="0"/>
        <v>2</v>
      </c>
      <c r="G26" s="26">
        <f t="shared" si="1"/>
        <v>1</v>
      </c>
      <c r="H26" s="26">
        <f t="shared" si="2"/>
        <v>0</v>
      </c>
      <c r="I26" s="26">
        <f t="shared" si="3"/>
        <v>0</v>
      </c>
      <c r="J26" s="26">
        <f t="shared" si="4"/>
        <v>2</v>
      </c>
      <c r="K26" s="26">
        <f t="shared" si="5"/>
        <v>0</v>
      </c>
      <c r="L26" s="26">
        <f t="shared" si="6"/>
        <v>0</v>
      </c>
      <c r="M26" s="26">
        <f t="shared" si="7"/>
        <v>0</v>
      </c>
      <c r="N26" s="26">
        <f t="shared" si="8"/>
        <v>2</v>
      </c>
      <c r="O26" s="26">
        <f t="shared" si="9"/>
        <v>0</v>
      </c>
      <c r="P26" s="26">
        <f t="shared" si="10"/>
        <v>2</v>
      </c>
      <c r="Q26" s="26">
        <f t="shared" si="11"/>
        <v>0</v>
      </c>
      <c r="R26" s="79" t="str">
        <f t="shared" si="12"/>
        <v/>
      </c>
      <c r="T26" s="43"/>
      <c r="U26" s="43"/>
      <c r="V26" s="43"/>
      <c r="W26" s="43"/>
      <c r="X26" s="43"/>
      <c r="Y26" s="43"/>
    </row>
    <row r="27" spans="1:25" x14ac:dyDescent="0.25">
      <c r="A27" s="156" t="s">
        <v>941</v>
      </c>
      <c r="B27" s="156">
        <v>1</v>
      </c>
      <c r="C27" s="26" t="str">
        <f>IFERROR(VLOOKUP($A27,'Species guilds'!$A$3:$F$301,3,FALSE),0)</f>
        <v>T</v>
      </c>
      <c r="D27" s="26" t="str">
        <f>IFERROR(VLOOKUP($A27,'Species guilds'!$A$3:$F$301,4,FALSE),0)</f>
        <v>M</v>
      </c>
      <c r="E27" s="26" t="str">
        <f>IFERROR(VLOOKUP($A27,'Species guilds'!$A$3:$F$301,5,FALSE),0)</f>
        <v>IM</v>
      </c>
      <c r="F27" s="26">
        <f t="shared" si="0"/>
        <v>1</v>
      </c>
      <c r="G27" s="26">
        <f t="shared" si="1"/>
        <v>1</v>
      </c>
      <c r="H27" s="26">
        <f t="shared" si="2"/>
        <v>0</v>
      </c>
      <c r="I27" s="26">
        <f t="shared" si="3"/>
        <v>1</v>
      </c>
      <c r="J27" s="26">
        <f t="shared" si="4"/>
        <v>0</v>
      </c>
      <c r="K27" s="26">
        <f t="shared" si="5"/>
        <v>0</v>
      </c>
      <c r="L27" s="26">
        <f t="shared" si="6"/>
        <v>1</v>
      </c>
      <c r="M27" s="26">
        <f t="shared" si="7"/>
        <v>0</v>
      </c>
      <c r="N27" s="26">
        <f t="shared" si="8"/>
        <v>0</v>
      </c>
      <c r="O27" s="26">
        <f t="shared" si="9"/>
        <v>0</v>
      </c>
      <c r="P27" s="26">
        <f t="shared" si="10"/>
        <v>1</v>
      </c>
      <c r="Q27" s="26">
        <f t="shared" si="11"/>
        <v>0</v>
      </c>
      <c r="R27" s="79" t="str">
        <f t="shared" si="12"/>
        <v/>
      </c>
      <c r="T27" s="43"/>
      <c r="U27" s="43"/>
      <c r="V27" s="43"/>
      <c r="W27" s="43"/>
      <c r="X27" s="43"/>
      <c r="Y27" s="43"/>
    </row>
    <row r="28" spans="1:25" x14ac:dyDescent="0.25">
      <c r="A28" s="156" t="s">
        <v>942</v>
      </c>
      <c r="B28" s="156">
        <v>1</v>
      </c>
      <c r="C28" s="26" t="str">
        <f>IFERROR(VLOOKUP($A28,'Species guilds'!$A$3:$F$301,3,FALSE),0)</f>
        <v>T</v>
      </c>
      <c r="D28" s="26" t="str">
        <f>IFERROR(VLOOKUP($A28,'Species guilds'!$A$3:$F$301,4,FALSE),0)</f>
        <v>S</v>
      </c>
      <c r="E28" s="26" t="str">
        <f>IFERROR(VLOOKUP($A28,'Species guilds'!$A$3:$F$301,5,FALSE),0)</f>
        <v>T</v>
      </c>
      <c r="F28" s="26">
        <f t="shared" si="0"/>
        <v>1</v>
      </c>
      <c r="G28" s="26">
        <f t="shared" si="1"/>
        <v>1</v>
      </c>
      <c r="H28" s="26">
        <f t="shared" si="2"/>
        <v>0</v>
      </c>
      <c r="I28" s="26">
        <f t="shared" si="3"/>
        <v>1</v>
      </c>
      <c r="J28" s="26">
        <f t="shared" si="4"/>
        <v>0</v>
      </c>
      <c r="K28" s="26">
        <f t="shared" si="5"/>
        <v>1</v>
      </c>
      <c r="L28" s="26">
        <f t="shared" si="6"/>
        <v>0</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156" t="s">
        <v>943</v>
      </c>
      <c r="B29" s="156">
        <v>2</v>
      </c>
      <c r="C29" s="26" t="str">
        <f>IFERROR(VLOOKUP($A29,'Species guilds'!$A$3:$F$301,3,FALSE),0)</f>
        <v>T</v>
      </c>
      <c r="D29" s="26" t="str">
        <f>IFERROR(VLOOKUP($A29,'Species guilds'!$A$3:$F$301,4,FALSE),0)</f>
        <v>S</v>
      </c>
      <c r="E29" s="26" t="str">
        <f>IFERROR(VLOOKUP($A29,'Species guilds'!$A$3:$F$301,5,FALSE),0)</f>
        <v>IM</v>
      </c>
      <c r="F29" s="26">
        <f t="shared" si="0"/>
        <v>2</v>
      </c>
      <c r="G29" s="26">
        <f t="shared" si="1"/>
        <v>1</v>
      </c>
      <c r="H29" s="26">
        <f t="shared" si="2"/>
        <v>0</v>
      </c>
      <c r="I29" s="26">
        <f t="shared" si="3"/>
        <v>2</v>
      </c>
      <c r="J29" s="26">
        <f t="shared" si="4"/>
        <v>0</v>
      </c>
      <c r="K29" s="26">
        <f t="shared" si="5"/>
        <v>2</v>
      </c>
      <c r="L29" s="26">
        <f t="shared" si="6"/>
        <v>0</v>
      </c>
      <c r="M29" s="26">
        <f t="shared" si="7"/>
        <v>0</v>
      </c>
      <c r="N29" s="26">
        <f t="shared" si="8"/>
        <v>0</v>
      </c>
      <c r="O29" s="26">
        <f t="shared" si="9"/>
        <v>0</v>
      </c>
      <c r="P29" s="26">
        <f t="shared" si="10"/>
        <v>2</v>
      </c>
      <c r="Q29" s="26">
        <f t="shared" si="11"/>
        <v>0</v>
      </c>
      <c r="R29" s="79" t="str">
        <f t="shared" si="12"/>
        <v/>
      </c>
      <c r="T29" s="45"/>
      <c r="U29" s="45"/>
      <c r="V29" s="45"/>
      <c r="W29" s="45"/>
      <c r="X29" s="45"/>
      <c r="Y29" s="43"/>
    </row>
    <row r="30" spans="1:25" x14ac:dyDescent="0.25">
      <c r="A30" s="156" t="s">
        <v>944</v>
      </c>
      <c r="B30" s="156">
        <v>2</v>
      </c>
      <c r="C30" s="26" t="str">
        <f>IFERROR(VLOOKUP($A30,'Species guilds'!$A$3:$F$301,3,FALSE),0)</f>
        <v>T</v>
      </c>
      <c r="D30" s="26" t="str">
        <f>IFERROR(VLOOKUP($A30,'Species guilds'!$A$3:$F$301,4,FALSE),0)</f>
        <v>M</v>
      </c>
      <c r="E30" s="26" t="str">
        <f>IFERROR(VLOOKUP($A30,'Species guilds'!$A$3:$F$301,5,FALSE),0)</f>
        <v>IT</v>
      </c>
      <c r="F30" s="26">
        <f t="shared" si="0"/>
        <v>2</v>
      </c>
      <c r="G30" s="26">
        <f t="shared" si="1"/>
        <v>1</v>
      </c>
      <c r="H30" s="26">
        <f t="shared" si="2"/>
        <v>0</v>
      </c>
      <c r="I30" s="26">
        <f t="shared" si="3"/>
        <v>2</v>
      </c>
      <c r="J30" s="26">
        <f t="shared" si="4"/>
        <v>0</v>
      </c>
      <c r="K30" s="26">
        <f t="shared" si="5"/>
        <v>0</v>
      </c>
      <c r="L30" s="26">
        <f t="shared" si="6"/>
        <v>2</v>
      </c>
      <c r="M30" s="26">
        <f t="shared" si="7"/>
        <v>0</v>
      </c>
      <c r="N30" s="26">
        <f t="shared" si="8"/>
        <v>0</v>
      </c>
      <c r="O30" s="26">
        <f t="shared" si="9"/>
        <v>2</v>
      </c>
      <c r="P30" s="26">
        <f t="shared" si="10"/>
        <v>0</v>
      </c>
      <c r="Q30" s="26">
        <f t="shared" si="11"/>
        <v>0</v>
      </c>
      <c r="R30" s="79" t="str">
        <f t="shared" si="12"/>
        <v/>
      </c>
      <c r="T30" s="45"/>
      <c r="U30" s="45"/>
      <c r="V30" s="45"/>
      <c r="W30" s="45"/>
      <c r="X30" s="45"/>
      <c r="Y30" s="43"/>
    </row>
    <row r="31" spans="1:25" x14ac:dyDescent="0.25">
      <c r="A31" s="156" t="s">
        <v>945</v>
      </c>
      <c r="B31" s="156">
        <v>1</v>
      </c>
      <c r="C31" s="26" t="str">
        <f>IFERROR(VLOOKUP($A31,'Species guilds'!$A$3:$F$301,3,FALSE),0)</f>
        <v>W</v>
      </c>
      <c r="D31" s="26" t="str">
        <f>IFERROR(VLOOKUP($A31,'Species guilds'!$A$3:$F$301,4,FALSE),0)</f>
        <v>L</v>
      </c>
      <c r="E31" s="26" t="str">
        <f>IFERROR(VLOOKUP($A31,'Species guilds'!$A$3:$F$301,5,FALSE),0)</f>
        <v>IM</v>
      </c>
      <c r="F31" s="26">
        <f t="shared" si="0"/>
        <v>1</v>
      </c>
      <c r="G31" s="26">
        <f t="shared" si="1"/>
        <v>1</v>
      </c>
      <c r="H31" s="26">
        <f t="shared" si="2"/>
        <v>0</v>
      </c>
      <c r="I31" s="26">
        <f t="shared" si="3"/>
        <v>0</v>
      </c>
      <c r="J31" s="26">
        <f t="shared" si="4"/>
        <v>1</v>
      </c>
      <c r="K31" s="26">
        <f t="shared" si="5"/>
        <v>0</v>
      </c>
      <c r="L31" s="26">
        <f t="shared" si="6"/>
        <v>0</v>
      </c>
      <c r="M31" s="26">
        <f t="shared" si="7"/>
        <v>0</v>
      </c>
      <c r="N31" s="26">
        <f t="shared" si="8"/>
        <v>1</v>
      </c>
      <c r="O31" s="26">
        <f t="shared" si="9"/>
        <v>0</v>
      </c>
      <c r="P31" s="26">
        <f t="shared" si="10"/>
        <v>1</v>
      </c>
      <c r="Q31" s="26">
        <f t="shared" si="11"/>
        <v>0</v>
      </c>
      <c r="R31" s="79" t="str">
        <f t="shared" si="12"/>
        <v/>
      </c>
      <c r="T31" s="45"/>
      <c r="U31" s="45"/>
      <c r="V31" s="45"/>
      <c r="W31" s="45"/>
      <c r="X31" s="45"/>
      <c r="Y31" s="43"/>
    </row>
    <row r="32" spans="1:25" x14ac:dyDescent="0.25">
      <c r="A32" s="156" t="s">
        <v>946</v>
      </c>
      <c r="B32" s="156">
        <v>3</v>
      </c>
      <c r="C32" s="26" t="str">
        <f>IFERROR(VLOOKUP($A32,'Species guilds'!$A$3:$F$301,3,FALSE),0)</f>
        <v>W</v>
      </c>
      <c r="D32" s="26" t="str">
        <f>IFERROR(VLOOKUP($A32,'Species guilds'!$A$3:$F$301,4,FALSE),0)</f>
        <v>L</v>
      </c>
      <c r="E32" s="26" t="str">
        <f>IFERROR(VLOOKUP($A32,'Species guilds'!$A$3:$F$301,5,FALSE),0)</f>
        <v>IM</v>
      </c>
      <c r="F32" s="26">
        <f t="shared" si="0"/>
        <v>3</v>
      </c>
      <c r="G32" s="26">
        <f t="shared" si="1"/>
        <v>1</v>
      </c>
      <c r="H32" s="26">
        <f t="shared" si="2"/>
        <v>0</v>
      </c>
      <c r="I32" s="26">
        <f t="shared" si="3"/>
        <v>0</v>
      </c>
      <c r="J32" s="26">
        <f t="shared" si="4"/>
        <v>3</v>
      </c>
      <c r="K32" s="26">
        <f t="shared" si="5"/>
        <v>0</v>
      </c>
      <c r="L32" s="26">
        <f t="shared" si="6"/>
        <v>0</v>
      </c>
      <c r="M32" s="26">
        <f t="shared" si="7"/>
        <v>0</v>
      </c>
      <c r="N32" s="26">
        <f t="shared" si="8"/>
        <v>3</v>
      </c>
      <c r="O32" s="26">
        <f t="shared" si="9"/>
        <v>0</v>
      </c>
      <c r="P32" s="26">
        <f t="shared" si="10"/>
        <v>3</v>
      </c>
      <c r="Q32" s="26">
        <f t="shared" si="11"/>
        <v>0</v>
      </c>
      <c r="R32" s="79" t="str">
        <f t="shared" si="12"/>
        <v/>
      </c>
      <c r="T32" s="43"/>
      <c r="U32" s="46"/>
      <c r="V32" s="46"/>
      <c r="W32" s="46"/>
      <c r="X32" s="45"/>
      <c r="Y32" s="43"/>
    </row>
    <row r="33" spans="1:25" x14ac:dyDescent="0.25">
      <c r="A33" s="156" t="s">
        <v>947</v>
      </c>
      <c r="B33" s="156">
        <v>1</v>
      </c>
      <c r="C33" s="26" t="str">
        <f>IFERROR(VLOOKUP($A33,'Species guilds'!$A$3:$F$301,3,FALSE),0)</f>
        <v>T</v>
      </c>
      <c r="D33" s="26" t="str">
        <f>IFERROR(VLOOKUP($A33,'Species guilds'!$A$3:$F$301,4,FALSE),0)</f>
        <v>L</v>
      </c>
      <c r="E33" s="26" t="str">
        <f>IFERROR(VLOOKUP($A33,'Species guilds'!$A$3:$F$301,5,FALSE),0)</f>
        <v>IM</v>
      </c>
      <c r="F33" s="26">
        <f t="shared" si="0"/>
        <v>1</v>
      </c>
      <c r="G33" s="26">
        <f t="shared" si="1"/>
        <v>1</v>
      </c>
      <c r="H33" s="26">
        <f t="shared" si="2"/>
        <v>0</v>
      </c>
      <c r="I33" s="26">
        <f t="shared" si="3"/>
        <v>1</v>
      </c>
      <c r="J33" s="26">
        <f t="shared" si="4"/>
        <v>0</v>
      </c>
      <c r="K33" s="26">
        <f t="shared" si="5"/>
        <v>0</v>
      </c>
      <c r="L33" s="26">
        <f t="shared" si="6"/>
        <v>0</v>
      </c>
      <c r="M33" s="26">
        <f t="shared" si="7"/>
        <v>0</v>
      </c>
      <c r="N33" s="26">
        <f t="shared" si="8"/>
        <v>1</v>
      </c>
      <c r="O33" s="26">
        <f t="shared" si="9"/>
        <v>0</v>
      </c>
      <c r="P33" s="26">
        <f t="shared" si="10"/>
        <v>1</v>
      </c>
      <c r="Q33" s="26">
        <f t="shared" si="11"/>
        <v>0</v>
      </c>
      <c r="R33" s="79" t="str">
        <f t="shared" si="12"/>
        <v/>
      </c>
      <c r="T33" s="43"/>
      <c r="U33" s="46"/>
      <c r="V33" s="46"/>
      <c r="W33" s="46"/>
      <c r="X33" s="45"/>
      <c r="Y33" s="43"/>
    </row>
    <row r="34" spans="1:25" x14ac:dyDescent="0.25">
      <c r="A34" s="156" t="s">
        <v>948</v>
      </c>
      <c r="B34" s="156">
        <v>1</v>
      </c>
      <c r="C34" s="26" t="str">
        <f>IFERROR(VLOOKUP($A34,'Species guilds'!$A$3:$F$301,3,FALSE),0)</f>
        <v>W</v>
      </c>
      <c r="D34" s="26" t="str">
        <f>IFERROR(VLOOKUP($A34,'Species guilds'!$A$3:$F$301,4,FALSE),0)</f>
        <v>L</v>
      </c>
      <c r="E34" s="26" t="str">
        <f>IFERROR(VLOOKUP($A34,'Species guilds'!$A$3:$F$301,5,FALSE),0)</f>
        <v>IM</v>
      </c>
      <c r="F34" s="26">
        <f t="shared" si="0"/>
        <v>1</v>
      </c>
      <c r="G34" s="26">
        <f t="shared" si="1"/>
        <v>1</v>
      </c>
      <c r="H34" s="26">
        <f t="shared" si="2"/>
        <v>0</v>
      </c>
      <c r="I34" s="26">
        <f t="shared" si="3"/>
        <v>0</v>
      </c>
      <c r="J34" s="26">
        <f t="shared" si="4"/>
        <v>1</v>
      </c>
      <c r="K34" s="26">
        <f t="shared" si="5"/>
        <v>0</v>
      </c>
      <c r="L34" s="26">
        <f t="shared" si="6"/>
        <v>0</v>
      </c>
      <c r="M34" s="26">
        <f t="shared" si="7"/>
        <v>0</v>
      </c>
      <c r="N34" s="26">
        <f t="shared" si="8"/>
        <v>1</v>
      </c>
      <c r="O34" s="26">
        <f t="shared" si="9"/>
        <v>0</v>
      </c>
      <c r="P34" s="26">
        <f t="shared" si="10"/>
        <v>1</v>
      </c>
      <c r="Q34" s="26">
        <f t="shared" si="11"/>
        <v>0</v>
      </c>
      <c r="R34" s="79" t="str">
        <f t="shared" si="12"/>
        <v/>
      </c>
      <c r="T34" s="43"/>
      <c r="U34" s="46"/>
      <c r="V34" s="46"/>
      <c r="W34" s="46"/>
      <c r="X34" s="45"/>
      <c r="Y34" s="43"/>
    </row>
    <row r="35" spans="1:25" x14ac:dyDescent="0.25">
      <c r="A35" s="156" t="s">
        <v>949</v>
      </c>
      <c r="B35" s="156">
        <v>1</v>
      </c>
      <c r="C35" s="26" t="str">
        <f>IFERROR(VLOOKUP($A35,'Species guilds'!$A$3:$F$301,3,FALSE),0)</f>
        <v>W</v>
      </c>
      <c r="D35" s="26" t="str">
        <f>IFERROR(VLOOKUP($A35,'Species guilds'!$A$3:$F$301,4,FALSE),0)</f>
        <v>L</v>
      </c>
      <c r="E35" s="26" t="str">
        <f>IFERROR(VLOOKUP($A35,'Species guilds'!$A$3:$F$301,5,FALSE),0)</f>
        <v>IT</v>
      </c>
      <c r="F35" s="26">
        <f t="shared" si="0"/>
        <v>1</v>
      </c>
      <c r="G35" s="26">
        <f t="shared" si="1"/>
        <v>1</v>
      </c>
      <c r="H35" s="26">
        <f t="shared" si="2"/>
        <v>0</v>
      </c>
      <c r="I35" s="26">
        <f t="shared" si="3"/>
        <v>0</v>
      </c>
      <c r="J35" s="26">
        <f t="shared" si="4"/>
        <v>1</v>
      </c>
      <c r="K35" s="26">
        <f t="shared" si="5"/>
        <v>0</v>
      </c>
      <c r="L35" s="26">
        <f t="shared" si="6"/>
        <v>0</v>
      </c>
      <c r="M35" s="26">
        <f t="shared" si="7"/>
        <v>0</v>
      </c>
      <c r="N35" s="26">
        <f t="shared" si="8"/>
        <v>1</v>
      </c>
      <c r="O35" s="26">
        <f t="shared" si="9"/>
        <v>1</v>
      </c>
      <c r="P35" s="26">
        <f t="shared" si="10"/>
        <v>0</v>
      </c>
      <c r="Q35" s="26">
        <f t="shared" si="11"/>
        <v>0</v>
      </c>
      <c r="R35" s="79" t="str">
        <f t="shared" si="12"/>
        <v/>
      </c>
      <c r="T35" s="43"/>
      <c r="U35" s="43"/>
      <c r="V35" s="43"/>
      <c r="W35" s="43"/>
      <c r="X35" s="43"/>
      <c r="Y35" s="43"/>
    </row>
    <row r="36" spans="1:25" x14ac:dyDescent="0.25">
      <c r="A36" s="156" t="s">
        <v>950</v>
      </c>
      <c r="B36" s="156">
        <v>3</v>
      </c>
      <c r="C36" s="26" t="str">
        <f>IFERROR(VLOOKUP($A36,'Species guilds'!$A$3:$F$301,3,FALSE),0)</f>
        <v>W</v>
      </c>
      <c r="D36" s="26" t="str">
        <f>IFERROR(VLOOKUP($A36,'Species guilds'!$A$3:$F$301,4,FALSE),0)</f>
        <v>L</v>
      </c>
      <c r="E36" s="26" t="str">
        <f>IFERROR(VLOOKUP($A36,'Species guilds'!$A$3:$F$301,5,FALSE),0)</f>
        <v>IM</v>
      </c>
      <c r="F36" s="26">
        <f t="shared" si="0"/>
        <v>3</v>
      </c>
      <c r="G36" s="26">
        <f t="shared" si="1"/>
        <v>1</v>
      </c>
      <c r="H36" s="26">
        <f t="shared" si="2"/>
        <v>0</v>
      </c>
      <c r="I36" s="26">
        <f t="shared" si="3"/>
        <v>0</v>
      </c>
      <c r="J36" s="26">
        <f t="shared" si="4"/>
        <v>3</v>
      </c>
      <c r="K36" s="26">
        <f t="shared" si="5"/>
        <v>0</v>
      </c>
      <c r="L36" s="26">
        <f t="shared" si="6"/>
        <v>0</v>
      </c>
      <c r="M36" s="26">
        <f t="shared" si="7"/>
        <v>0</v>
      </c>
      <c r="N36" s="26">
        <f t="shared" si="8"/>
        <v>3</v>
      </c>
      <c r="O36" s="26">
        <f t="shared" si="9"/>
        <v>0</v>
      </c>
      <c r="P36" s="26">
        <f t="shared" si="10"/>
        <v>3</v>
      </c>
      <c r="Q36" s="26">
        <f t="shared" si="11"/>
        <v>0</v>
      </c>
      <c r="R36" s="79" t="str">
        <f t="shared" si="12"/>
        <v/>
      </c>
      <c r="T36" s="45"/>
      <c r="U36" s="45"/>
      <c r="V36" s="45"/>
      <c r="W36" s="45"/>
      <c r="X36" s="45"/>
      <c r="Y36" s="43"/>
    </row>
    <row r="37" spans="1:25" x14ac:dyDescent="0.25">
      <c r="A37" s="156" t="s">
        <v>951</v>
      </c>
      <c r="B37" s="156">
        <v>12</v>
      </c>
      <c r="C37" s="26" t="str">
        <f>IFERROR(VLOOKUP($A37,'Species guilds'!$A$3:$F$301,3,FALSE),0)</f>
        <v>T</v>
      </c>
      <c r="D37" s="26" t="str">
        <f>IFERROR(VLOOKUP($A37,'Species guilds'!$A$3:$F$301,4,FALSE),0)</f>
        <v>M</v>
      </c>
      <c r="E37" s="26" t="str">
        <f>IFERROR(VLOOKUP($A37,'Species guilds'!$A$3:$F$301,5,FALSE),0)</f>
        <v>IT</v>
      </c>
      <c r="F37" s="26">
        <f t="shared" si="0"/>
        <v>12</v>
      </c>
      <c r="G37" s="26">
        <f t="shared" si="1"/>
        <v>1</v>
      </c>
      <c r="H37" s="26">
        <f t="shared" si="2"/>
        <v>0</v>
      </c>
      <c r="I37" s="26">
        <f t="shared" si="3"/>
        <v>12</v>
      </c>
      <c r="J37" s="26">
        <f t="shared" si="4"/>
        <v>0</v>
      </c>
      <c r="K37" s="26">
        <f t="shared" si="5"/>
        <v>0</v>
      </c>
      <c r="L37" s="26">
        <f t="shared" si="6"/>
        <v>12</v>
      </c>
      <c r="M37" s="26">
        <f t="shared" si="7"/>
        <v>0</v>
      </c>
      <c r="N37" s="26">
        <f t="shared" si="8"/>
        <v>0</v>
      </c>
      <c r="O37" s="26">
        <f t="shared" si="9"/>
        <v>12</v>
      </c>
      <c r="P37" s="26">
        <f t="shared" si="10"/>
        <v>0</v>
      </c>
      <c r="Q37" s="26">
        <f t="shared" si="11"/>
        <v>0</v>
      </c>
      <c r="R37" s="79" t="str">
        <f t="shared" si="12"/>
        <v>ASSUMES SPECIES ARE NOT CHESTNUT OR SILVER LAMPREYS</v>
      </c>
      <c r="T37" s="45"/>
      <c r="U37" s="45"/>
      <c r="V37" s="45"/>
      <c r="W37" s="45"/>
      <c r="X37" s="45"/>
      <c r="Y37" s="43"/>
    </row>
    <row r="38" spans="1:25" x14ac:dyDescent="0.25">
      <c r="A38" s="156" t="s">
        <v>952</v>
      </c>
      <c r="B38" s="156">
        <v>8</v>
      </c>
      <c r="C38" s="26" t="str">
        <f>IFERROR(VLOOKUP($A38,'Species guilds'!$A$3:$F$301,3,FALSE),0)</f>
        <v>T</v>
      </c>
      <c r="D38" s="26" t="str">
        <f>IFERROR(VLOOKUP($A38,'Species guilds'!$A$3:$F$301,4,FALSE),0)</f>
        <v>M</v>
      </c>
      <c r="E38" s="26" t="str">
        <f>IFERROR(VLOOKUP($A38,'Species guilds'!$A$3:$F$301,5,FALSE),0)</f>
        <v>IM</v>
      </c>
      <c r="F38" s="26">
        <f t="shared" si="0"/>
        <v>8</v>
      </c>
      <c r="G38" s="26">
        <f t="shared" si="1"/>
        <v>1</v>
      </c>
      <c r="H38" s="26">
        <f t="shared" si="2"/>
        <v>0</v>
      </c>
      <c r="I38" s="26">
        <f t="shared" si="3"/>
        <v>8</v>
      </c>
      <c r="J38" s="26">
        <f t="shared" si="4"/>
        <v>0</v>
      </c>
      <c r="K38" s="26">
        <f t="shared" si="5"/>
        <v>0</v>
      </c>
      <c r="L38" s="26">
        <f t="shared" si="6"/>
        <v>8</v>
      </c>
      <c r="M38" s="26">
        <f t="shared" si="7"/>
        <v>0</v>
      </c>
      <c r="N38" s="26">
        <f t="shared" si="8"/>
        <v>0</v>
      </c>
      <c r="O38" s="26">
        <f t="shared" si="9"/>
        <v>0</v>
      </c>
      <c r="P38" s="26">
        <f t="shared" si="10"/>
        <v>8</v>
      </c>
      <c r="Q38" s="26">
        <f t="shared" si="11"/>
        <v>0</v>
      </c>
      <c r="R38" s="79" t="str">
        <f t="shared" si="12"/>
        <v/>
      </c>
      <c r="T38" s="45"/>
      <c r="U38" s="45"/>
      <c r="V38" s="45"/>
      <c r="W38" s="45"/>
      <c r="X38" s="45"/>
      <c r="Y38" s="43"/>
    </row>
    <row r="39" spans="1:25" x14ac:dyDescent="0.25">
      <c r="A39" s="156" t="s">
        <v>953</v>
      </c>
      <c r="B39" s="156">
        <v>11</v>
      </c>
      <c r="C39" s="26" t="str">
        <f>IFERROR(VLOOKUP($A39,'Species guilds'!$A$3:$F$301,3,FALSE),0)</f>
        <v>W</v>
      </c>
      <c r="D39" s="26" t="str">
        <f>IFERROR(VLOOKUP($A39,'Species guilds'!$A$3:$F$301,4,FALSE),0)</f>
        <v>L</v>
      </c>
      <c r="E39" s="26" t="str">
        <f>IFERROR(VLOOKUP($A39,'Species guilds'!$A$3:$F$301,5,FALSE),0)</f>
        <v>IM</v>
      </c>
      <c r="F39" s="26">
        <f t="shared" si="0"/>
        <v>11</v>
      </c>
      <c r="G39" s="26">
        <f t="shared" si="1"/>
        <v>1</v>
      </c>
      <c r="H39" s="26">
        <f t="shared" si="2"/>
        <v>0</v>
      </c>
      <c r="I39" s="26">
        <f t="shared" si="3"/>
        <v>0</v>
      </c>
      <c r="J39" s="26">
        <f t="shared" si="4"/>
        <v>11</v>
      </c>
      <c r="K39" s="26">
        <f t="shared" si="5"/>
        <v>0</v>
      </c>
      <c r="L39" s="26">
        <f t="shared" si="6"/>
        <v>0</v>
      </c>
      <c r="M39" s="26">
        <f t="shared" si="7"/>
        <v>0</v>
      </c>
      <c r="N39" s="26">
        <f t="shared" si="8"/>
        <v>11</v>
      </c>
      <c r="O39" s="26">
        <f t="shared" si="9"/>
        <v>0</v>
      </c>
      <c r="P39" s="26">
        <f t="shared" si="10"/>
        <v>11</v>
      </c>
      <c r="Q39" s="26">
        <f t="shared" si="11"/>
        <v>0</v>
      </c>
      <c r="R39" s="79" t="str">
        <f t="shared" si="12"/>
        <v/>
      </c>
      <c r="T39" s="43"/>
      <c r="U39" s="46"/>
      <c r="V39" s="46"/>
      <c r="W39" s="46"/>
      <c r="X39" s="45"/>
      <c r="Y39" s="43"/>
    </row>
    <row r="40" spans="1:25" x14ac:dyDescent="0.25">
      <c r="A40" s="156" t="s">
        <v>954</v>
      </c>
      <c r="B40" s="156">
        <v>4</v>
      </c>
      <c r="C40" s="26" t="str">
        <f>IFERROR(VLOOKUP($A40,'Species guilds'!$A$3:$F$301,3,FALSE),0)</f>
        <v>W</v>
      </c>
      <c r="D40" s="26" t="str">
        <f>IFERROR(VLOOKUP($A40,'Species guilds'!$A$3:$F$301,4,FALSE),0)</f>
        <v>L</v>
      </c>
      <c r="E40" s="26" t="str">
        <f>IFERROR(VLOOKUP($A40,'Species guilds'!$A$3:$F$301,5,FALSE),0)</f>
        <v>IM</v>
      </c>
      <c r="F40" s="26">
        <f t="shared" si="0"/>
        <v>4</v>
      </c>
      <c r="G40" s="26">
        <f t="shared" si="1"/>
        <v>1</v>
      </c>
      <c r="H40" s="26">
        <f t="shared" si="2"/>
        <v>0</v>
      </c>
      <c r="I40" s="26">
        <f t="shared" si="3"/>
        <v>0</v>
      </c>
      <c r="J40" s="26">
        <f t="shared" si="4"/>
        <v>4</v>
      </c>
      <c r="K40" s="26">
        <f t="shared" si="5"/>
        <v>0</v>
      </c>
      <c r="L40" s="26">
        <f t="shared" si="6"/>
        <v>0</v>
      </c>
      <c r="M40" s="26">
        <f t="shared" si="7"/>
        <v>0</v>
      </c>
      <c r="N40" s="26">
        <f t="shared" si="8"/>
        <v>4</v>
      </c>
      <c r="O40" s="26">
        <f t="shared" si="9"/>
        <v>0</v>
      </c>
      <c r="P40" s="26">
        <f t="shared" si="10"/>
        <v>4</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84</v>
      </c>
      <c r="F54" s="9">
        <f>SUM(F21:F53)</f>
        <v>84</v>
      </c>
      <c r="G54" s="2"/>
      <c r="H54" s="9">
        <f>SUM(H21:H53)</f>
        <v>0</v>
      </c>
      <c r="I54" s="9">
        <f t="shared" ref="I54:Q54" si="14">SUM(I21:I53)</f>
        <v>38</v>
      </c>
      <c r="J54" s="9">
        <f t="shared" si="14"/>
        <v>46</v>
      </c>
      <c r="K54" s="9">
        <f t="shared" si="14"/>
        <v>14</v>
      </c>
      <c r="L54" s="9">
        <f t="shared" si="14"/>
        <v>43</v>
      </c>
      <c r="M54" s="9">
        <f t="shared" si="14"/>
        <v>0</v>
      </c>
      <c r="N54" s="9">
        <f t="shared" si="14"/>
        <v>27</v>
      </c>
      <c r="O54" s="9">
        <f t="shared" si="14"/>
        <v>15</v>
      </c>
      <c r="P54" s="9">
        <f t="shared" si="14"/>
        <v>60</v>
      </c>
      <c r="Q54" s="9">
        <f t="shared" si="14"/>
        <v>9</v>
      </c>
    </row>
  </sheetData>
  <sheetProtection sheet="1" objects="1" scenarios="1"/>
  <mergeCells count="17">
    <mergeCell ref="O19:Q19"/>
    <mergeCell ref="G19:G20"/>
    <mergeCell ref="H19:J19"/>
    <mergeCell ref="G18:Q18"/>
    <mergeCell ref="B9:D9"/>
    <mergeCell ref="K19:N19"/>
    <mergeCell ref="B15:D15"/>
    <mergeCell ref="B13:D13"/>
    <mergeCell ref="B14:D14"/>
    <mergeCell ref="B12:D12"/>
    <mergeCell ref="B11:D11"/>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0"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7" t="str">
        <f>'Enter field data'!B4</f>
        <v>Craig Roesler</v>
      </c>
      <c r="C4" s="208"/>
      <c r="D4" s="85"/>
      <c r="E4" s="65"/>
      <c r="F4" s="89" t="s">
        <v>836</v>
      </c>
      <c r="G4" s="83"/>
      <c r="H4" s="83"/>
      <c r="I4" s="83"/>
      <c r="J4" s="83"/>
      <c r="K4" s="83"/>
      <c r="L4" s="83"/>
      <c r="M4" s="83"/>
      <c r="N4" s="83"/>
      <c r="O4" s="83"/>
      <c r="P4" s="83"/>
    </row>
    <row r="5" spans="1:16" ht="15" x14ac:dyDescent="0.2">
      <c r="A5" s="65" t="s">
        <v>831</v>
      </c>
      <c r="B5" s="209">
        <f>'Enter field data'!B5</f>
        <v>42506</v>
      </c>
      <c r="C5" s="210"/>
      <c r="D5" s="85"/>
      <c r="E5" s="65"/>
      <c r="F5" s="90"/>
      <c r="G5" s="83" t="s">
        <v>875</v>
      </c>
      <c r="H5" s="83"/>
      <c r="I5" s="83"/>
      <c r="J5" s="83"/>
      <c r="K5" s="83"/>
      <c r="L5" s="83"/>
      <c r="M5" s="83"/>
      <c r="N5" s="83"/>
      <c r="O5" s="83"/>
      <c r="P5" s="83"/>
    </row>
    <row r="6" spans="1:16" ht="15" x14ac:dyDescent="0.2">
      <c r="A6" s="65" t="s">
        <v>830</v>
      </c>
      <c r="B6" s="209">
        <f>'Enter field data'!B6</f>
        <v>41911</v>
      </c>
      <c r="C6" s="210"/>
      <c r="D6" s="85"/>
      <c r="E6" s="65"/>
      <c r="F6" s="91"/>
      <c r="G6" s="83" t="s">
        <v>876</v>
      </c>
      <c r="H6" s="83"/>
      <c r="I6" s="83"/>
      <c r="J6" s="83"/>
      <c r="K6" s="83"/>
      <c r="L6" s="83"/>
      <c r="M6" s="83"/>
      <c r="N6" s="83"/>
      <c r="O6" s="83"/>
      <c r="P6" s="83"/>
    </row>
    <row r="7" spans="1:16" x14ac:dyDescent="0.2">
      <c r="A7" s="65" t="s">
        <v>869</v>
      </c>
      <c r="B7" s="207">
        <f>'Enter field data'!B7</f>
        <v>10042968</v>
      </c>
      <c r="C7" s="211"/>
      <c r="D7" s="85"/>
      <c r="E7" s="65"/>
      <c r="F7" s="65"/>
    </row>
    <row r="8" spans="1:16" x14ac:dyDescent="0.2">
      <c r="A8" s="65" t="s">
        <v>872</v>
      </c>
      <c r="B8" s="207" t="str">
        <f>'Enter field data'!B8</f>
        <v>Wood River 460m DS STH 70 Second Crossing</v>
      </c>
      <c r="C8" s="211"/>
      <c r="D8" s="85"/>
      <c r="E8" s="65"/>
      <c r="F8" s="65"/>
    </row>
    <row r="9" spans="1:16" x14ac:dyDescent="0.2">
      <c r="A9" s="65" t="s">
        <v>49</v>
      </c>
      <c r="B9" s="207" t="str">
        <f>'Enter field data'!B9</f>
        <v>Fish survey</v>
      </c>
      <c r="C9" s="211"/>
      <c r="D9" s="85"/>
      <c r="E9" s="65"/>
      <c r="F9" s="65"/>
    </row>
    <row r="10" spans="1:16" x14ac:dyDescent="0.2">
      <c r="A10" s="65"/>
      <c r="B10" s="66"/>
      <c r="C10" s="85"/>
      <c r="D10" s="85"/>
      <c r="E10" s="65"/>
      <c r="F10" s="65"/>
    </row>
    <row r="11" spans="1:16" x14ac:dyDescent="0.2">
      <c r="A11" s="65" t="s">
        <v>34</v>
      </c>
      <c r="B11" s="207" t="str">
        <f>'Enter field data'!B11</f>
        <v>Wood River</v>
      </c>
      <c r="C11" s="211"/>
      <c r="D11" s="85"/>
      <c r="E11" s="65"/>
      <c r="F11" s="92"/>
    </row>
    <row r="12" spans="1:16" x14ac:dyDescent="0.2">
      <c r="A12" s="65" t="s">
        <v>37</v>
      </c>
      <c r="B12" s="207" t="str">
        <f>'Enter field data'!B12</f>
        <v>Burnett</v>
      </c>
      <c r="C12" s="211"/>
      <c r="D12" s="85"/>
      <c r="E12" s="65"/>
      <c r="F12" s="65"/>
    </row>
    <row r="13" spans="1:16" x14ac:dyDescent="0.2">
      <c r="A13" s="65" t="s">
        <v>35</v>
      </c>
      <c r="B13" s="207">
        <f>'Enter field data'!B13</f>
        <v>0</v>
      </c>
      <c r="C13" s="211"/>
      <c r="D13" s="85"/>
      <c r="E13" s="65"/>
      <c r="F13" s="92"/>
    </row>
    <row r="14" spans="1:16" x14ac:dyDescent="0.2">
      <c r="A14" s="65" t="s">
        <v>36</v>
      </c>
      <c r="B14" s="207">
        <f>'Enter field data'!B14</f>
        <v>2642900</v>
      </c>
      <c r="C14" s="211"/>
      <c r="D14" s="85"/>
      <c r="E14" s="65"/>
      <c r="F14" s="92"/>
    </row>
    <row r="15" spans="1:16" ht="15" x14ac:dyDescent="0.2">
      <c r="A15" s="65" t="s">
        <v>863</v>
      </c>
      <c r="B15" s="212" t="str">
        <f>'Enter field data'!B15</f>
        <v>0703000501</v>
      </c>
      <c r="C15" s="213"/>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7" t="s">
        <v>916</v>
      </c>
      <c r="B18" s="197"/>
      <c r="C18" s="198"/>
      <c r="D18" s="196" t="str">
        <f>'Enter field data'!$B$17</f>
        <v>Warm Mainstem</v>
      </c>
      <c r="E18" s="175"/>
      <c r="F18" s="68"/>
      <c r="I18" s="141"/>
      <c r="J18" s="68"/>
      <c r="K18" s="68"/>
      <c r="L18" s="68"/>
      <c r="M18" s="68"/>
      <c r="N18" s="68"/>
    </row>
    <row r="19" spans="1:30" ht="12.75" customHeight="1" x14ac:dyDescent="0.2">
      <c r="A19" s="197" t="s">
        <v>850</v>
      </c>
      <c r="B19" s="197"/>
      <c r="C19" s="198"/>
      <c r="D19" s="199" t="s">
        <v>919</v>
      </c>
      <c r="E19" s="200"/>
      <c r="F19" s="93"/>
      <c r="I19" s="192"/>
      <c r="J19" s="192"/>
      <c r="K19" s="192"/>
      <c r="L19" s="143"/>
      <c r="M19" s="143"/>
      <c r="N19" s="142"/>
    </row>
    <row r="20" spans="1:30" x14ac:dyDescent="0.2">
      <c r="A20" s="65" t="s">
        <v>851</v>
      </c>
      <c r="B20" s="65"/>
      <c r="C20" s="67"/>
      <c r="D20" s="193" t="s">
        <v>24</v>
      </c>
      <c r="E20" s="194"/>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5"/>
      <c r="E23" s="195"/>
      <c r="F23" s="93"/>
      <c r="I23" s="68"/>
      <c r="J23" s="68"/>
      <c r="K23" s="68"/>
      <c r="L23" s="68"/>
      <c r="M23" s="68"/>
      <c r="N23" s="142"/>
    </row>
    <row r="24" spans="1:30" x14ac:dyDescent="0.2">
      <c r="A24" s="96" t="s">
        <v>854</v>
      </c>
      <c r="B24" s="97"/>
      <c r="C24" s="97"/>
      <c r="D24" s="195"/>
      <c r="E24" s="195"/>
      <c r="F24" s="93"/>
      <c r="I24" s="87"/>
      <c r="J24" s="65"/>
      <c r="K24" s="85"/>
      <c r="L24" s="145"/>
      <c r="M24" s="145"/>
    </row>
    <row r="25" spans="1:30" x14ac:dyDescent="0.2">
      <c r="A25" s="98" t="s">
        <v>862</v>
      </c>
      <c r="B25" s="99"/>
      <c r="C25" s="99"/>
      <c r="D25" s="195"/>
      <c r="E25" s="195"/>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6" t="str">
        <f>'Enter field data'!$B$17</f>
        <v>Warm Mainstem</v>
      </c>
      <c r="E29" s="175"/>
      <c r="H29" s="148"/>
      <c r="I29" s="100" t="s">
        <v>913</v>
      </c>
      <c r="L29" s="178" t="s">
        <v>24</v>
      </c>
      <c r="M29" s="179"/>
      <c r="N29" s="11"/>
      <c r="P29" s="100" t="s">
        <v>914</v>
      </c>
      <c r="S29" s="178"/>
      <c r="T29" s="179"/>
      <c r="U29" s="11"/>
      <c r="W29" s="100" t="s">
        <v>915</v>
      </c>
      <c r="Z29" s="178"/>
      <c r="AA29" s="17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14</v>
      </c>
      <c r="E36" s="111" t="s">
        <v>12</v>
      </c>
      <c r="F36" s="112">
        <f>'Enter field data'!$O$54</f>
        <v>15</v>
      </c>
      <c r="H36" s="148"/>
      <c r="I36" s="108" t="s">
        <v>6</v>
      </c>
      <c r="J36" s="81">
        <f>'Enter field data'!$H$54</f>
        <v>0</v>
      </c>
      <c r="K36" s="109" t="s">
        <v>9</v>
      </c>
      <c r="L36" s="110">
        <f>'Enter field data'!$K$54</f>
        <v>14</v>
      </c>
      <c r="M36" s="111" t="s">
        <v>12</v>
      </c>
      <c r="N36" s="112">
        <f>'Enter field data'!$O$54</f>
        <v>15</v>
      </c>
      <c r="P36" s="108" t="s">
        <v>6</v>
      </c>
      <c r="Q36" s="81">
        <f>'Enter field data'!$H$54</f>
        <v>0</v>
      </c>
      <c r="R36" s="109" t="s">
        <v>9</v>
      </c>
      <c r="S36" s="110">
        <f>'Enter field data'!$K$54</f>
        <v>14</v>
      </c>
      <c r="T36" s="111" t="s">
        <v>12</v>
      </c>
      <c r="U36" s="112">
        <f>'Enter field data'!$O$54</f>
        <v>15</v>
      </c>
      <c r="W36" s="108" t="s">
        <v>6</v>
      </c>
      <c r="X36" s="81">
        <f>'Enter field data'!$H$54</f>
        <v>0</v>
      </c>
      <c r="Y36" s="109" t="s">
        <v>9</v>
      </c>
      <c r="Z36" s="110">
        <f>'Enter field data'!$K$54</f>
        <v>14</v>
      </c>
      <c r="AA36" s="111" t="s">
        <v>12</v>
      </c>
      <c r="AB36" s="112">
        <f>'Enter field data'!$O$54</f>
        <v>15</v>
      </c>
    </row>
    <row r="37" spans="1:28" x14ac:dyDescent="0.2">
      <c r="A37" s="108" t="s">
        <v>7</v>
      </c>
      <c r="B37" s="81">
        <f>'Enter field data'!$I$54</f>
        <v>38</v>
      </c>
      <c r="C37" s="109" t="s">
        <v>10</v>
      </c>
      <c r="D37" s="110">
        <f>'Enter field data'!$L$54</f>
        <v>43</v>
      </c>
      <c r="E37" s="111" t="s">
        <v>13</v>
      </c>
      <c r="F37" s="112">
        <f>'Enter field data'!$P$54</f>
        <v>60</v>
      </c>
      <c r="H37" s="148"/>
      <c r="I37" s="108" t="s">
        <v>7</v>
      </c>
      <c r="J37" s="81">
        <f>'Enter field data'!$I$54</f>
        <v>38</v>
      </c>
      <c r="K37" s="109" t="s">
        <v>10</v>
      </c>
      <c r="L37" s="110">
        <f>'Enter field data'!$L$54</f>
        <v>43</v>
      </c>
      <c r="M37" s="111" t="s">
        <v>13</v>
      </c>
      <c r="N37" s="112">
        <f>'Enter field data'!$P$54</f>
        <v>60</v>
      </c>
      <c r="P37" s="108" t="s">
        <v>7</v>
      </c>
      <c r="Q37" s="81">
        <f>'Enter field data'!$I$54</f>
        <v>38</v>
      </c>
      <c r="R37" s="109" t="s">
        <v>10</v>
      </c>
      <c r="S37" s="110">
        <f>'Enter field data'!$L$54</f>
        <v>43</v>
      </c>
      <c r="T37" s="111" t="s">
        <v>13</v>
      </c>
      <c r="U37" s="112">
        <f>'Enter field data'!$P$54</f>
        <v>60</v>
      </c>
      <c r="W37" s="108" t="s">
        <v>7</v>
      </c>
      <c r="X37" s="81">
        <f>'Enter field data'!$I$54</f>
        <v>38</v>
      </c>
      <c r="Y37" s="109" t="s">
        <v>10</v>
      </c>
      <c r="Z37" s="110">
        <f>'Enter field data'!$L$54</f>
        <v>43</v>
      </c>
      <c r="AA37" s="111" t="s">
        <v>13</v>
      </c>
      <c r="AB37" s="112">
        <f>'Enter field data'!$P$54</f>
        <v>60</v>
      </c>
    </row>
    <row r="38" spans="1:28" x14ac:dyDescent="0.2">
      <c r="A38" s="108" t="s">
        <v>8</v>
      </c>
      <c r="B38" s="81">
        <f>'Enter field data'!$J$54</f>
        <v>46</v>
      </c>
      <c r="C38" s="109" t="s">
        <v>11</v>
      </c>
      <c r="D38" s="110">
        <f>'Enter field data'!$N$54</f>
        <v>27</v>
      </c>
      <c r="E38" s="111" t="s">
        <v>14</v>
      </c>
      <c r="F38" s="112">
        <f>'Enter field data'!$Q$54</f>
        <v>9</v>
      </c>
      <c r="H38" s="148"/>
      <c r="I38" s="108" t="s">
        <v>8</v>
      </c>
      <c r="J38" s="81">
        <f>'Enter field data'!$J$54</f>
        <v>46</v>
      </c>
      <c r="K38" s="109" t="s">
        <v>11</v>
      </c>
      <c r="L38" s="110">
        <f>'Enter field data'!$N$54</f>
        <v>27</v>
      </c>
      <c r="M38" s="111" t="s">
        <v>14</v>
      </c>
      <c r="N38" s="112">
        <f>'Enter field data'!$Q$54</f>
        <v>9</v>
      </c>
      <c r="P38" s="108" t="s">
        <v>8</v>
      </c>
      <c r="Q38" s="81">
        <f>'Enter field data'!$J$54</f>
        <v>46</v>
      </c>
      <c r="R38" s="109" t="s">
        <v>11</v>
      </c>
      <c r="S38" s="110">
        <f>'Enter field data'!$N$54</f>
        <v>27</v>
      </c>
      <c r="T38" s="111" t="s">
        <v>14</v>
      </c>
      <c r="U38" s="112">
        <f>'Enter field data'!$Q$54</f>
        <v>9</v>
      </c>
      <c r="W38" s="108" t="s">
        <v>8</v>
      </c>
      <c r="X38" s="81">
        <f>'Enter field data'!$J$54</f>
        <v>46</v>
      </c>
      <c r="Y38" s="109" t="s">
        <v>11</v>
      </c>
      <c r="Z38" s="110">
        <f>'Enter field data'!$N$54</f>
        <v>27</v>
      </c>
      <c r="AA38" s="111" t="s">
        <v>14</v>
      </c>
      <c r="AB38" s="112">
        <f>'Enter field data'!$Q$54</f>
        <v>9</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0" t="s">
        <v>5</v>
      </c>
      <c r="B41" s="181"/>
      <c r="C41" s="181"/>
      <c r="D41" s="181"/>
      <c r="E41" s="182"/>
      <c r="F41" s="65"/>
      <c r="H41" s="148"/>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3" t="s">
        <v>55</v>
      </c>
      <c r="B42" s="183" t="s">
        <v>65</v>
      </c>
      <c r="C42" s="185" t="s">
        <v>66</v>
      </c>
      <c r="D42" s="186"/>
      <c r="E42" s="187" t="s">
        <v>56</v>
      </c>
      <c r="F42" s="65"/>
      <c r="H42" s="148"/>
      <c r="I42" s="137" t="s">
        <v>55</v>
      </c>
      <c r="J42" s="183" t="s">
        <v>65</v>
      </c>
      <c r="K42" s="185" t="s">
        <v>66</v>
      </c>
      <c r="L42" s="186"/>
      <c r="M42" s="187" t="s">
        <v>56</v>
      </c>
      <c r="N42" s="65"/>
      <c r="P42" s="137" t="s">
        <v>55</v>
      </c>
      <c r="Q42" s="183" t="s">
        <v>65</v>
      </c>
      <c r="R42" s="185" t="s">
        <v>66</v>
      </c>
      <c r="S42" s="186"/>
      <c r="T42" s="187" t="s">
        <v>56</v>
      </c>
      <c r="U42" s="65"/>
      <c r="W42" s="137" t="s">
        <v>55</v>
      </c>
      <c r="X42" s="183" t="s">
        <v>65</v>
      </c>
      <c r="Y42" s="185" t="s">
        <v>66</v>
      </c>
      <c r="Z42" s="186"/>
      <c r="AA42" s="187" t="s">
        <v>56</v>
      </c>
      <c r="AB42" s="65"/>
    </row>
    <row r="43" spans="1:28" x14ac:dyDescent="0.2">
      <c r="A43" s="114"/>
      <c r="B43" s="184"/>
      <c r="C43" s="115" t="s">
        <v>62</v>
      </c>
      <c r="D43" s="116" t="s">
        <v>63</v>
      </c>
      <c r="E43" s="188"/>
      <c r="F43" s="65"/>
      <c r="H43" s="148"/>
      <c r="I43" s="138"/>
      <c r="J43" s="184"/>
      <c r="K43" s="115" t="s">
        <v>62</v>
      </c>
      <c r="L43" s="139" t="s">
        <v>63</v>
      </c>
      <c r="M43" s="188"/>
      <c r="N43" s="65"/>
      <c r="P43" s="138"/>
      <c r="Q43" s="184"/>
      <c r="R43" s="115" t="s">
        <v>62</v>
      </c>
      <c r="S43" s="139" t="s">
        <v>63</v>
      </c>
      <c r="T43" s="188"/>
      <c r="U43" s="65"/>
      <c r="W43" s="138"/>
      <c r="X43" s="184"/>
      <c r="Y43" s="115" t="s">
        <v>62</v>
      </c>
      <c r="Z43" s="139" t="s">
        <v>63</v>
      </c>
      <c r="AA43" s="188"/>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0.45238095238095238</v>
      </c>
      <c r="C45" s="118">
        <f>VLOOKUP($D$29,'Expected guild %'!$A$5:$G$13,4,FALSE)</f>
        <v>0</v>
      </c>
      <c r="D45" s="118">
        <f>VLOOKUP($D$29,'Expected guild %'!$A$5:$G$13,5,FALSE)</f>
        <v>0.25</v>
      </c>
      <c r="E45" s="119" t="str">
        <f>IF(AND(C45&lt;=B45,B45&lt;= D45)=TRUE,"Y","N")</f>
        <v>N</v>
      </c>
      <c r="F45" s="65"/>
      <c r="H45" s="148"/>
      <c r="I45" s="108" t="s">
        <v>7</v>
      </c>
      <c r="J45" s="117">
        <f>($B$37/'Enter field data'!$F$54)</f>
        <v>0.45238095238095238</v>
      </c>
      <c r="K45" s="118">
        <f>VLOOKUP(L$29,'Expected guild %'!$A$5:$G$13,4,FALSE)</f>
        <v>0.25</v>
      </c>
      <c r="L45" s="118">
        <f>VLOOKUP(L$29,'Expected guild %'!$A$5:$G$13,5,FALSE)</f>
        <v>1</v>
      </c>
      <c r="M45" s="119" t="str">
        <f>IF(AND(K45&lt;=J45,J45&lt;= L45)=TRUE,"Y","N")</f>
        <v>Y</v>
      </c>
      <c r="N45" s="65"/>
      <c r="P45" s="108" t="s">
        <v>7</v>
      </c>
      <c r="Q45" s="117">
        <f>($B$37/'Enter field data'!$F$54)</f>
        <v>0.45238095238095238</v>
      </c>
      <c r="R45" s="118" t="e">
        <f>VLOOKUP(S$29,'Expected guild %'!$A$5:$G$13,4,FALSE)</f>
        <v>#N/A</v>
      </c>
      <c r="S45" s="118" t="e">
        <f>VLOOKUP(S$29,'Expected guild %'!$A$5:$G$13,5,FALSE)</f>
        <v>#N/A</v>
      </c>
      <c r="T45" s="119" t="e">
        <f>IF(AND(R45&lt;=Q45,Q45&lt;= S45)=TRUE,"Y","N")</f>
        <v>#N/A</v>
      </c>
      <c r="U45" s="65"/>
      <c r="W45" s="108" t="s">
        <v>7</v>
      </c>
      <c r="X45" s="117">
        <f>($B$37/'Enter field data'!$F$54)</f>
        <v>0.45238095238095238</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0.54761904761904767</v>
      </c>
      <c r="C46" s="118">
        <f>VLOOKUP($D$29,'Expected guild %'!$A$5:$G$13,6,FALSE)</f>
        <v>0.75</v>
      </c>
      <c r="D46" s="118">
        <f>VLOOKUP($D$29,'Expected guild %'!$A$5:$G$13,7,FALSE)</f>
        <v>1</v>
      </c>
      <c r="E46" s="119" t="str">
        <f>IF(AND(C46&lt;=B46,B46&lt;= D46)=TRUE,"Y","N")</f>
        <v>N</v>
      </c>
      <c r="F46" s="65"/>
      <c r="H46" s="148"/>
      <c r="I46" s="108" t="s">
        <v>8</v>
      </c>
      <c r="J46" s="117">
        <f>($B$38/'Enter field data'!$F$54)</f>
        <v>0.54761904761904767</v>
      </c>
      <c r="K46" s="118">
        <f>VLOOKUP(L$29,'Expected guild %'!$A$5:$G$13,6,FALSE)</f>
        <v>0</v>
      </c>
      <c r="L46" s="118">
        <f>VLOOKUP(L$29,'Expected guild %'!$A$5:$G$13,7,FALSE)</f>
        <v>0.75</v>
      </c>
      <c r="M46" s="119" t="str">
        <f>IF(AND(K46&lt;=J46,J46&lt;= L46)=TRUE,"Y","N")</f>
        <v>Y</v>
      </c>
      <c r="N46" s="65"/>
      <c r="P46" s="108" t="s">
        <v>8</v>
      </c>
      <c r="Q46" s="117">
        <f>($B$38/'Enter field data'!$F$54)</f>
        <v>0.54761904761904767</v>
      </c>
      <c r="R46" s="118" t="e">
        <f>VLOOKUP(S$29,'Expected guild %'!$A$5:$G$13,6,FALSE)</f>
        <v>#N/A</v>
      </c>
      <c r="S46" s="118" t="e">
        <f>VLOOKUP(S$29,'Expected guild %'!$A$5:$G$13,7,FALSE)</f>
        <v>#N/A</v>
      </c>
      <c r="T46" s="119" t="e">
        <f>IF(AND(R46&lt;=Q46,Q46&lt;= S46)=TRUE,"Y","N")</f>
        <v>#N/A</v>
      </c>
      <c r="U46" s="65"/>
      <c r="W46" s="108" t="s">
        <v>8</v>
      </c>
      <c r="X46" s="117">
        <f>($B$38/'Enter field data'!$F$54)</f>
        <v>0.54761904761904767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48"/>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48"/>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5" t="s">
        <v>62</v>
      </c>
      <c r="D50" s="116" t="s">
        <v>63</v>
      </c>
      <c r="E50" s="188"/>
      <c r="F50" s="65"/>
      <c r="H50" s="148"/>
      <c r="I50" s="184"/>
      <c r="J50" s="184"/>
      <c r="K50" s="115" t="s">
        <v>62</v>
      </c>
      <c r="L50" s="139" t="s">
        <v>63</v>
      </c>
      <c r="M50" s="188"/>
      <c r="N50" s="65"/>
      <c r="P50" s="184"/>
      <c r="Q50" s="184"/>
      <c r="R50" s="115" t="s">
        <v>62</v>
      </c>
      <c r="S50" s="139" t="s">
        <v>63</v>
      </c>
      <c r="T50" s="188"/>
      <c r="U50" s="65"/>
      <c r="W50" s="184"/>
      <c r="X50" s="184"/>
      <c r="Y50" s="115" t="s">
        <v>62</v>
      </c>
      <c r="Z50" s="139" t="s">
        <v>63</v>
      </c>
      <c r="AA50" s="188"/>
      <c r="AB50" s="65"/>
    </row>
    <row r="51" spans="1:29" x14ac:dyDescent="0.2">
      <c r="A51" s="108" t="s">
        <v>9</v>
      </c>
      <c r="B51" s="118">
        <f>($D$36/'Enter field data'!$F$54)</f>
        <v>0.16666666666666666</v>
      </c>
      <c r="C51" s="120">
        <f>VLOOKUP($D$29,'Expected guild %'!$A$19:$G$27,2,FALSE)</f>
        <v>0</v>
      </c>
      <c r="D51" s="118">
        <f>VLOOKUP($D$29,'Expected guild %'!$A$19:$G$27,3,FALSE)</f>
        <v>0.5</v>
      </c>
      <c r="E51" s="119" t="str">
        <f>IF(AND(C51&lt;=B51,B51&lt;= D51)=TRUE,"Y","N")</f>
        <v>Y</v>
      </c>
      <c r="F51" s="65"/>
      <c r="H51" s="148"/>
      <c r="I51" s="108" t="s">
        <v>9</v>
      </c>
      <c r="J51" s="118">
        <f>($D$36/'Enter field data'!$F$54)</f>
        <v>0.16666666666666666</v>
      </c>
      <c r="K51" s="120">
        <f>VLOOKUP(L$29,'Expected guild %'!$A$19:$G$27,2,FALSE)</f>
        <v>0</v>
      </c>
      <c r="L51" s="118">
        <f>VLOOKUP(L$29,'Expected guild %'!$A$19:$G$27,3,FALSE)</f>
        <v>0.5</v>
      </c>
      <c r="M51" s="119" t="str">
        <f>IF(AND(K51&lt;=J51,J51&lt;= L51)=TRUE,"Y","N")</f>
        <v>Y</v>
      </c>
      <c r="N51" s="65"/>
      <c r="P51" s="108" t="s">
        <v>9</v>
      </c>
      <c r="Q51" s="118">
        <f>($D$36/'Enter field data'!$F$54)</f>
        <v>0.16666666666666666</v>
      </c>
      <c r="R51" s="120" t="e">
        <f>VLOOKUP(S$29,'Expected guild %'!$A$19:$G$27,2,FALSE)</f>
        <v>#N/A</v>
      </c>
      <c r="S51" s="118" t="e">
        <f>VLOOKUP(S$29,'Expected guild %'!$A$19:$G$27,3,FALSE)</f>
        <v>#N/A</v>
      </c>
      <c r="T51" s="119" t="e">
        <f>IF(AND(R51&lt;=Q51,Q51&lt;= S51)=TRUE,"Y","N")</f>
        <v>#N/A</v>
      </c>
      <c r="U51" s="65"/>
      <c r="W51" s="108" t="s">
        <v>9</v>
      </c>
      <c r="X51" s="118">
        <f>($D$36/'Enter field data'!$F$54)</f>
        <v>0.16666666666666666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0.51190476190476186</v>
      </c>
      <c r="C52" s="120">
        <f>VLOOKUP($D$29,'Expected guild %'!$A$19:$G$27,4,FALSE)</f>
        <v>0.5</v>
      </c>
      <c r="D52" s="118">
        <f>VLOOKUP($D$29,'Expected guild %'!$A$19:$G$27,5,FALSE)</f>
        <v>1</v>
      </c>
      <c r="E52" s="119" t="str">
        <f>IF(AND(C52&lt;=B52,B52&lt;= D52)=TRUE,"Y","N")</f>
        <v>Y</v>
      </c>
      <c r="F52" s="65"/>
      <c r="H52" s="148"/>
      <c r="I52" s="108" t="s">
        <v>10</v>
      </c>
      <c r="J52" s="118">
        <f>($D$37/'Enter field data'!$F$54)</f>
        <v>0.51190476190476186</v>
      </c>
      <c r="K52" s="120">
        <f>VLOOKUP(L$29,'Expected guild %'!$A$19:$G$27,4,FALSE)</f>
        <v>0.5</v>
      </c>
      <c r="L52" s="118">
        <f>VLOOKUP(L$29,'Expected guild %'!$A$19:$G$27,5,FALSE)</f>
        <v>1</v>
      </c>
      <c r="M52" s="119" t="str">
        <f>IF(AND(K52&lt;=J52,J52&lt;= L52)=TRUE,"Y","N")</f>
        <v>Y</v>
      </c>
      <c r="N52" s="65"/>
      <c r="P52" s="108" t="s">
        <v>10</v>
      </c>
      <c r="Q52" s="118">
        <f>($D$37/'Enter field data'!$F$54)</f>
        <v>0.51190476190476186</v>
      </c>
      <c r="R52" s="120" t="e">
        <f>VLOOKUP(S$29,'Expected guild %'!$A$19:$G$27,4,FALSE)</f>
        <v>#N/A</v>
      </c>
      <c r="S52" s="118" t="e">
        <f>VLOOKUP(S$29,'Expected guild %'!$A$19:$G$27,5,FALSE)</f>
        <v>#N/A</v>
      </c>
      <c r="T52" s="119" t="e">
        <f>IF(AND(R52&lt;=Q52,Q52&lt;= S52)=TRUE,"Y","N")</f>
        <v>#N/A</v>
      </c>
      <c r="U52" s="65"/>
      <c r="W52" s="108" t="s">
        <v>10</v>
      </c>
      <c r="X52" s="118">
        <f>($D$37/'Enter field data'!$F$54)</f>
        <v>0.51190476190476186</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0.32142857142857145</v>
      </c>
      <c r="C53" s="120">
        <f>VLOOKUP($D$29,'Expected guild %'!$A$19:$G$27,6,FALSE)</f>
        <v>0</v>
      </c>
      <c r="D53" s="118">
        <f>VLOOKUP($D$29,'Expected guild %'!$A$19:$G$27,7,FALSE)</f>
        <v>0.5</v>
      </c>
      <c r="E53" s="119" t="str">
        <f>IF(AND(C53&lt;=B53,B53&lt;= D53)=TRUE,"Y","N")</f>
        <v>Y</v>
      </c>
      <c r="F53" s="65"/>
      <c r="H53" s="148"/>
      <c r="I53" s="108" t="s">
        <v>11</v>
      </c>
      <c r="J53" s="118">
        <f>($D$38/'Enter field data'!$F$54)</f>
        <v>0.32142857142857145</v>
      </c>
      <c r="K53" s="120">
        <f>VLOOKUP(L$29,'Expected guild %'!$A$19:$G$27,6,FALSE)</f>
        <v>0</v>
      </c>
      <c r="L53" s="118">
        <f>VLOOKUP(L$29,'Expected guild %'!$A$19:$G$27,7,FALSE)</f>
        <v>0.5</v>
      </c>
      <c r="M53" s="119" t="str">
        <f>IF(AND(K53&lt;=J53,J53&lt;= L53)=TRUE,"Y","N")</f>
        <v>Y</v>
      </c>
      <c r="N53" s="65"/>
      <c r="P53" s="108" t="s">
        <v>11</v>
      </c>
      <c r="Q53" s="118">
        <f>($D$38/'Enter field data'!$F$54)</f>
        <v>0.32142857142857145</v>
      </c>
      <c r="R53" s="120" t="e">
        <f>VLOOKUP(S$29,'Expected guild %'!$A$19:$G$27,6,FALSE)</f>
        <v>#N/A</v>
      </c>
      <c r="S53" s="118" t="e">
        <f>VLOOKUP(S$29,'Expected guild %'!$A$19:$G$27,7,FALSE)</f>
        <v>#N/A</v>
      </c>
      <c r="T53" s="119" t="e">
        <f>IF(AND(R53&lt;=Q53,Q53&lt;= S53)=TRUE,"Y","N")</f>
        <v>#N/A</v>
      </c>
      <c r="U53" s="65"/>
      <c r="W53" s="108" t="s">
        <v>11</v>
      </c>
      <c r="X53" s="118">
        <f>($D$38/'Enter field data'!$F$54)</f>
        <v>0.32142857142857145</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9"/>
      <c r="B57" s="190"/>
      <c r="C57" s="190"/>
      <c r="D57" s="190"/>
      <c r="E57" s="190"/>
      <c r="F57" s="191"/>
      <c r="G57" s="155"/>
      <c r="H57" s="148"/>
      <c r="I57" s="189"/>
      <c r="J57" s="190"/>
      <c r="K57" s="190"/>
      <c r="L57" s="190"/>
      <c r="M57" s="190"/>
      <c r="N57" s="191"/>
      <c r="O57" s="154"/>
      <c r="P57" s="189"/>
      <c r="Q57" s="190"/>
      <c r="R57" s="190"/>
      <c r="S57" s="190"/>
      <c r="T57" s="190"/>
      <c r="U57" s="191"/>
      <c r="V57" s="154"/>
      <c r="W57" s="189"/>
      <c r="X57" s="190"/>
      <c r="Y57" s="190"/>
      <c r="Z57" s="190"/>
      <c r="AA57" s="190"/>
      <c r="AB57" s="191"/>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0" t="s">
        <v>1</v>
      </c>
      <c r="B71" s="181"/>
      <c r="C71" s="181"/>
      <c r="D71" s="181"/>
      <c r="E71" s="182"/>
      <c r="F71" s="65"/>
      <c r="H71" s="148"/>
    </row>
    <row r="72" spans="1:8" ht="12.75" customHeight="1" x14ac:dyDescent="0.2">
      <c r="A72" s="183" t="s">
        <v>55</v>
      </c>
      <c r="B72" s="183" t="s">
        <v>65</v>
      </c>
      <c r="C72" s="185" t="s">
        <v>66</v>
      </c>
      <c r="D72" s="186"/>
      <c r="E72" s="187" t="s">
        <v>56</v>
      </c>
      <c r="F72" s="65"/>
      <c r="H72" s="148"/>
    </row>
    <row r="73" spans="1:8" x14ac:dyDescent="0.2">
      <c r="A73" s="184"/>
      <c r="B73" s="184"/>
      <c r="C73" s="115" t="s">
        <v>62</v>
      </c>
      <c r="D73" s="116" t="s">
        <v>63</v>
      </c>
      <c r="E73" s="188"/>
      <c r="F73" s="65"/>
      <c r="H73" s="148"/>
    </row>
    <row r="74" spans="1:8" x14ac:dyDescent="0.2">
      <c r="A74" s="108" t="s">
        <v>12</v>
      </c>
      <c r="B74" s="117">
        <f>($F$36/'Enter field data'!$F$54)</f>
        <v>0.17857142857142858</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0.7142857142857143</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0.10714285714285714</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4"/>
      <c r="B82" s="203"/>
      <c r="C82" s="203"/>
      <c r="D82" s="203"/>
      <c r="E82" s="203"/>
      <c r="F82" s="203"/>
      <c r="G82" s="203"/>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6" t="s">
        <v>816</v>
      </c>
      <c r="B88" s="71" t="s">
        <v>817</v>
      </c>
      <c r="C88" s="72"/>
      <c r="D88" s="73" t="e">
        <f>'Weather Results'!$C$17</f>
        <v>#DIV/0!</v>
      </c>
      <c r="H88" s="148"/>
    </row>
    <row r="89" spans="1:23" x14ac:dyDescent="0.2">
      <c r="A89" s="206"/>
      <c r="B89" s="71" t="s">
        <v>818</v>
      </c>
      <c r="C89" s="72"/>
      <c r="D89" s="73">
        <f>'Weather Results'!$C$18</f>
        <v>13.515167666666667</v>
      </c>
      <c r="H89" s="148"/>
    </row>
    <row r="90" spans="1:23" x14ac:dyDescent="0.2">
      <c r="A90" s="206"/>
      <c r="B90" s="71" t="s">
        <v>819</v>
      </c>
      <c r="C90" s="72"/>
      <c r="D90" s="73">
        <f>'Weather Results'!$C$19</f>
        <v>17.516279999999998</v>
      </c>
      <c r="H90" s="148"/>
    </row>
    <row r="91" spans="1:23" x14ac:dyDescent="0.2">
      <c r="A91" s="206"/>
      <c r="B91" s="74" t="s">
        <v>820</v>
      </c>
      <c r="C91" s="72"/>
      <c r="D91" s="75" t="e">
        <f>'Weather Results'!$C$20</f>
        <v>#DIV/0!</v>
      </c>
      <c r="H91" s="148"/>
    </row>
    <row r="92" spans="1:23" x14ac:dyDescent="0.2">
      <c r="H92" s="148"/>
    </row>
    <row r="93" spans="1:23" ht="12.75" customHeight="1" x14ac:dyDescent="0.2">
      <c r="A93" s="205" t="s">
        <v>821</v>
      </c>
      <c r="B93" s="71" t="s">
        <v>822</v>
      </c>
      <c r="C93" s="72"/>
      <c r="D93" s="73" t="e">
        <f>'Weather Results'!$C$22</f>
        <v>#DIV/0!</v>
      </c>
      <c r="H93" s="148"/>
    </row>
    <row r="94" spans="1:23" x14ac:dyDescent="0.2">
      <c r="A94" s="205"/>
      <c r="B94" s="71" t="s">
        <v>823</v>
      </c>
      <c r="C94" s="72"/>
      <c r="D94" s="73" t="e">
        <f>'Weather Results'!$C$23</f>
        <v>#DIV/0!</v>
      </c>
      <c r="H94" s="148"/>
    </row>
    <row r="95" spans="1:23" x14ac:dyDescent="0.2">
      <c r="A95" s="205"/>
      <c r="B95" s="71" t="s">
        <v>824</v>
      </c>
      <c r="C95" s="72"/>
      <c r="D95" s="73" t="e">
        <f>'Weather Results'!$C$24</f>
        <v>#DIV/0!</v>
      </c>
      <c r="H95" s="148"/>
    </row>
    <row r="96" spans="1:23" x14ac:dyDescent="0.2">
      <c r="A96" s="205"/>
      <c r="B96" s="71" t="s">
        <v>825</v>
      </c>
      <c r="C96" s="72"/>
      <c r="D96" s="73" t="e">
        <f>'Weather Results'!$C$25</f>
        <v>#DIV/0!</v>
      </c>
      <c r="H96" s="148"/>
    </row>
    <row r="97" spans="1:8" x14ac:dyDescent="0.2">
      <c r="A97" s="205"/>
      <c r="B97" s="71" t="s">
        <v>826</v>
      </c>
      <c r="C97" s="72"/>
      <c r="D97" s="73" t="e">
        <f>'Weather Results'!$C$26</f>
        <v>#DIV/0!</v>
      </c>
      <c r="H97" s="148"/>
    </row>
    <row r="98" spans="1:8" x14ac:dyDescent="0.2">
      <c r="A98" s="205"/>
      <c r="B98" s="71" t="s">
        <v>827</v>
      </c>
      <c r="C98" s="72"/>
      <c r="D98" s="73">
        <f>'Weather Results'!$C$27</f>
        <v>1.8411949999999999</v>
      </c>
      <c r="H98" s="148"/>
    </row>
    <row r="99" spans="1:8" x14ac:dyDescent="0.2">
      <c r="A99" s="205"/>
      <c r="B99" s="71" t="s">
        <v>828</v>
      </c>
      <c r="C99" s="72"/>
      <c r="D99" s="73">
        <f>'Weather Results'!$C$28</f>
        <v>3.7283326333333329</v>
      </c>
      <c r="H99" s="148"/>
    </row>
    <row r="100" spans="1:8" x14ac:dyDescent="0.2">
      <c r="A100" s="20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1"/>
      <c r="B103" s="202"/>
      <c r="C103" s="202"/>
      <c r="D103" s="202"/>
      <c r="E103" s="202"/>
      <c r="F103" s="203"/>
      <c r="G103" s="203"/>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1"/>
      <c r="B108" s="203"/>
      <c r="C108" s="203"/>
      <c r="D108" s="203"/>
      <c r="E108" s="203"/>
      <c r="F108" s="203"/>
      <c r="G108" s="203"/>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41911</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20140929</v>
      </c>
    </row>
    <row r="5" spans="1:5" hidden="1" x14ac:dyDescent="0.25">
      <c r="A5" s="37"/>
      <c r="B5" s="37" t="s">
        <v>805</v>
      </c>
      <c r="C5" s="50" t="str">
        <f>CONCATENATE(YEAR(C1-30),IF(MONTH(C1-30)&lt;10,"0"&amp;MONTH(C1-30),MONTH(C1-30)),IF(DAY(C1-30)&lt;10,"0"&amp;DAY(C1-30),DAY(C1-30)))</f>
        <v>20140830</v>
      </c>
    </row>
    <row r="6" spans="1:5" hidden="1" x14ac:dyDescent="0.25">
      <c r="A6" s="37"/>
      <c r="B6" s="37" t="s">
        <v>806</v>
      </c>
      <c r="C6" s="50" t="str">
        <f>CONCATENATE(YEAR(C1-90),IF(MONTH(C1-90)&lt;10,"0"&amp;MONTH(C1-90),MONTH(C1-90)),IF(DAY(C1-90)&lt;10,"0"&amp;DAY(C1-90),DAY(C1-90)))</f>
        <v>20140701</v>
      </c>
    </row>
    <row r="7" spans="1:5" hidden="1" x14ac:dyDescent="0.25">
      <c r="A7" s="37"/>
      <c r="B7" s="37" t="s">
        <v>807</v>
      </c>
      <c r="C7" s="50" t="str">
        <f>CONCATENATE(YEAR(C1-365),IF(MONTH(C1-365)&lt;10,"0"&amp;MONTH(C1-365),MONTH(C1-365)),IF(DAY(C1-365)&lt;10,"0"&amp;DAY(C1-365),DAY(C1-365)))</f>
        <v>20130929</v>
      </c>
    </row>
    <row r="8" spans="1:5" hidden="1" x14ac:dyDescent="0.25">
      <c r="A8" s="37"/>
      <c r="B8" s="37" t="s">
        <v>808</v>
      </c>
      <c r="C8" s="50" t="str">
        <f>CONCATENATE(YEAR(C1-1460),IF(MONTH(C1-1460)&lt;10,"0"&amp;MONTH(C1-1460),MONTH(C1-1460)),IF(DAY(C1-1460)&lt;10,"0"&amp;DAY(C1-1460),DAY(C1-1460)))</f>
        <v>20100930</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1</v>
      </c>
    </row>
    <row r="14" spans="1:5" hidden="1" x14ac:dyDescent="0.25">
      <c r="A14" s="37"/>
      <c r="B14" s="37" t="s">
        <v>814</v>
      </c>
      <c r="C14" s="50">
        <f>IF(MONTH($C$1)=9,DAY($C$1),0)+IF(MONTH($C$1)=10,30-DAY($C$1),0)</f>
        <v>29</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13.515167666666667</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17.516279999999998</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1.8411949999999999</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3.7283326333333329</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2017-05-23T14:41:58Z</dcterms:modified>
</cp:coreProperties>
</file>