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035" windowHeight="1293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29" i="1" l="1"/>
  <c r="R30" i="1"/>
  <c r="R31" i="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H29" i="1" s="1"/>
  <c r="C30" i="1"/>
  <c r="C31" i="1"/>
  <c r="C32" i="1"/>
  <c r="C33" i="1"/>
  <c r="C34" i="1"/>
  <c r="C35" i="1"/>
  <c r="R35" i="1" s="1"/>
  <c r="C39" i="1"/>
  <c r="C40" i="1"/>
  <c r="C41" i="1"/>
  <c r="C42" i="1"/>
  <c r="C43" i="1"/>
  <c r="C44" i="1"/>
  <c r="C45" i="1"/>
  <c r="C46" i="1"/>
  <c r="C47" i="1"/>
  <c r="C48" i="1"/>
  <c r="C49" i="1"/>
  <c r="C50" i="1"/>
  <c r="C51" i="1"/>
  <c r="C52" i="1"/>
  <c r="C53" i="1"/>
  <c r="C21" i="1"/>
  <c r="R21" i="1" s="1"/>
  <c r="M48" i="1"/>
  <c r="F48" i="1" s="1"/>
  <c r="Q29" i="1" l="1"/>
  <c r="G29" i="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K27" i="1" s="1"/>
  <c r="J21" i="1"/>
  <c r="J52" i="1"/>
  <c r="I52" i="1"/>
  <c r="J50" i="1"/>
  <c r="I50" i="1"/>
  <c r="J48" i="1"/>
  <c r="I48" i="1"/>
  <c r="J46" i="1"/>
  <c r="I46" i="1"/>
  <c r="J44" i="1"/>
  <c r="I44" i="1"/>
  <c r="J43" i="1"/>
  <c r="I43" i="1"/>
  <c r="H43" i="1"/>
  <c r="J42" i="1"/>
  <c r="I42" i="1"/>
  <c r="H42" i="1"/>
  <c r="J39" i="1"/>
  <c r="I39" i="1"/>
  <c r="H39" i="1"/>
  <c r="J34" i="1"/>
  <c r="I34" i="1"/>
  <c r="H34" i="1"/>
  <c r="I32" i="1"/>
  <c r="H32" i="1"/>
  <c r="J27" i="1"/>
  <c r="I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G28" i="1"/>
  <c r="H28" i="1" s="1"/>
  <c r="L28" i="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I26" i="1" l="1"/>
  <c r="H27" i="1"/>
  <c r="Q28" i="1"/>
  <c r="I28" i="1"/>
  <c r="K28" i="1"/>
  <c r="P28"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<sst xmlns="http://schemas.openxmlformats.org/spreadsheetml/2006/main" count="2055" uniqueCount="943">
  <si>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</si>
  <si>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</si>
  <si>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</si>
  <si>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</si>
  <si>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</si>
  <si>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</si>
  <si>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</si>
  <si>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</si>
  <si>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</si>
  <si>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</si>
  <si>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</si>
  <si>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</si>
  <si>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</si>
  <si>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</si>
  <si>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</si>
  <si>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</si>
  <si>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</si>
  <si>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</si>
  <si>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</si>
  <si>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</si>
  <si>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</si>
  <si>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</si>
  <si>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</si>
  <si>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</si>
  <si>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</si>
  <si>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</si>
  <si>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</si>
  <si>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</si>
  <si>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</si>
  <si>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</si>
  <si>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</si>
  <si>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</si>
  <si>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</si>
  <si>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</si>
  <si>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</si>
  <si>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</si>
  <si>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</si>
  <si>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</si>
  <si>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</si>
  <si>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</si>
  <si>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</si>
  <si>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</si>
  <si>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</si>
  <si>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</si>
  <si>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</si>
  <si>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</si>
  <si>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</si>
  <si>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</si>
  <si>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</si>
  <si>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</si>
  <si>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</si>
  <si>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</si>
  <si>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</si>
  <si>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</si>
  <si>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</si>
  <si>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</si>
  <si>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</si>
  <si>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</si>
  <si>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</si>
  <si>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</si>
  <si>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</si>
  <si>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</si>
  <si>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</si>
  <si>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</si>
  <si>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</si>
  <si>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</si>
  <si>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</si>
  <si>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</si>
  <si>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</si>
  <si>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</si>
  <si>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</si>
  <si>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</si>
  <si>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</si>
  <si>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</si>
  <si>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</si>
  <si>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</si>
  <si>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</si>
  <si>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</si>
  <si>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</si>
  <si>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</si>
  <si>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</si>
  <si>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</si>
  <si>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</si>
  <si>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</si>
  <si>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</si>
  <si>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</si>
  <si>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</si>
  <si>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</si>
  <si>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</si>
  <si>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</si>
  <si>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</si>
  <si>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</si>
  <si>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</si>
  <si>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</si>
  <si>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</si>
  <si>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</si>
  <si>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</si>
  <si>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</si>
  <si>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</si>
  <si>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</si>
  <si>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</si>
  <si>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</si>
  <si>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</si>
  <si>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</si>
  <si>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</si>
  <si>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</si>
  <si>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</si>
  <si>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</si>
  <si>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</si>
  <si>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</si>
  <si>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</si>
  <si>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</si>
  <si>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</si>
  <si>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</si>
  <si>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</si>
  <si>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</si>
  <si>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</si>
  <si>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</si>
  <si>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</si>
  <si>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</si>
  <si>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</si>
  <si>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</si>
  <si>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</si>
  <si>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</si>
  <si>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</si>
  <si>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</si>
  <si>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</si>
  <si>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</si>
  <si>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</si>
  <si>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</si>
  <si>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</si>
  <si>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</si>
  <si>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</si>
  <si>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</si>
  <si>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</si>
  <si>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</si>
  <si>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</si>
  <si>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</si>
  <si>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</si>
  <si>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</si>
  <si>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</si>
  <si>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</si>
  <si>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</si>
  <si>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</si>
  <si>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</si>
  <si>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</si>
  <si>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</si>
  <si>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</si>
  <si>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</si>
  <si>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</si>
  <si>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</si>
  <si>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</si>
  <si>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</si>
  <si>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</si>
  <si>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</si>
  <si>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</si>
  <si>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</si>
  <si>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</si>
  <si>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</si>
  <si>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</si>
  <si>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</si>
  <si>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</si>
  <si>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</si>
  <si>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</si>
  <si>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</si>
  <si>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</si>
  <si>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</si>
  <si>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</si>
  <si>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</si>
  <si>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</si>
  <si>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</si>
  <si>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</si>
  <si>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</si>
  <si>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</si>
  <si>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</si>
  <si>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</si>
  <si>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</si>
  <si>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</si>
  <si>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</si>
  <si>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</si>
  <si>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</si>
  <si>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</si>
  <si>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</si>
  <si>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</si>
  <si>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</si>
  <si>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</si>
  <si>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</si>
  <si>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</si>
  <si>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</si>
  <si>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</si>
  <si>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</si>
  <si>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</si>
  <si>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</si>
  <si>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</si>
  <si>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</si>
  <si>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</si>
  <si>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</si>
  <si>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</si>
  <si>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</si>
  <si>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</si>
  <si>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</si>
  <si>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</si>
  <si>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</si>
  <si>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</si>
  <si>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</si>
  <si>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</si>
  <si>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</si>
  <si>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</si>
  <si>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</si>
  <si>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</si>
  <si>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</si>
  <si>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</si>
  <si>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</si>
  <si>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</si>
  <si>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</si>
  <si>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</si>
  <si>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</si>
  <si>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</si>
  <si>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</si>
  <si>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</si>
  <si>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</si>
  <si>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</si>
  <si>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</si>
  <si>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</si>
  <si>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</si>
  <si>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</si>
  <si>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</si>
  <si>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</si>
  <si>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</si>
  <si>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</si>
  <si>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</si>
  <si>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</si>
  <si>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</si>
  <si>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</si>
  <si>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</si>
  <si>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</si>
  <si>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</si>
  <si>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</si>
  <si>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</si>
  <si>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</si>
  <si>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</si>
  <si>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</si>
  <si>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</si>
  <si>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</si>
  <si>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</si>
  <si>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</si>
  <si>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</si>
  <si>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</si>
  <si>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</si>
  <si>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</si>
  <si>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</si>
  <si>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</si>
  <si>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</si>
  <si>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</si>
  <si>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</si>
  <si>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</si>
  <si>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</si>
  <si>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</si>
  <si>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</si>
  <si>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</si>
  <si>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</si>
  <si>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</si>
  <si>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</si>
  <si>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</si>
  <si>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</si>
  <si>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</si>
  <si>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</si>
  <si>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</si>
  <si>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</si>
  <si>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</si>
  <si>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</si>
  <si>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</si>
  <si>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</si>
  <si>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</si>
  <si>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</si>
  <si>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</si>
  <si>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</si>
  <si>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</si>
  <si>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</si>
  <si>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</si>
  <si>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</si>
  <si>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</si>
  <si>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</si>
  <si>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</si>
  <si>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</si>
  <si>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</si>
  <si>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</si>
  <si>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</si>
  <si>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</si>
  <si>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</si>
  <si>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</si>
  <si>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</si>
  <si>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</si>
  <si>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</si>
  <si>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</si>
  <si>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</si>
  <si>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</si>
  <si>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</si>
  <si>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</si>
  <si>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</si>
  <si>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</si>
  <si>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</si>
  <si>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</si>
  <si>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</si>
  <si>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</si>
  <si>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</si>
  <si>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</si>
  <si>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</si>
  <si>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</si>
  <si>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</si>
  <si>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</si>
  <si>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</si>
  <si>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</si>
  <si>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</si>
  <si>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</si>
  <si>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</si>
  <si>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</si>
  <si>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</si>
  <si>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</si>
  <si>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</si>
  <si>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</si>
  <si>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</si>
  <si>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</si>
  <si>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</si>
  <si>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</si>
  <si>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</si>
  <si>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</si>
  <si>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</si>
  <si>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</si>
  <si>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</si>
  <si>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</si>
  <si>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</si>
  <si>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</si>
  <si>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</si>
  <si>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</si>
  <si>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</si>
  <si>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</si>
  <si>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</si>
  <si>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</si>
  <si>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</si>
  <si>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</si>
  <si>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</si>
  <si>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</si>
  <si>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</si>
  <si>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</si>
  <si>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</si>
  <si>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</si>
  <si>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</si>
  <si>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</si>
  <si>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</si>
  <si>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</si>
  <si>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</si>
  <si>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</si>
  <si>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</si>
  <si>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</si>
  <si>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</si>
  <si>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</si>
  <si>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</si>
  <si>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</si>
  <si>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</si>
  <si>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</si>
  <si>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</si>
  <si>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</si>
  <si>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</si>
  <si>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</si>
  <si>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</si>
  <si>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</si>
  <si>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</si>
  <si>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</si>
  <si>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</si>
  <si>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</si>
  <si>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</si>
  <si>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</si>
  <si>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</si>
  <si>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</si>
  <si>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</si>
  <si>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</si>
  <si>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</si>
  <si>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</si>
  <si>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</si>
  <si>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</si>
  <si>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</si>
  <si>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</si>
  <si>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</si>
  <si>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</si>
  <si>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</si>
  <si>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</si>
  <si>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</si>
  <si>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</si>
  <si>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</si>
  <si>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</si>
  <si>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</si>
  <si>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</si>
  <si>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</si>
  <si>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</si>
  <si>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</si>
  <si>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</si>
  <si>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</si>
  <si>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</si>
  <si>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</si>
  <si>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</si>
  <si>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</si>
  <si>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</si>
  <si>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</si>
  <si>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</si>
  <si>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</si>
  <si>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</si>
  <si>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</si>
  <si>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</si>
  <si>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</si>
  <si>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</si>
  <si>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</si>
  <si>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</si>
  <si>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</si>
  <si>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</si>
  <si>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</si>
  <si>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</si>
  <si>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</si>
  <si>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</si>
  <si>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</si>
  <si>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</si>
  <si>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</si>
  <si>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</si>
  <si>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</si>
  <si>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</si>
  <si>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</si>
  <si>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</si>
  <si>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</si>
  <si>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</si>
  <si>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</si>
  <si>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</si>
  <si>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</si>
  <si>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</si>
  <si>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</si>
  <si>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</si>
  <si>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</si>
  <si>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</si>
  <si>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</si>
  <si>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</si>
  <si>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</si>
  <si>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</si>
  <si>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</si>
  <si>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</si>
  <si>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</si>
  <si>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</si>
  <si>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</si>
  <si>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</si>
  <si>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</si>
  <si>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</si>
  <si>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</si>
  <si>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</si>
  <si>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</si>
  <si>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</si>
  <si>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</si>
  <si>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</si>
  <si>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</si>
  <si>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</si>
  <si>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</si>
  <si>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</si>
  <si>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</si>
  <si>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</si>
  <si>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</si>
  <si>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</si>
  <si>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</si>
  <si>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</si>
  <si>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</si>
  <si>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</si>
  <si>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</si>
  <si>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</si>
  <si>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</si>
  <si>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</si>
  <si>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</si>
  <si>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</si>
  <si>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</si>
  <si>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</si>
  <si>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</si>
  <si>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</si>
  <si>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</si>
  <si>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</si>
  <si>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</si>
  <si>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</si>
  <si>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</si>
  <si>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</si>
  <si>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</si>
  <si>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</si>
  <si>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</si>
  <si>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</si>
  <si>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</si>
  <si>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</si>
  <si>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</si>
  <si>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</si>
  <si>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</si>
  <si>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</si>
  <si>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</si>
  <si>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</si>
  <si>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</si>
  <si>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</si>
  <si>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</si>
  <si>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</si>
  <si>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</si>
  <si>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</si>
  <si>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</si>
  <si>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</si>
  <si>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</si>
  <si>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</si>
  <si>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</si>
  <si>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</si>
  <si>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</si>
  <si>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</si>
  <si>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</si>
  <si>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</si>
  <si>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</si>
  <si>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</si>
  <si>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</si>
  <si>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</si>
  <si>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</si>
  <si>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</si>
  <si>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</si>
  <si>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</si>
  <si>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</si>
  <si>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</si>
  <si>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</si>
  <si>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</si>
  <si>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</si>
  <si>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</si>
  <si>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</si>
  <si>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</si>
  <si>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</si>
  <si>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</si>
  <si>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</si>
  <si>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</si>
  <si>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</si>
  <si>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</si>
  <si>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</si>
  <si>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</si>
  <si>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</si>
  <si>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</si>
  <si>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</si>
  <si>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</si>
  <si>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</si>
  <si>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</si>
  <si>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</si>
  <si>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</si>
  <si>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</si>
  <si>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</si>
  <si>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</si>
  <si>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</si>
  <si>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</si>
  <si>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</si>
  <si>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</si>
  <si>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</si>
  <si>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</si>
  <si>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</si>
  <si>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</si>
  <si>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</si>
  <si>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</si>
  <si>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</si>
  <si>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</si>
  <si>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</si>
  <si>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</si>
  <si>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</si>
  <si>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</si>
  <si>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</si>
  <si>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</si>
  <si>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</si>
  <si>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</si>
  <si>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</si>
  <si>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</si>
  <si>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</si>
  <si>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</si>
  <si>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</si>
  <si>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</si>
  <si>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</si>
  <si>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</si>
  <si>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</si>
  <si>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</si>
  <si>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</si>
  <si>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</si>
  <si>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</si>
  <si>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</si>
  <si>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</si>
  <si>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</si>
  <si>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</si>
  <si>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</si>
  <si>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</si>
  <si>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</si>
  <si>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</si>
  <si>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</si>
  <si>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</si>
  <si>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</si>
  <si>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</si>
  <si>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</si>
  <si>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</si>
  <si>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</si>
  <si>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</si>
  <si>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</si>
  <si>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</si>
  <si>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</si>
  <si>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</si>
  <si>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</si>
  <si>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</si>
  <si>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</si>
  <si>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</si>
  <si>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</si>
  <si>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</si>
  <si>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</si>
  <si>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</si>
  <si>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</si>
  <si>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</si>
  <si>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</si>
  <si>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</si>
  <si>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</si>
  <si>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</si>
  <si>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</si>
  <si>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</si>
  <si>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</si>
  <si>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</si>
  <si>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</si>
  <si>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</si>
  <si>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</si>
  <si>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</si>
  <si>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</si>
  <si>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</si>
  <si>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</si>
  <si>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</si>
  <si>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</si>
  <si>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</si>
  <si>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</si>
  <si>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</si>
  <si>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</si>
  <si>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</si>
  <si>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</si>
  <si>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</si>
  <si>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</si>
  <si>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</si>
  <si>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</si>
  <si>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</si>
  <si>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</si>
  <si>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</si>
  <si>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</si>
  <si>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</si>
  <si>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</si>
  <si>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</si>
  <si>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</si>
  <si>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</si>
  <si>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</si>
  <si>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</si>
  <si>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</si>
  <si>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</si>
  <si>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</si>
  <si>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</si>
  <si>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</si>
  <si>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</si>
  <si>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</si>
  <si>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</si>
  <si>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</si>
  <si>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</si>
  <si>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</si>
  <si>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</si>
  <si>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</si>
  <si>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</si>
  <si>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</si>
  <si>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</si>
  <si>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</si>
  <si>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</si>
  <si>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</si>
  <si>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</si>
  <si>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</si>
  <si>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</si>
  <si>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</si>
  <si>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</si>
  <si>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</si>
  <si>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</si>
  <si>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</si>
  <si>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</si>
  <si>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</si>
  <si>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</si>
  <si>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</si>
  <si>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</si>
  <si>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</si>
  <si>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</si>
  <si>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</si>
  <si>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</si>
  <si>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</si>
  <si>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</si>
  <si>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</si>
  <si>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</si>
  <si>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</si>
  <si>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</si>
  <si>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</si>
  <si>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</si>
  <si>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</si>
  <si>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</si>
  <si>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</si>
  <si>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</si>
  <si>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</si>
  <si>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</si>
  <si>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</si>
  <si>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</si>
  <si>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</si>
  <si>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</si>
  <si>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</si>
  <si>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</si>
  <si>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</si>
  <si>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</si>
  <si>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</si>
  <si>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</si>
  <si>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</si>
  <si>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</si>
  <si>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</si>
  <si>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</si>
  <si>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</si>
  <si>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</si>
  <si>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</si>
  <si>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</si>
  <si>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</si>
  <si>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</si>
  <si>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</si>
  <si>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</si>
  <si>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</si>
  <si>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</si>
  <si>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</si>
  <si>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</si>
  <si>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</si>
  <si>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</si>
  <si>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</si>
  <si>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</si>
  <si>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</si>
  <si>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</si>
  <si>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</si>
  <si>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</si>
  <si>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</si>
  <si>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</si>
  <si>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</si>
  <si>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</si>
  <si>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</si>
  <si>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</si>
  <si>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</si>
  <si>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</si>
  <si>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</si>
  <si>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</si>
  <si>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</si>
  <si>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</si>
  <si>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</si>
  <si>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</si>
  <si>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</si>
  <si>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</si>
  <si>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</si>
  <si>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</si>
  <si>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</si>
  <si>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</si>
  <si>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</si>
  <si>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</si>
  <si>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</si>
  <si>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</si>
  <si>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</si>
  <si>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</si>
  <si>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</si>
  <si>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</si>
  <si>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</si>
  <si>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</si>
  <si>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</si>
  <si>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</si>
  <si>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</si>
  <si>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</si>
  <si>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</si>
  <si>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</si>
  <si>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</si>
  <si>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</si>
  <si>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</si>
  <si>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</si>
  <si>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</si>
  <si>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</si>
  <si>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</si>
  <si>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</si>
  <si>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</si>
  <si>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</si>
  <si>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</si>
  <si>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</si>
  <si>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</si>
  <si>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</si>
  <si>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</si>
  <si>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</si>
  <si>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</si>
  <si>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</si>
  <si>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</si>
  <si>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</si>
  <si>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</si>
  <si>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</si>
  <si>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</si>
  <si>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</si>
  <si>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</si>
  <si>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</si>
  <si>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</si>
  <si>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</si>
  <si>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</si>
  <si>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</si>
  <si>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</si>
  <si>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</si>
  <si>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</si>
  <si>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</si>
  <si>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</si>
  <si>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</si>
  <si>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</si>
  <si>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</si>
  <si>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</si>
  <si>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</si>
  <si>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</si>
  <si>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</si>
  <si>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</si>
  <si>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</si>
  <si>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</si>
  <si>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</si>
  <si>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</si>
  <si>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</si>
  <si>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</si>
  <si>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</si>
  <si>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</si>
  <si>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</si>
  <si>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</si>
  <si>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</si>
  <si>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</si>
  <si>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</si>
  <si>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</si>
  <si>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</si>
  <si>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</si>
  <si>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</si>
  <si>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</si>
  <si>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</si>
  <si>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</si>
  <si>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</si>
  <si>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</si>
  <si>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</si>
  <si>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</si>
  <si>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</si>
  <si>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</si>
  <si>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</si>
  <si>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</si>
  <si>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</si>
  <si>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</si>
  <si>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</si>
  <si>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</si>
  <si>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</si>
  <si>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</si>
  <si>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</si>
  <si>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</si>
  <si>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</si>
  <si>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</si>
  <si>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</si>
  <si>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</si>
  <si>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</si>
  <si>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</si>
  <si>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</si>
  <si>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</si>
  <si>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</si>
  <si>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</si>
  <si>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</si>
  <si>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</si>
  <si>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</si>
  <si>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</si>
  <si>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</si>
  <si>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</si>
  <si>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</si>
  <si>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</si>
  <si>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</si>
  <si>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</si>
  <si>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</si>
  <si>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</si>
  <si>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</si>
  <si>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</si>
  <si>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</si>
  <si>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</si>
  <si>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</si>
  <si>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</si>
  <si>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</si>
  <si>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</si>
  <si>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</si>
  <si>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</si>
  <si>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</si>
  <si>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</si>
  <si>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</si>
  <si>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</si>
  <si>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</si>
  <si>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</si>
  <si>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</si>
  <si>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</si>
  <si>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</si>
  <si>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</si>
  <si>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</si>
  <si>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</si>
  <si>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</si>
  <si>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</si>
  <si>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</si>
  <si>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</si>
  <si>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</si>
  <si>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</si>
  <si>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</si>
  <si>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</si>
  <si>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</si>
  <si>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</si>
  <si>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</si>
  <si>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</si>
  <si>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</si>
  <si>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</si>
  <si>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</si>
  <si>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</si>
  <si>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</si>
  <si>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</si>
  <si>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</si>
  <si>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</si>
  <si>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</si>
  <si>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</si>
  <si>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</si>
  <si>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</si>
  <si>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</si>
  <si>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</si>
  <si>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</si>
  <si>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</si>
  <si>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</si>
  <si>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</si>
  <si>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</si>
  <si>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</si>
  <si>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</si>
  <si>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</si>
  <si>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</si>
  <si>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</si>
  <si>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</si>
  <si>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</si>
  <si>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</si>
  <si>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</si>
  <si>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</si>
  <si>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</si>
  <si>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creek chub</t>
  </si>
  <si>
    <t>western blacknose dace</t>
  </si>
  <si>
    <t>central mudminnow</t>
  </si>
  <si>
    <t>South Fish Creek 60m US CTH F</t>
  </si>
  <si>
    <t>South Fish Creek</t>
  </si>
  <si>
    <t>Bayfield</t>
  </si>
  <si>
    <t>common shiner</t>
  </si>
  <si>
    <t>white sucker</t>
  </si>
  <si>
    <t>johnny darter</t>
  </si>
  <si>
    <t>brook stickleback</t>
  </si>
  <si>
    <t>mottled sculpin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</si>
</sst>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0">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5" borderId="7" xfId="0"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C33" sqref="C33"/>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73" t="s">
        <v>931</v>
      </c>
      <c r="C4" s="163"/>
      <c r="D4" s="164"/>
      <c r="F4" s="2" t="s">
        <v>836</v>
      </c>
    </row>
    <row r="5" spans="1:20" x14ac:dyDescent="0.25">
      <c r="A5" s="1" t="s">
        <v>832</v>
      </c>
      <c r="B5" s="176">
        <v>42516</v>
      </c>
      <c r="C5" s="163"/>
      <c r="D5" s="164"/>
      <c r="F5" s="82"/>
      <c r="G5" s="28"/>
      <c r="H5" s="28"/>
      <c r="I5" s="28"/>
      <c r="J5" s="28"/>
      <c r="K5" s="28"/>
      <c r="L5" s="28"/>
      <c r="M5" s="28"/>
      <c r="N5" s="28"/>
      <c r="O5" s="28"/>
      <c r="P5" s="28"/>
      <c r="Q5" s="28"/>
      <c r="R5" s="28" t="s">
        <v>866</v>
      </c>
    </row>
    <row r="6" spans="1:20" x14ac:dyDescent="0.25">
      <c r="A6" s="1" t="s">
        <v>830</v>
      </c>
      <c r="B6" s="177">
        <v>42228</v>
      </c>
      <c r="C6" s="160"/>
      <c r="D6" s="161"/>
      <c r="F6" s="26"/>
      <c r="G6" s="28"/>
      <c r="H6" s="28"/>
      <c r="I6" s="28"/>
      <c r="J6" s="28"/>
      <c r="K6" s="28"/>
      <c r="L6" s="28"/>
      <c r="M6" s="28"/>
      <c r="N6" s="28"/>
      <c r="O6" s="28"/>
      <c r="P6" s="28"/>
      <c r="Q6" s="28"/>
      <c r="R6" s="28" t="s">
        <v>378</v>
      </c>
    </row>
    <row r="7" spans="1:20" s="28" customFormat="1" x14ac:dyDescent="0.25">
      <c r="A7" s="28" t="s">
        <v>869</v>
      </c>
      <c r="B7" s="159">
        <v>10043950</v>
      </c>
      <c r="C7" s="160"/>
      <c r="D7" s="161"/>
      <c r="F7" s="27"/>
    </row>
    <row r="8" spans="1:20" s="28" customFormat="1" x14ac:dyDescent="0.25">
      <c r="A8" s="28" t="s">
        <v>872</v>
      </c>
      <c r="B8" s="159" t="s">
        <v>935</v>
      </c>
      <c r="C8" s="160"/>
      <c r="D8" s="161"/>
      <c r="F8" s="27"/>
    </row>
    <row r="9" spans="1:20" x14ac:dyDescent="0.25">
      <c r="A9" s="1" t="s">
        <v>49</v>
      </c>
      <c r="B9" s="165" t="s">
        <v>870</v>
      </c>
      <c r="C9" s="165"/>
      <c r="D9" s="165"/>
    </row>
    <row r="10" spans="1:20" x14ac:dyDescent="0.25">
      <c r="B10" s="86"/>
      <c r="C10" s="86"/>
      <c r="D10" s="86"/>
    </row>
    <row r="11" spans="1:20" x14ac:dyDescent="0.25">
      <c r="A11" s="1" t="s">
        <v>34</v>
      </c>
      <c r="B11" s="159" t="s">
        <v>936</v>
      </c>
      <c r="C11" s="160"/>
      <c r="D11" s="161"/>
      <c r="F11" s="27"/>
      <c r="G11" s="27"/>
      <c r="H11" s="27"/>
      <c r="I11" s="27"/>
      <c r="J11" s="27"/>
      <c r="K11" s="27"/>
      <c r="L11" s="27"/>
      <c r="M11" s="27"/>
      <c r="N11" s="27"/>
      <c r="O11" s="27"/>
      <c r="P11" s="27"/>
      <c r="Q11" s="27"/>
      <c r="R11" s="27"/>
    </row>
    <row r="12" spans="1:20" x14ac:dyDescent="0.25">
      <c r="A12" s="1" t="s">
        <v>37</v>
      </c>
      <c r="B12" s="165" t="s">
        <v>937</v>
      </c>
      <c r="C12" s="165"/>
      <c r="D12" s="165"/>
    </row>
    <row r="13" spans="1:20" x14ac:dyDescent="0.25">
      <c r="A13" s="1" t="s">
        <v>35</v>
      </c>
      <c r="B13" s="165"/>
      <c r="C13" s="165"/>
      <c r="D13" s="165"/>
      <c r="F13" s="27"/>
      <c r="G13" s="27"/>
      <c r="H13" s="27"/>
      <c r="I13" s="27"/>
      <c r="J13" s="27"/>
      <c r="K13" s="27"/>
      <c r="L13" s="27"/>
      <c r="M13" s="27"/>
      <c r="N13" s="27"/>
      <c r="O13" s="27"/>
      <c r="P13" s="27"/>
      <c r="Q13" s="27"/>
      <c r="R13" s="27"/>
    </row>
    <row r="14" spans="1:20" x14ac:dyDescent="0.25">
      <c r="A14" s="1" t="s">
        <v>36</v>
      </c>
      <c r="B14" s="165">
        <v>2889900</v>
      </c>
      <c r="C14" s="165"/>
      <c r="D14" s="165"/>
      <c r="F14" s="27"/>
      <c r="G14" s="27"/>
      <c r="H14" s="27"/>
      <c r="I14" s="27"/>
      <c r="J14" s="27"/>
      <c r="K14" s="27"/>
      <c r="L14" s="27"/>
      <c r="M14" s="27"/>
      <c r="N14" s="27"/>
      <c r="O14" s="27"/>
      <c r="P14" s="27"/>
      <c r="Q14" s="27"/>
      <c r="R14" s="27"/>
    </row>
    <row r="15" spans="1:20" s="28" customFormat="1" x14ac:dyDescent="0.25">
      <c r="A15" s="28" t="s">
        <v>835</v>
      </c>
      <c r="B15" s="162" t="s">
        <v>431</v>
      </c>
      <c r="C15" s="163"/>
      <c r="D15" s="164"/>
      <c r="E15" s="11" t="s">
        <v>868</v>
      </c>
      <c r="F15" s="27"/>
    </row>
    <row r="16" spans="1:20" x14ac:dyDescent="0.25">
      <c r="B16" s="130"/>
      <c r="C16" s="130"/>
      <c r="D16" s="130"/>
      <c r="T16" s="37"/>
    </row>
    <row r="17" spans="1:25" x14ac:dyDescent="0.25">
      <c r="A17" s="1" t="s">
        <v>33</v>
      </c>
      <c r="B17" s="173" t="s">
        <v>21</v>
      </c>
      <c r="C17" s="174"/>
      <c r="D17" s="175"/>
      <c r="E17" s="11" t="s">
        <v>837</v>
      </c>
      <c r="F17" s="24"/>
      <c r="G17" s="24"/>
      <c r="S17" s="11"/>
    </row>
    <row r="18" spans="1:25" x14ac:dyDescent="0.25">
      <c r="G18" s="171" t="s">
        <v>59</v>
      </c>
      <c r="H18" s="172"/>
      <c r="I18" s="172"/>
      <c r="J18" s="172"/>
      <c r="K18" s="172"/>
      <c r="L18" s="172"/>
      <c r="M18" s="172"/>
      <c r="N18" s="172"/>
      <c r="O18" s="172"/>
      <c r="P18" s="172"/>
      <c r="Q18" s="172"/>
    </row>
    <row r="19" spans="1:25" x14ac:dyDescent="0.25">
      <c r="A19" s="2" t="s">
        <v>865</v>
      </c>
      <c r="C19" s="28"/>
      <c r="D19" s="28"/>
      <c r="E19" s="28"/>
      <c r="F19" s="28"/>
      <c r="G19" s="169" t="s">
        <v>377</v>
      </c>
      <c r="H19" s="166" t="s">
        <v>5</v>
      </c>
      <c r="I19" s="167"/>
      <c r="J19" s="168"/>
      <c r="K19" s="166" t="s">
        <v>64</v>
      </c>
      <c r="L19" s="167"/>
      <c r="M19" s="167"/>
      <c r="N19" s="168"/>
      <c r="O19" s="166" t="s">
        <v>1</v>
      </c>
      <c r="P19" s="167"/>
      <c r="Q19" s="168"/>
      <c r="R19" s="28"/>
    </row>
    <row r="20" spans="1:25" ht="45" x14ac:dyDescent="0.25">
      <c r="A20" s="5" t="s">
        <v>50</v>
      </c>
      <c r="B20" s="4" t="s">
        <v>4</v>
      </c>
      <c r="C20" s="5" t="s">
        <v>2</v>
      </c>
      <c r="D20" s="5" t="s">
        <v>3</v>
      </c>
      <c r="E20" s="5" t="s">
        <v>44</v>
      </c>
      <c r="F20" s="30" t="s">
        <v>376</v>
      </c>
      <c r="G20" s="170"/>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7" t="s">
        <v>932</v>
      </c>
      <c r="B21" s="158">
        <v>237</v>
      </c>
      <c r="C21" s="26" t="str">
        <f>IFERROR(VLOOKUP($A21,'Species guilds'!$A$3:$F$301,3,FALSE),0)</f>
        <v>T</v>
      </c>
      <c r="D21" s="26" t="str">
        <f>IFERROR(VLOOKUP($A21,'Species guilds'!$A$3:$F$301,4,FALSE),0)</f>
        <v>S</v>
      </c>
      <c r="E21" s="26" t="str">
        <f>IFERROR(VLOOKUP($A21,'Species guilds'!$A$3:$F$301,5,FALSE),0)</f>
        <v>T</v>
      </c>
      <c r="F21" s="26">
        <f t="shared" ref="F21:F53" si="0">IF(AND(M21&gt;0,B21&gt;0)=FALSE,B21,0)</f>
        <v>237</v>
      </c>
      <c r="G21" s="26">
        <f>IF(D21="Lake",0,1)</f>
        <v>1</v>
      </c>
      <c r="H21" s="26">
        <f>IF($C21=H$20,$B21*G21,0)</f>
        <v>0</v>
      </c>
      <c r="I21" s="26">
        <f>IF($C21=I$20,$B21*G21,0)</f>
        <v>237</v>
      </c>
      <c r="J21" s="26">
        <f>IF($C21=J$20,$B21*G21,0)</f>
        <v>0</v>
      </c>
      <c r="K21" s="26">
        <f>IF($D21=K$20,$B21*G21,0)</f>
        <v>237</v>
      </c>
      <c r="L21" s="26">
        <f>IF($D21=L$20,$B21*G21,0)</f>
        <v>0</v>
      </c>
      <c r="M21" s="26">
        <f>IF($D21=M$20,$B21,0)</f>
        <v>0</v>
      </c>
      <c r="N21" s="26">
        <f>IF($D21=N$20,$B21*G21,0)</f>
        <v>0</v>
      </c>
      <c r="O21" s="26">
        <f>IF($E21=O$20,$B21*G21,0)</f>
        <v>0</v>
      </c>
      <c r="P21" s="26">
        <f>IF($E21=P$20,$B21*G21,0)</f>
        <v>0</v>
      </c>
      <c r="Q21" s="26">
        <f>IF($E21=Q$20,$B21*G21,0)</f>
        <v>237</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7" t="s">
        <v>938</v>
      </c>
      <c r="B22" s="158">
        <v>30</v>
      </c>
      <c r="C22" s="26" t="str">
        <f>IFERROR(VLOOKUP($A22,'Species guilds'!$A$3:$F$301,3,FALSE),0)</f>
        <v>W</v>
      </c>
      <c r="D22" s="26" t="str">
        <f>IFERROR(VLOOKUP($A22,'Species guilds'!$A$3:$F$301,4,FALSE),0)</f>
        <v>M</v>
      </c>
      <c r="E22" s="26" t="str">
        <f>IFERROR(VLOOKUP($A22,'Species guilds'!$A$3:$F$301,5,FALSE),0)</f>
        <v>IM</v>
      </c>
      <c r="F22" s="26">
        <f t="shared" si="0"/>
        <v>30</v>
      </c>
      <c r="G22" s="26">
        <f t="shared" ref="G22:G53" si="1">IF(D22="Lake",0,1)</f>
        <v>1</v>
      </c>
      <c r="H22" s="26">
        <f t="shared" ref="H22:H53" si="2">IF($C22=H$20,$B22*G22,0)</f>
        <v>0</v>
      </c>
      <c r="I22" s="26">
        <f t="shared" ref="I22:I53" si="3">IF($C22=I$20,$B22*G22,0)</f>
        <v>0</v>
      </c>
      <c r="J22" s="26">
        <f t="shared" ref="J22:J53" si="4">IF($C22=J$20,$B22*G22,0)</f>
        <v>30</v>
      </c>
      <c r="K22" s="26">
        <f t="shared" ref="K22:K53" si="5">IF($D22=K$20,$B22*G22,0)</f>
        <v>0</v>
      </c>
      <c r="L22" s="26">
        <f t="shared" ref="L22:L53" si="6">IF($D22=L$20,$B22*G22,0)</f>
        <v>30</v>
      </c>
      <c r="M22" s="26">
        <f t="shared" ref="M22:M40" si="7">IF($D22=M$20,$B22,0)</f>
        <v>0</v>
      </c>
      <c r="N22" s="26">
        <f t="shared" ref="N22:N53" si="8">IF($D22=N$20,$B22*G22,0)</f>
        <v>0</v>
      </c>
      <c r="O22" s="26">
        <f t="shared" ref="O22:O53" si="9">IF($E22=O$20,$B22*G22,0)</f>
        <v>0</v>
      </c>
      <c r="P22" s="26">
        <f t="shared" ref="P22:P53" si="10">IF($E22=P$20,$B22*G22,0)</f>
        <v>30</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7" t="s">
        <v>939</v>
      </c>
      <c r="B23" s="158">
        <v>34</v>
      </c>
      <c r="C23" s="26" t="str">
        <f>IFERROR(VLOOKUP($A23,'Species guilds'!$A$3:$F$301,3,FALSE),0)</f>
        <v>T</v>
      </c>
      <c r="D23" s="26" t="str">
        <f>IFERROR(VLOOKUP($A23,'Species guilds'!$A$3:$F$301,4,FALSE),0)</f>
        <v>M</v>
      </c>
      <c r="E23" s="26" t="str">
        <f>IFERROR(VLOOKUP($A23,'Species guilds'!$A$3:$F$301,5,FALSE),0)</f>
        <v>T</v>
      </c>
      <c r="F23" s="26">
        <f t="shared" si="0"/>
        <v>34</v>
      </c>
      <c r="G23" s="26">
        <f t="shared" si="1"/>
        <v>1</v>
      </c>
      <c r="H23" s="26">
        <f t="shared" si="2"/>
        <v>0</v>
      </c>
      <c r="I23" s="26">
        <f t="shared" si="3"/>
        <v>34</v>
      </c>
      <c r="J23" s="26">
        <f t="shared" si="4"/>
        <v>0</v>
      </c>
      <c r="K23" s="26">
        <f t="shared" si="5"/>
        <v>0</v>
      </c>
      <c r="L23" s="26">
        <f t="shared" si="6"/>
        <v>34</v>
      </c>
      <c r="M23" s="26">
        <f t="shared" si="7"/>
        <v>0</v>
      </c>
      <c r="N23" s="26">
        <f t="shared" si="8"/>
        <v>0</v>
      </c>
      <c r="O23" s="26">
        <f t="shared" si="9"/>
        <v>0</v>
      </c>
      <c r="P23" s="26">
        <f t="shared" si="10"/>
        <v>0</v>
      </c>
      <c r="Q23" s="26">
        <f t="shared" si="11"/>
        <v>34</v>
      </c>
      <c r="R23" s="79" t="str">
        <f t="shared" si="12"/>
        <v/>
      </c>
      <c r="T23" s="43"/>
      <c r="U23" s="43"/>
      <c r="V23" s="43"/>
      <c r="W23" s="43"/>
      <c r="X23" s="43"/>
      <c r="Y23" s="43"/>
    </row>
    <row r="24" spans="1:25" x14ac:dyDescent="0.25">
      <c r="A24" s="157" t="s">
        <v>933</v>
      </c>
      <c r="B24" s="158">
        <v>83</v>
      </c>
      <c r="C24" s="26" t="str">
        <f>IFERROR(VLOOKUP($A24,'Species guilds'!$A$3:$F$301,3,FALSE),0)</f>
        <v>T</v>
      </c>
      <c r="D24" s="26" t="str">
        <f>IFERROR(VLOOKUP($A24,'Species guilds'!$A$3:$F$301,4,FALSE),0)</f>
        <v>S</v>
      </c>
      <c r="E24" s="26" t="str">
        <f>IFERROR(VLOOKUP($A24,'Species guilds'!$A$3:$F$301,5,FALSE),0)</f>
        <v>T</v>
      </c>
      <c r="F24" s="26">
        <f t="shared" si="0"/>
        <v>83</v>
      </c>
      <c r="G24" s="26">
        <f t="shared" si="1"/>
        <v>1</v>
      </c>
      <c r="H24" s="26">
        <f t="shared" si="2"/>
        <v>0</v>
      </c>
      <c r="I24" s="26">
        <f t="shared" si="3"/>
        <v>83</v>
      </c>
      <c r="J24" s="26">
        <f t="shared" si="4"/>
        <v>0</v>
      </c>
      <c r="K24" s="26">
        <f t="shared" si="5"/>
        <v>83</v>
      </c>
      <c r="L24" s="26">
        <f t="shared" si="6"/>
        <v>0</v>
      </c>
      <c r="M24" s="26">
        <f t="shared" si="7"/>
        <v>0</v>
      </c>
      <c r="N24" s="26">
        <f t="shared" si="8"/>
        <v>0</v>
      </c>
      <c r="O24" s="26">
        <f t="shared" si="9"/>
        <v>0</v>
      </c>
      <c r="P24" s="26">
        <f t="shared" si="10"/>
        <v>0</v>
      </c>
      <c r="Q24" s="26">
        <f t="shared" si="11"/>
        <v>83</v>
      </c>
      <c r="R24" s="79" t="str">
        <f t="shared" si="12"/>
        <v/>
      </c>
      <c r="T24" s="43"/>
      <c r="U24" s="43"/>
      <c r="V24" s="43"/>
      <c r="W24" s="43"/>
      <c r="X24" s="43"/>
      <c r="Y24" s="43"/>
    </row>
    <row r="25" spans="1:25" x14ac:dyDescent="0.25">
      <c r="A25" s="157" t="s">
        <v>940</v>
      </c>
      <c r="B25" s="158">
        <v>39</v>
      </c>
      <c r="C25" s="26" t="str">
        <f>IFERROR(VLOOKUP($A25,'Species guilds'!$A$3:$F$301,3,FALSE),0)</f>
        <v>T</v>
      </c>
      <c r="D25" s="26" t="str">
        <f>IFERROR(VLOOKUP($A25,'Species guilds'!$A$3:$F$301,4,FALSE),0)</f>
        <v>M</v>
      </c>
      <c r="E25" s="26" t="str">
        <f>IFERROR(VLOOKUP($A25,'Species guilds'!$A$3:$F$301,5,FALSE),0)</f>
        <v>IM</v>
      </c>
      <c r="F25" s="26">
        <f t="shared" si="0"/>
        <v>39</v>
      </c>
      <c r="G25" s="26">
        <f t="shared" si="1"/>
        <v>1</v>
      </c>
      <c r="H25" s="26">
        <f t="shared" si="2"/>
        <v>0</v>
      </c>
      <c r="I25" s="26">
        <f t="shared" si="3"/>
        <v>39</v>
      </c>
      <c r="J25" s="26">
        <f t="shared" si="4"/>
        <v>0</v>
      </c>
      <c r="K25" s="26">
        <f t="shared" si="5"/>
        <v>0</v>
      </c>
      <c r="L25" s="26">
        <f t="shared" si="6"/>
        <v>39</v>
      </c>
      <c r="M25" s="26">
        <f t="shared" si="7"/>
        <v>0</v>
      </c>
      <c r="N25" s="26">
        <f t="shared" si="8"/>
        <v>0</v>
      </c>
      <c r="O25" s="26">
        <f t="shared" si="9"/>
        <v>0</v>
      </c>
      <c r="P25" s="26">
        <f t="shared" si="10"/>
        <v>39</v>
      </c>
      <c r="Q25" s="26">
        <f t="shared" si="11"/>
        <v>0</v>
      </c>
      <c r="R25" s="79" t="str">
        <f t="shared" si="12"/>
        <v/>
      </c>
      <c r="T25" s="43"/>
      <c r="U25" s="43"/>
      <c r="V25" s="43"/>
      <c r="W25" s="43"/>
      <c r="X25" s="43"/>
      <c r="Y25" s="43"/>
    </row>
    <row r="26" spans="1:25" x14ac:dyDescent="0.25">
      <c r="A26" s="156" t="s">
        <v>941</v>
      </c>
      <c r="B26" s="156">
        <v>16</v>
      </c>
      <c r="C26" s="26" t="str">
        <f>IFERROR(VLOOKUP($A26,'Species guilds'!$A$3:$F$301,3,FALSE),0)</f>
        <v>T</v>
      </c>
      <c r="D26" s="26" t="str">
        <f>IFERROR(VLOOKUP($A26,'Species guilds'!$A$3:$F$301,4,FALSE),0)</f>
        <v>S</v>
      </c>
      <c r="E26" s="26" t="str">
        <f>IFERROR(VLOOKUP($A26,'Species guilds'!$A$3:$F$301,5,FALSE),0)</f>
        <v>T</v>
      </c>
      <c r="F26" s="26">
        <f t="shared" si="0"/>
        <v>16</v>
      </c>
      <c r="G26" s="26">
        <f t="shared" si="1"/>
        <v>1</v>
      </c>
      <c r="H26" s="26">
        <f t="shared" si="2"/>
        <v>0</v>
      </c>
      <c r="I26" s="26">
        <f t="shared" si="3"/>
        <v>16</v>
      </c>
      <c r="J26" s="26">
        <f t="shared" si="4"/>
        <v>0</v>
      </c>
      <c r="K26" s="26">
        <f t="shared" si="5"/>
        <v>16</v>
      </c>
      <c r="L26" s="26">
        <f t="shared" si="6"/>
        <v>0</v>
      </c>
      <c r="M26" s="26">
        <f t="shared" si="7"/>
        <v>0</v>
      </c>
      <c r="N26" s="26">
        <f t="shared" si="8"/>
        <v>0</v>
      </c>
      <c r="O26" s="26">
        <f t="shared" si="9"/>
        <v>0</v>
      </c>
      <c r="P26" s="26">
        <f t="shared" si="10"/>
        <v>0</v>
      </c>
      <c r="Q26" s="26">
        <f t="shared" si="11"/>
        <v>16</v>
      </c>
      <c r="R26" s="79" t="str">
        <f t="shared" si="12"/>
        <v/>
      </c>
      <c r="T26" s="43"/>
      <c r="U26" s="43"/>
      <c r="V26" s="43"/>
      <c r="W26" s="43"/>
      <c r="X26" s="43"/>
      <c r="Y26" s="43"/>
    </row>
    <row r="27" spans="1:25" x14ac:dyDescent="0.25">
      <c r="A27" s="156" t="s">
        <v>942</v>
      </c>
      <c r="B27" s="156">
        <v>6</v>
      </c>
      <c r="C27" s="26" t="str">
        <f>IFERROR(VLOOKUP($A27,'Species guilds'!$A$3:$F$301,3,FALSE),0)</f>
        <v>C</v>
      </c>
      <c r="D27" s="26" t="str">
        <f>IFERROR(VLOOKUP($A27,'Species guilds'!$A$3:$F$301,4,FALSE),0)</f>
        <v>S</v>
      </c>
      <c r="E27" s="26" t="str">
        <f>IFERROR(VLOOKUP($A27,'Species guilds'!$A$3:$F$301,5,FALSE),0)</f>
        <v>IT</v>
      </c>
      <c r="F27" s="26">
        <f t="shared" si="0"/>
        <v>6</v>
      </c>
      <c r="G27" s="26">
        <f t="shared" si="1"/>
        <v>1</v>
      </c>
      <c r="H27" s="26">
        <f t="shared" si="2"/>
        <v>6</v>
      </c>
      <c r="I27" s="26">
        <f t="shared" si="3"/>
        <v>0</v>
      </c>
      <c r="J27" s="26">
        <f t="shared" si="4"/>
        <v>0</v>
      </c>
      <c r="K27" s="26">
        <f t="shared" si="5"/>
        <v>6</v>
      </c>
      <c r="L27" s="26">
        <f t="shared" si="6"/>
        <v>0</v>
      </c>
      <c r="M27" s="26">
        <f t="shared" si="7"/>
        <v>0</v>
      </c>
      <c r="N27" s="26">
        <f t="shared" si="8"/>
        <v>0</v>
      </c>
      <c r="O27" s="26">
        <f t="shared" si="9"/>
        <v>6</v>
      </c>
      <c r="P27" s="26">
        <f t="shared" si="10"/>
        <v>0</v>
      </c>
      <c r="Q27" s="26">
        <f t="shared" si="11"/>
        <v>0</v>
      </c>
      <c r="R27" s="79" t="str">
        <f t="shared" si="12"/>
        <v/>
      </c>
      <c r="T27" s="43"/>
      <c r="U27" s="43"/>
      <c r="V27" s="43"/>
      <c r="W27" s="43"/>
      <c r="X27" s="43"/>
      <c r="Y27" s="43"/>
    </row>
    <row r="28" spans="1:25" x14ac:dyDescent="0.25">
      <c r="A28" s="156" t="s">
        <v>934</v>
      </c>
      <c r="B28" s="156">
        <v>11</v>
      </c>
      <c r="C28" s="26" t="str">
        <f>IFERROR(VLOOKUP($A28,'Species guilds'!$A$3:$F$301,3,FALSE),0)</f>
        <v>T</v>
      </c>
      <c r="D28" s="26" t="str">
        <f>IFERROR(VLOOKUP($A28,'Species guilds'!$A$3:$F$301,4,FALSE),0)</f>
        <v>S</v>
      </c>
      <c r="E28" s="26" t="str">
        <f>IFERROR(VLOOKUP($A28,'Species guilds'!$A$3:$F$301,5,FALSE),0)</f>
        <v>T</v>
      </c>
      <c r="F28" s="26">
        <f t="shared" si="0"/>
        <v>11</v>
      </c>
      <c r="G28" s="26">
        <f t="shared" si="1"/>
        <v>1</v>
      </c>
      <c r="H28" s="26">
        <f t="shared" si="2"/>
        <v>0</v>
      </c>
      <c r="I28" s="26">
        <f t="shared" si="3"/>
        <v>11</v>
      </c>
      <c r="J28" s="26">
        <f t="shared" si="4"/>
        <v>0</v>
      </c>
      <c r="K28" s="26">
        <f t="shared" si="5"/>
        <v>11</v>
      </c>
      <c r="L28" s="26">
        <f t="shared" si="6"/>
        <v>0</v>
      </c>
      <c r="M28" s="26">
        <f t="shared" si="7"/>
        <v>0</v>
      </c>
      <c r="N28" s="26">
        <f t="shared" si="8"/>
        <v>0</v>
      </c>
      <c r="O28" s="26">
        <f t="shared" si="9"/>
        <v>0</v>
      </c>
      <c r="P28" s="26">
        <f t="shared" si="10"/>
        <v>0</v>
      </c>
      <c r="Q28" s="26">
        <f t="shared" si="11"/>
        <v>11</v>
      </c>
      <c r="R28" s="79" t="str">
        <f t="shared" si="12"/>
        <v/>
      </c>
      <c r="T28" s="31"/>
      <c r="U28" s="43"/>
      <c r="V28" s="43"/>
      <c r="W28" s="43"/>
      <c r="X28" s="43"/>
      <c r="Y28" s="43"/>
    </row>
    <row r="29" spans="1:25" x14ac:dyDescent="0.25">
      <c r="A29" s="25"/>
      <c r="B29" s="25"/>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79"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79"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456</v>
      </c>
      <c r="F54" s="9">
        <f>SUM(F21:F53)</f>
        <v>456</v>
      </c>
      <c r="G54" s="2"/>
      <c r="H54" s="9">
        <f>SUM(H21:H53)</f>
        <v>6</v>
      </c>
      <c r="I54" s="9">
        <f t="shared" ref="I54:Q54" si="14">SUM(I21:I53)</f>
        <v>420</v>
      </c>
      <c r="J54" s="9">
        <f t="shared" si="14"/>
        <v>30</v>
      </c>
      <c r="K54" s="9">
        <f t="shared" si="14"/>
        <v>353</v>
      </c>
      <c r="L54" s="9">
        <f t="shared" si="14"/>
        <v>103</v>
      </c>
      <c r="M54" s="9">
        <f t="shared" si="14"/>
        <v>0</v>
      </c>
      <c r="N54" s="9">
        <f t="shared" si="14"/>
        <v>0</v>
      </c>
      <c r="O54" s="9">
        <f t="shared" si="14"/>
        <v>6</v>
      </c>
      <c r="P54" s="9">
        <f t="shared" si="14"/>
        <v>69</v>
      </c>
      <c r="Q54" s="9">
        <f t="shared" si="14"/>
        <v>381</v>
      </c>
    </row>
  </sheetData>
  <sheetProtection sheet="1" objects="1" scenarios="1"/>
  <mergeCells count="17">
    <mergeCell ref="B4:D4"/>
    <mergeCell ref="B5:D5"/>
    <mergeCell ref="B6:D6"/>
    <mergeCell ref="O19:Q19"/>
    <mergeCell ref="G19:G20"/>
    <mergeCell ref="H19:J19"/>
    <mergeCell ref="G18:Q18"/>
    <mergeCell ref="B9:D9"/>
    <mergeCell ref="B17:D17"/>
    <mergeCell ref="K19:N19"/>
    <mergeCell ref="B7:D7"/>
    <mergeCell ref="B11:D11"/>
    <mergeCell ref="B15:D15"/>
    <mergeCell ref="B13:D13"/>
    <mergeCell ref="B14:D14"/>
    <mergeCell ref="B12:D12"/>
    <mergeCell ref="B8:D8"/>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10" zoomScaleNormal="100" workbookViewId="0">
      <selection activeCell="G25" sqref="G25"/>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7" t="s">
        <v>379</v>
      </c>
      <c r="B1" s="87"/>
      <c r="C1" s="87"/>
      <c r="D1" s="87"/>
      <c r="E1" s="87" t="s">
        <v>928</v>
      </c>
      <c r="F1" s="87"/>
    </row>
    <row r="2" spans="1:16" x14ac:dyDescent="0.2">
      <c r="A2" s="88" t="s">
        <v>856</v>
      </c>
      <c r="B2" s="87"/>
      <c r="C2" s="87"/>
      <c r="D2" s="87"/>
      <c r="E2" s="87"/>
      <c r="F2" s="87"/>
    </row>
    <row r="3" spans="1:16" x14ac:dyDescent="0.2">
      <c r="A3" s="65"/>
      <c r="B3" s="65"/>
      <c r="C3" s="65"/>
      <c r="D3" s="65"/>
      <c r="E3" s="65"/>
      <c r="F3" s="65"/>
    </row>
    <row r="4" spans="1:16" ht="15" x14ac:dyDescent="0.2">
      <c r="A4" s="65" t="s">
        <v>38</v>
      </c>
      <c r="B4" s="181" t="str">
        <f>'Enter field data'!B4</f>
        <v>Craig Roesler</v>
      </c>
      <c r="C4" s="182"/>
      <c r="D4" s="85"/>
      <c r="E4" s="65"/>
      <c r="F4" s="89" t="s">
        <v>836</v>
      </c>
      <c r="G4" s="83"/>
      <c r="H4" s="83"/>
      <c r="I4" s="83"/>
      <c r="J4" s="83"/>
      <c r="K4" s="83"/>
      <c r="L4" s="83"/>
      <c r="M4" s="83"/>
      <c r="N4" s="83"/>
      <c r="O4" s="83"/>
      <c r="P4" s="83"/>
    </row>
    <row r="5" spans="1:16" ht="15" x14ac:dyDescent="0.2">
      <c r="A5" s="65" t="s">
        <v>831</v>
      </c>
      <c r="B5" s="183">
        <f>'Enter field data'!B5</f>
        <v>42516</v>
      </c>
      <c r="C5" s="184"/>
      <c r="D5" s="85"/>
      <c r="E5" s="65"/>
      <c r="F5" s="90"/>
      <c r="G5" s="83" t="s">
        <v>875</v>
      </c>
      <c r="H5" s="83"/>
      <c r="I5" s="83"/>
      <c r="J5" s="83"/>
      <c r="K5" s="83"/>
      <c r="L5" s="83"/>
      <c r="M5" s="83"/>
      <c r="N5" s="83"/>
      <c r="O5" s="83"/>
      <c r="P5" s="83"/>
    </row>
    <row r="6" spans="1:16" ht="15" x14ac:dyDescent="0.2">
      <c r="A6" s="65" t="s">
        <v>830</v>
      </c>
      <c r="B6" s="183">
        <f>'Enter field data'!B6</f>
        <v>42228</v>
      </c>
      <c r="C6" s="184"/>
      <c r="D6" s="85"/>
      <c r="E6" s="65"/>
      <c r="F6" s="91"/>
      <c r="G6" s="83" t="s">
        <v>876</v>
      </c>
      <c r="H6" s="83"/>
      <c r="I6" s="83"/>
      <c r="J6" s="83"/>
      <c r="K6" s="83"/>
      <c r="L6" s="83"/>
      <c r="M6" s="83"/>
      <c r="N6" s="83"/>
      <c r="O6" s="83"/>
      <c r="P6" s="83"/>
    </row>
    <row r="7" spans="1:16" x14ac:dyDescent="0.2">
      <c r="A7" s="65" t="s">
        <v>869</v>
      </c>
      <c r="B7" s="181">
        <f>'Enter field data'!B7</f>
        <v>10043950</v>
      </c>
      <c r="C7" s="185"/>
      <c r="D7" s="85"/>
      <c r="E7" s="65"/>
      <c r="F7" s="65"/>
    </row>
    <row r="8" spans="1:16" x14ac:dyDescent="0.2">
      <c r="A8" s="65" t="s">
        <v>872</v>
      </c>
      <c r="B8" s="181" t="str">
        <f>'Enter field data'!B8</f>
        <v>South Fish Creek 60m US CTH F</v>
      </c>
      <c r="C8" s="185"/>
      <c r="D8" s="85"/>
      <c r="E8" s="65"/>
      <c r="F8" s="65"/>
    </row>
    <row r="9" spans="1:16" x14ac:dyDescent="0.2">
      <c r="A9" s="65" t="s">
        <v>49</v>
      </c>
      <c r="B9" s="181" t="str">
        <f>'Enter field data'!B9</f>
        <v>Fish survey</v>
      </c>
      <c r="C9" s="185"/>
      <c r="D9" s="85"/>
      <c r="E9" s="65"/>
      <c r="F9" s="65"/>
    </row>
    <row r="10" spans="1:16" x14ac:dyDescent="0.2">
      <c r="A10" s="65"/>
      <c r="B10" s="66"/>
      <c r="C10" s="85"/>
      <c r="D10" s="85"/>
      <c r="E10" s="65"/>
      <c r="F10" s="65"/>
    </row>
    <row r="11" spans="1:16" x14ac:dyDescent="0.2">
      <c r="A11" s="65" t="s">
        <v>34</v>
      </c>
      <c r="B11" s="181" t="str">
        <f>'Enter field data'!B11</f>
        <v>South Fish Creek</v>
      </c>
      <c r="C11" s="185"/>
      <c r="D11" s="85"/>
      <c r="E11" s="65"/>
      <c r="F11" s="92"/>
    </row>
    <row r="12" spans="1:16" x14ac:dyDescent="0.2">
      <c r="A12" s="65" t="s">
        <v>37</v>
      </c>
      <c r="B12" s="181" t="str">
        <f>'Enter field data'!B12</f>
        <v>Bayfield</v>
      </c>
      <c r="C12" s="185"/>
      <c r="D12" s="85"/>
      <c r="E12" s="65"/>
      <c r="F12" s="65"/>
    </row>
    <row r="13" spans="1:16" x14ac:dyDescent="0.2">
      <c r="A13" s="65" t="s">
        <v>35</v>
      </c>
      <c r="B13" s="181">
        <f>'Enter field data'!B13</f>
        <v>0</v>
      </c>
      <c r="C13" s="185"/>
      <c r="D13" s="85"/>
      <c r="E13" s="65"/>
      <c r="F13" s="92"/>
    </row>
    <row r="14" spans="1:16" x14ac:dyDescent="0.2">
      <c r="A14" s="65" t="s">
        <v>36</v>
      </c>
      <c r="B14" s="181">
        <f>'Enter field data'!B14</f>
        <v>2889900</v>
      </c>
      <c r="C14" s="185"/>
      <c r="D14" s="85"/>
      <c r="E14" s="65"/>
      <c r="F14" s="92"/>
    </row>
    <row r="15" spans="1:16" ht="15" x14ac:dyDescent="0.2">
      <c r="A15" s="65" t="s">
        <v>863</v>
      </c>
      <c r="B15" s="186" t="str">
        <f>'Enter field data'!B15</f>
        <v>0401030111</v>
      </c>
      <c r="C15" s="187"/>
      <c r="D15" s="84"/>
      <c r="E15" s="65"/>
      <c r="F15" s="92"/>
      <c r="H15" s="100"/>
    </row>
    <row r="16" spans="1:16" x14ac:dyDescent="0.2">
      <c r="A16" s="65"/>
      <c r="B16" s="65"/>
      <c r="C16" s="65"/>
      <c r="D16" s="65"/>
      <c r="E16" s="65"/>
      <c r="F16" s="65"/>
      <c r="K16" s="144"/>
      <c r="L16" s="144"/>
      <c r="M16" s="144"/>
      <c r="N16" s="144"/>
    </row>
    <row r="17" spans="1:30" x14ac:dyDescent="0.2">
      <c r="A17" s="69" t="s">
        <v>849</v>
      </c>
      <c r="B17" s="65"/>
      <c r="C17" s="68"/>
      <c r="D17" s="68"/>
      <c r="E17" s="68"/>
      <c r="F17" s="68"/>
      <c r="I17" s="141"/>
      <c r="J17" s="68"/>
      <c r="K17" s="68"/>
      <c r="L17" s="68"/>
      <c r="M17" s="68"/>
      <c r="N17" s="68"/>
    </row>
    <row r="18" spans="1:30" ht="15" x14ac:dyDescent="0.2">
      <c r="A18" s="179" t="s">
        <v>916</v>
      </c>
      <c r="B18" s="179"/>
      <c r="C18" s="180"/>
      <c r="D18" s="178" t="str">
        <f>'Enter field data'!$B$17</f>
        <v>Cool-Cold Headwater</v>
      </c>
      <c r="E18" s="172"/>
      <c r="F18" s="68"/>
      <c r="I18" s="141"/>
      <c r="J18" s="68"/>
      <c r="K18" s="68"/>
      <c r="L18" s="68"/>
      <c r="M18" s="68"/>
      <c r="N18" s="68"/>
    </row>
    <row r="19" spans="1:30" ht="12.75" customHeight="1" x14ac:dyDescent="0.2">
      <c r="A19" s="179" t="s">
        <v>850</v>
      </c>
      <c r="B19" s="179"/>
      <c r="C19" s="180"/>
      <c r="D19" s="200" t="s">
        <v>919</v>
      </c>
      <c r="E19" s="201"/>
      <c r="F19" s="93"/>
      <c r="I19" s="209"/>
      <c r="J19" s="209"/>
      <c r="K19" s="209"/>
      <c r="L19" s="143"/>
      <c r="M19" s="143"/>
      <c r="N19" s="142"/>
    </row>
    <row r="20" spans="1:30" x14ac:dyDescent="0.2">
      <c r="A20" s="65" t="s">
        <v>851</v>
      </c>
      <c r="B20" s="65"/>
      <c r="C20" s="67"/>
      <c r="D20" s="210" t="s">
        <v>23</v>
      </c>
      <c r="E20" s="211"/>
      <c r="F20" s="93"/>
      <c r="I20" s="68"/>
      <c r="J20" s="68"/>
      <c r="K20" s="68"/>
      <c r="L20" s="142"/>
    </row>
    <row r="21" spans="1:30" x14ac:dyDescent="0.2">
      <c r="A21" s="65"/>
      <c r="B21" s="65"/>
      <c r="C21" s="68"/>
      <c r="D21" s="68"/>
      <c r="E21" s="68"/>
      <c r="F21" s="93"/>
      <c r="I21" s="68"/>
      <c r="J21" s="68"/>
      <c r="K21" s="68"/>
      <c r="L21" s="68"/>
      <c r="M21" s="68"/>
      <c r="N21" s="142"/>
    </row>
    <row r="22" spans="1:30" x14ac:dyDescent="0.2">
      <c r="A22" s="70" t="s">
        <v>855</v>
      </c>
      <c r="B22" s="94"/>
      <c r="C22" s="94"/>
      <c r="D22" s="94"/>
      <c r="E22" s="95"/>
      <c r="F22" s="93"/>
      <c r="I22" s="141"/>
      <c r="J22" s="68"/>
      <c r="K22" s="68"/>
      <c r="L22" s="68"/>
      <c r="M22" s="68"/>
      <c r="N22" s="142"/>
    </row>
    <row r="23" spans="1:30" x14ac:dyDescent="0.2">
      <c r="A23" s="96" t="s">
        <v>861</v>
      </c>
      <c r="B23" s="97"/>
      <c r="C23" s="97"/>
      <c r="D23" s="202"/>
      <c r="E23" s="202"/>
      <c r="F23" s="93"/>
      <c r="I23" s="68"/>
      <c r="J23" s="68"/>
      <c r="K23" s="68"/>
      <c r="L23" s="68"/>
      <c r="M23" s="68"/>
      <c r="N23" s="142"/>
    </row>
    <row r="24" spans="1:30" x14ac:dyDescent="0.2">
      <c r="A24" s="96" t="s">
        <v>854</v>
      </c>
      <c r="B24" s="97"/>
      <c r="C24" s="97"/>
      <c r="D24" s="202"/>
      <c r="E24" s="202"/>
      <c r="F24" s="93"/>
      <c r="I24" s="87"/>
      <c r="J24" s="65"/>
      <c r="K24" s="85"/>
      <c r="L24" s="145"/>
      <c r="M24" s="145"/>
    </row>
    <row r="25" spans="1:30" x14ac:dyDescent="0.2">
      <c r="A25" s="98" t="s">
        <v>862</v>
      </c>
      <c r="B25" s="99"/>
      <c r="C25" s="99"/>
      <c r="D25" s="202"/>
      <c r="E25" s="202"/>
      <c r="F25" s="93"/>
      <c r="I25" s="68"/>
      <c r="J25" s="68"/>
      <c r="K25" s="68"/>
      <c r="L25" s="68"/>
      <c r="M25" s="68"/>
      <c r="N25" s="142"/>
    </row>
    <row r="26" spans="1:30" ht="13.5" thickBot="1" x14ac:dyDescent="0.25"/>
    <row r="27" spans="1:30" ht="13.5" thickTop="1" x14ac:dyDescent="0.2">
      <c r="A27" s="146"/>
      <c r="B27" s="146"/>
      <c r="C27" s="146"/>
      <c r="D27" s="146"/>
      <c r="E27" s="146"/>
      <c r="F27" s="146"/>
      <c r="G27" s="146"/>
      <c r="H27" s="147" t="s">
        <v>925</v>
      </c>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
      <c r="H28" s="153" t="s">
        <v>926</v>
      </c>
    </row>
    <row r="29" spans="1:30" ht="15" x14ac:dyDescent="0.2">
      <c r="A29" s="87" t="s">
        <v>912</v>
      </c>
      <c r="B29" s="65"/>
      <c r="C29" s="85"/>
      <c r="D29" s="178" t="str">
        <f>'Enter field data'!$B$17</f>
        <v>Cool-Cold Headwater</v>
      </c>
      <c r="E29" s="172"/>
      <c r="H29" s="148"/>
      <c r="I29" s="100" t="s">
        <v>913</v>
      </c>
      <c r="L29" s="212" t="s">
        <v>23</v>
      </c>
      <c r="M29" s="213"/>
      <c r="N29" s="11"/>
      <c r="P29" s="100" t="s">
        <v>914</v>
      </c>
      <c r="S29" s="212"/>
      <c r="T29" s="213"/>
      <c r="U29" s="11"/>
      <c r="W29" s="100" t="s">
        <v>915</v>
      </c>
      <c r="Z29" s="212"/>
      <c r="AA29" s="213"/>
      <c r="AB29" s="11"/>
    </row>
    <row r="30" spans="1:30" x14ac:dyDescent="0.2">
      <c r="H30" s="148"/>
    </row>
    <row r="31" spans="1:30" x14ac:dyDescent="0.2">
      <c r="A31" s="100" t="s">
        <v>390</v>
      </c>
      <c r="H31" s="148"/>
      <c r="I31" s="100" t="s">
        <v>390</v>
      </c>
      <c r="P31" s="100" t="s">
        <v>390</v>
      </c>
      <c r="W31" s="100" t="s">
        <v>390</v>
      </c>
    </row>
    <row r="32" spans="1:30" x14ac:dyDescent="0.2">
      <c r="A32" s="101" t="s">
        <v>930</v>
      </c>
      <c r="H32" s="148"/>
      <c r="I32" s="101" t="s">
        <v>929</v>
      </c>
      <c r="P32" s="101" t="s">
        <v>929</v>
      </c>
      <c r="W32" s="101" t="s">
        <v>929</v>
      </c>
    </row>
    <row r="33" spans="1:28" x14ac:dyDescent="0.2">
      <c r="H33" s="148"/>
    </row>
    <row r="34" spans="1:28" x14ac:dyDescent="0.2">
      <c r="A34" s="102" t="s">
        <v>60</v>
      </c>
      <c r="B34" s="65"/>
      <c r="C34" s="65"/>
      <c r="D34" s="65"/>
      <c r="E34" s="65"/>
      <c r="F34" s="65"/>
      <c r="H34" s="148"/>
      <c r="I34" s="102" t="s">
        <v>60</v>
      </c>
      <c r="J34" s="65"/>
      <c r="K34" s="65"/>
      <c r="L34" s="65"/>
      <c r="M34" s="65"/>
      <c r="N34" s="65"/>
      <c r="P34" s="102" t="s">
        <v>60</v>
      </c>
      <c r="Q34" s="65"/>
      <c r="R34" s="65"/>
      <c r="S34" s="65"/>
      <c r="T34" s="65"/>
      <c r="U34" s="65"/>
      <c r="W34" s="102" t="s">
        <v>60</v>
      </c>
      <c r="X34" s="65"/>
      <c r="Y34" s="65"/>
      <c r="Z34" s="65"/>
      <c r="AA34" s="65"/>
      <c r="AB34" s="65"/>
    </row>
    <row r="35" spans="1:28" x14ac:dyDescent="0.2">
      <c r="A35" s="80" t="s">
        <v>5</v>
      </c>
      <c r="B35" s="103"/>
      <c r="C35" s="104" t="s">
        <v>0</v>
      </c>
      <c r="D35" s="105"/>
      <c r="E35" s="106" t="s">
        <v>1</v>
      </c>
      <c r="F35" s="107"/>
      <c r="H35" s="148"/>
      <c r="I35" s="140" t="s">
        <v>5</v>
      </c>
      <c r="J35" s="135"/>
      <c r="K35" s="104" t="s">
        <v>0</v>
      </c>
      <c r="L35" s="105"/>
      <c r="M35" s="136" t="s">
        <v>1</v>
      </c>
      <c r="N35" s="107"/>
      <c r="P35" s="140" t="s">
        <v>5</v>
      </c>
      <c r="Q35" s="135"/>
      <c r="R35" s="104" t="s">
        <v>0</v>
      </c>
      <c r="S35" s="105"/>
      <c r="T35" s="136" t="s">
        <v>1</v>
      </c>
      <c r="U35" s="107"/>
      <c r="W35" s="140" t="s">
        <v>5</v>
      </c>
      <c r="X35" s="135"/>
      <c r="Y35" s="104" t="s">
        <v>0</v>
      </c>
      <c r="Z35" s="105"/>
      <c r="AA35" s="136" t="s">
        <v>1</v>
      </c>
      <c r="AB35" s="107"/>
    </row>
    <row r="36" spans="1:28" x14ac:dyDescent="0.2">
      <c r="A36" s="108" t="s">
        <v>6</v>
      </c>
      <c r="B36" s="81">
        <f>'Enter field data'!$H$54</f>
        <v>6</v>
      </c>
      <c r="C36" s="109" t="s">
        <v>9</v>
      </c>
      <c r="D36" s="110">
        <f>'Enter field data'!$K$54</f>
        <v>353</v>
      </c>
      <c r="E36" s="111" t="s">
        <v>12</v>
      </c>
      <c r="F36" s="112">
        <f>'Enter field data'!$O$54</f>
        <v>6</v>
      </c>
      <c r="H36" s="148"/>
      <c r="I36" s="108" t="s">
        <v>6</v>
      </c>
      <c r="J36" s="81">
        <f>'Enter field data'!$H$54</f>
        <v>6</v>
      </c>
      <c r="K36" s="109" t="s">
        <v>9</v>
      </c>
      <c r="L36" s="110">
        <f>'Enter field data'!$K$54</f>
        <v>353</v>
      </c>
      <c r="M36" s="111" t="s">
        <v>12</v>
      </c>
      <c r="N36" s="112">
        <f>'Enter field data'!$O$54</f>
        <v>6</v>
      </c>
      <c r="P36" s="108" t="s">
        <v>6</v>
      </c>
      <c r="Q36" s="81">
        <f>'Enter field data'!$H$54</f>
        <v>6</v>
      </c>
      <c r="R36" s="109" t="s">
        <v>9</v>
      </c>
      <c r="S36" s="110">
        <f>'Enter field data'!$K$54</f>
        <v>353</v>
      </c>
      <c r="T36" s="111" t="s">
        <v>12</v>
      </c>
      <c r="U36" s="112">
        <f>'Enter field data'!$O$54</f>
        <v>6</v>
      </c>
      <c r="W36" s="108" t="s">
        <v>6</v>
      </c>
      <c r="X36" s="81">
        <f>'Enter field data'!$H$54</f>
        <v>6</v>
      </c>
      <c r="Y36" s="109" t="s">
        <v>9</v>
      </c>
      <c r="Z36" s="110">
        <f>'Enter field data'!$K$54</f>
        <v>353</v>
      </c>
      <c r="AA36" s="111" t="s">
        <v>12</v>
      </c>
      <c r="AB36" s="112">
        <f>'Enter field data'!$O$54</f>
        <v>6</v>
      </c>
    </row>
    <row r="37" spans="1:28" x14ac:dyDescent="0.2">
      <c r="A37" s="108" t="s">
        <v>7</v>
      </c>
      <c r="B37" s="81">
        <f>'Enter field data'!$I$54</f>
        <v>420</v>
      </c>
      <c r="C37" s="109" t="s">
        <v>10</v>
      </c>
      <c r="D37" s="110">
        <f>'Enter field data'!$L$54</f>
        <v>103</v>
      </c>
      <c r="E37" s="111" t="s">
        <v>13</v>
      </c>
      <c r="F37" s="112">
        <f>'Enter field data'!$P$54</f>
        <v>69</v>
      </c>
      <c r="H37" s="148"/>
      <c r="I37" s="108" t="s">
        <v>7</v>
      </c>
      <c r="J37" s="81">
        <f>'Enter field data'!$I$54</f>
        <v>420</v>
      </c>
      <c r="K37" s="109" t="s">
        <v>10</v>
      </c>
      <c r="L37" s="110">
        <f>'Enter field data'!$L$54</f>
        <v>103</v>
      </c>
      <c r="M37" s="111" t="s">
        <v>13</v>
      </c>
      <c r="N37" s="112">
        <f>'Enter field data'!$P$54</f>
        <v>69</v>
      </c>
      <c r="P37" s="108" t="s">
        <v>7</v>
      </c>
      <c r="Q37" s="81">
        <f>'Enter field data'!$I$54</f>
        <v>420</v>
      </c>
      <c r="R37" s="109" t="s">
        <v>10</v>
      </c>
      <c r="S37" s="110">
        <f>'Enter field data'!$L$54</f>
        <v>103</v>
      </c>
      <c r="T37" s="111" t="s">
        <v>13</v>
      </c>
      <c r="U37" s="112">
        <f>'Enter field data'!$P$54</f>
        <v>69</v>
      </c>
      <c r="W37" s="108" t="s">
        <v>7</v>
      </c>
      <c r="X37" s="81">
        <f>'Enter field data'!$I$54</f>
        <v>420</v>
      </c>
      <c r="Y37" s="109" t="s">
        <v>10</v>
      </c>
      <c r="Z37" s="110">
        <f>'Enter field data'!$L$54</f>
        <v>103</v>
      </c>
      <c r="AA37" s="111" t="s">
        <v>13</v>
      </c>
      <c r="AB37" s="112">
        <f>'Enter field data'!$P$54</f>
        <v>69</v>
      </c>
    </row>
    <row r="38" spans="1:28" x14ac:dyDescent="0.2">
      <c r="A38" s="108" t="s">
        <v>8</v>
      </c>
      <c r="B38" s="81">
        <f>'Enter field data'!$J$54</f>
        <v>30</v>
      </c>
      <c r="C38" s="109" t="s">
        <v>11</v>
      </c>
      <c r="D38" s="110">
        <f>'Enter field data'!$N$54</f>
        <v>0</v>
      </c>
      <c r="E38" s="111" t="s">
        <v>14</v>
      </c>
      <c r="F38" s="112">
        <f>'Enter field data'!$Q$54</f>
        <v>381</v>
      </c>
      <c r="H38" s="148"/>
      <c r="I38" s="108" t="s">
        <v>8</v>
      </c>
      <c r="J38" s="81">
        <f>'Enter field data'!$J$54</f>
        <v>30</v>
      </c>
      <c r="K38" s="109" t="s">
        <v>11</v>
      </c>
      <c r="L38" s="110">
        <f>'Enter field data'!$N$54</f>
        <v>0</v>
      </c>
      <c r="M38" s="111" t="s">
        <v>14</v>
      </c>
      <c r="N38" s="112">
        <f>'Enter field data'!$Q$54</f>
        <v>381</v>
      </c>
      <c r="P38" s="108" t="s">
        <v>8</v>
      </c>
      <c r="Q38" s="81">
        <f>'Enter field data'!$J$54</f>
        <v>30</v>
      </c>
      <c r="R38" s="109" t="s">
        <v>11</v>
      </c>
      <c r="S38" s="110">
        <f>'Enter field data'!$N$54</f>
        <v>0</v>
      </c>
      <c r="T38" s="111" t="s">
        <v>14</v>
      </c>
      <c r="U38" s="112">
        <f>'Enter field data'!$Q$54</f>
        <v>381</v>
      </c>
      <c r="W38" s="108" t="s">
        <v>8</v>
      </c>
      <c r="X38" s="81">
        <f>'Enter field data'!$J$54</f>
        <v>30</v>
      </c>
      <c r="Y38" s="109" t="s">
        <v>11</v>
      </c>
      <c r="Z38" s="110">
        <f>'Enter field data'!$N$54</f>
        <v>0</v>
      </c>
      <c r="AA38" s="111" t="s">
        <v>14</v>
      </c>
      <c r="AB38" s="112">
        <f>'Enter field data'!$Q$54</f>
        <v>381</v>
      </c>
    </row>
    <row r="39" spans="1:28" x14ac:dyDescent="0.2">
      <c r="A39" s="65"/>
      <c r="B39" s="65"/>
      <c r="C39" s="65"/>
      <c r="D39" s="65"/>
      <c r="E39" s="65"/>
      <c r="F39" s="65"/>
      <c r="H39" s="148"/>
      <c r="I39" s="65"/>
      <c r="J39" s="65"/>
      <c r="K39" s="65"/>
      <c r="L39" s="65"/>
      <c r="M39" s="65"/>
      <c r="N39" s="65"/>
      <c r="P39" s="65"/>
      <c r="Q39" s="65"/>
      <c r="R39" s="65"/>
      <c r="S39" s="65"/>
      <c r="T39" s="65"/>
      <c r="U39" s="65"/>
      <c r="W39" s="65"/>
      <c r="X39" s="65"/>
      <c r="Y39" s="65"/>
      <c r="Z39" s="65"/>
      <c r="AA39" s="65"/>
      <c r="AB39" s="65"/>
    </row>
    <row r="40" spans="1:28" x14ac:dyDescent="0.2">
      <c r="A40" s="87" t="s">
        <v>67</v>
      </c>
      <c r="B40" s="65"/>
      <c r="C40" s="65"/>
      <c r="D40" s="65"/>
      <c r="E40" s="65"/>
      <c r="F40" s="65"/>
      <c r="H40" s="148"/>
      <c r="I40" s="87" t="s">
        <v>67</v>
      </c>
      <c r="J40" s="65"/>
      <c r="K40" s="65"/>
      <c r="L40" s="65"/>
      <c r="M40" s="65"/>
      <c r="N40" s="65"/>
      <c r="P40" s="87" t="s">
        <v>67</v>
      </c>
      <c r="Q40" s="65"/>
      <c r="R40" s="65"/>
      <c r="S40" s="65"/>
      <c r="T40" s="65"/>
      <c r="U40" s="65"/>
      <c r="W40" s="87" t="s">
        <v>67</v>
      </c>
      <c r="X40" s="65"/>
      <c r="Y40" s="65"/>
      <c r="Z40" s="65"/>
      <c r="AA40" s="65"/>
      <c r="AB40" s="65"/>
    </row>
    <row r="41" spans="1:28" x14ac:dyDescent="0.2">
      <c r="A41" s="203" t="s">
        <v>5</v>
      </c>
      <c r="B41" s="204"/>
      <c r="C41" s="204"/>
      <c r="D41" s="204"/>
      <c r="E41" s="205"/>
      <c r="F41" s="65"/>
      <c r="H41" s="148"/>
      <c r="I41" s="203" t="s">
        <v>5</v>
      </c>
      <c r="J41" s="204"/>
      <c r="K41" s="204"/>
      <c r="L41" s="204"/>
      <c r="M41" s="205"/>
      <c r="N41" s="65"/>
      <c r="P41" s="203" t="s">
        <v>5</v>
      </c>
      <c r="Q41" s="204"/>
      <c r="R41" s="204"/>
      <c r="S41" s="204"/>
      <c r="T41" s="205"/>
      <c r="U41" s="65"/>
      <c r="W41" s="203" t="s">
        <v>5</v>
      </c>
      <c r="X41" s="204"/>
      <c r="Y41" s="204"/>
      <c r="Z41" s="204"/>
      <c r="AA41" s="205"/>
      <c r="AB41" s="65"/>
    </row>
    <row r="42" spans="1:28" ht="12.75" customHeight="1" x14ac:dyDescent="0.2">
      <c r="A42" s="113" t="s">
        <v>55</v>
      </c>
      <c r="B42" s="192" t="s">
        <v>65</v>
      </c>
      <c r="C42" s="194" t="s">
        <v>66</v>
      </c>
      <c r="D42" s="195"/>
      <c r="E42" s="196" t="s">
        <v>56</v>
      </c>
      <c r="F42" s="65"/>
      <c r="H42" s="148"/>
      <c r="I42" s="137" t="s">
        <v>55</v>
      </c>
      <c r="J42" s="192" t="s">
        <v>65</v>
      </c>
      <c r="K42" s="194" t="s">
        <v>66</v>
      </c>
      <c r="L42" s="195"/>
      <c r="M42" s="196" t="s">
        <v>56</v>
      </c>
      <c r="N42" s="65"/>
      <c r="P42" s="137" t="s">
        <v>55</v>
      </c>
      <c r="Q42" s="192" t="s">
        <v>65</v>
      </c>
      <c r="R42" s="194" t="s">
        <v>66</v>
      </c>
      <c r="S42" s="195"/>
      <c r="T42" s="196" t="s">
        <v>56</v>
      </c>
      <c r="U42" s="65"/>
      <c r="W42" s="137" t="s">
        <v>55</v>
      </c>
      <c r="X42" s="192" t="s">
        <v>65</v>
      </c>
      <c r="Y42" s="194" t="s">
        <v>66</v>
      </c>
      <c r="Z42" s="195"/>
      <c r="AA42" s="196" t="s">
        <v>56</v>
      </c>
      <c r="AB42" s="65"/>
    </row>
    <row r="43" spans="1:28" x14ac:dyDescent="0.2">
      <c r="A43" s="114"/>
      <c r="B43" s="193"/>
      <c r="C43" s="115" t="s">
        <v>62</v>
      </c>
      <c r="D43" s="116" t="s">
        <v>63</v>
      </c>
      <c r="E43" s="197"/>
      <c r="F43" s="65"/>
      <c r="H43" s="148"/>
      <c r="I43" s="138"/>
      <c r="J43" s="193"/>
      <c r="K43" s="115" t="s">
        <v>62</v>
      </c>
      <c r="L43" s="139" t="s">
        <v>63</v>
      </c>
      <c r="M43" s="197"/>
      <c r="N43" s="65"/>
      <c r="P43" s="138"/>
      <c r="Q43" s="193"/>
      <c r="R43" s="115" t="s">
        <v>62</v>
      </c>
      <c r="S43" s="139" t="s">
        <v>63</v>
      </c>
      <c r="T43" s="197"/>
      <c r="U43" s="65"/>
      <c r="W43" s="138"/>
      <c r="X43" s="193"/>
      <c r="Y43" s="115" t="s">
        <v>62</v>
      </c>
      <c r="Z43" s="139" t="s">
        <v>63</v>
      </c>
      <c r="AA43" s="197"/>
      <c r="AB43" s="65"/>
    </row>
    <row r="44" spans="1:28" x14ac:dyDescent="0.2">
      <c r="A44" s="108" t="s">
        <v>6</v>
      </c>
      <c r="B44" s="117">
        <f>($B$36/'Enter field data'!$F$54)</f>
        <v>1.3157894736842105E-2</v>
      </c>
      <c r="C44" s="118">
        <f>VLOOKUP($D$29,'Expected guild %'!$A$5:$G$13,2,FALSE)</f>
        <v>0.05</v>
      </c>
      <c r="D44" s="118">
        <f>VLOOKUP($D$29,'Expected guild %'!$A$5:$G$13,3,FALSE)</f>
        <v>0.75</v>
      </c>
      <c r="E44" s="119" t="str">
        <f>IF(AND(C44&lt;=B44,B44&lt;= D44)=TRUE,"Y","N")</f>
        <v>N</v>
      </c>
      <c r="F44" s="65"/>
      <c r="H44" s="148"/>
      <c r="I44" s="108" t="s">
        <v>6</v>
      </c>
      <c r="J44" s="117">
        <f>($B$36/'Enter field data'!$F$54)</f>
        <v>1.3157894736842105E-2</v>
      </c>
      <c r="K44" s="118">
        <f>VLOOKUP(L$29,'Expected guild %'!$A$5:$G$13,2,FALSE)</f>
        <v>0</v>
      </c>
      <c r="L44" s="118">
        <f>VLOOKUP(L$29,'Expected guild %'!$A$5:$G$13,3,FALSE)</f>
        <v>0.05</v>
      </c>
      <c r="M44" s="119" t="str">
        <f>IF(AND(K44&lt;=J44,J44&lt;= L44)=TRUE,"Y","N")</f>
        <v>Y</v>
      </c>
      <c r="N44" s="65"/>
      <c r="P44" s="108" t="s">
        <v>6</v>
      </c>
      <c r="Q44" s="117">
        <f>($B$36/'Enter field data'!$F$54)</f>
        <v>1.3157894736842105E-2</v>
      </c>
      <c r="R44" s="118" t="e">
        <f>VLOOKUP(S$29,'Expected guild %'!$A$5:$G$13,2,FALSE)</f>
        <v>#N/A</v>
      </c>
      <c r="S44" s="118" t="e">
        <f>VLOOKUP(S$29,'Expected guild %'!$A$5:$G$13,3,FALSE)</f>
        <v>#N/A</v>
      </c>
      <c r="T44" s="119" t="e">
        <f>IF(AND(R44&lt;=Q44,Q44&lt;= S44)=TRUE,"Y","N")</f>
        <v>#N/A</v>
      </c>
      <c r="U44" s="65"/>
      <c r="W44" s="108" t="s">
        <v>6</v>
      </c>
      <c r="X44" s="117">
        <f>($B$36/'Enter field data'!$F$54)</f>
        <v>1.3157894736842105E-2</v>
      </c>
      <c r="Y44" s="118" t="e">
        <f>VLOOKUP(Z$29,'Expected guild %'!$A$5:$G$13,2,FALSE)</f>
        <v>#N/A</v>
      </c>
      <c r="Z44" s="118" t="e">
        <f>VLOOKUP(Z$29,'Expected guild %'!$A$5:$G$13,3,FALSE)</f>
        <v>#N/A</v>
      </c>
      <c r="AA44" s="119" t="e">
        <f>IF(AND(Y44&lt;=X44,X44&lt;= Z44)=TRUE,"Y","N")</f>
        <v>#N/A</v>
      </c>
      <c r="AB44" s="65"/>
    </row>
    <row r="45" spans="1:28" x14ac:dyDescent="0.2">
      <c r="A45" s="108" t="s">
        <v>7</v>
      </c>
      <c r="B45" s="117">
        <f>($B$37/'Enter field data'!$F$54)</f>
        <v>0.92105263157894735</v>
      </c>
      <c r="C45" s="118">
        <f>VLOOKUP($D$29,'Expected guild %'!$A$5:$G$13,4,FALSE)</f>
        <v>0.25</v>
      </c>
      <c r="D45" s="118">
        <f>VLOOKUP($D$29,'Expected guild %'!$A$5:$G$13,5,FALSE)</f>
        <v>1</v>
      </c>
      <c r="E45" s="119" t="str">
        <f>IF(AND(C45&lt;=B45,B45&lt;= D45)=TRUE,"Y","N")</f>
        <v>Y</v>
      </c>
      <c r="F45" s="65"/>
      <c r="H45" s="148"/>
      <c r="I45" s="108" t="s">
        <v>7</v>
      </c>
      <c r="J45" s="117">
        <f>($B$37/'Enter field data'!$F$54)</f>
        <v>0.92105263157894735</v>
      </c>
      <c r="K45" s="118">
        <f>VLOOKUP(L$29,'Expected guild %'!$A$5:$G$13,4,FALSE)</f>
        <v>0.25</v>
      </c>
      <c r="L45" s="118">
        <f>VLOOKUP(L$29,'Expected guild %'!$A$5:$G$13,5,FALSE)</f>
        <v>1</v>
      </c>
      <c r="M45" s="119" t="str">
        <f>IF(AND(K45&lt;=J45,J45&lt;= L45)=TRUE,"Y","N")</f>
        <v>Y</v>
      </c>
      <c r="N45" s="65"/>
      <c r="P45" s="108" t="s">
        <v>7</v>
      </c>
      <c r="Q45" s="117">
        <f>($B$37/'Enter field data'!$F$54)</f>
        <v>0.92105263157894735</v>
      </c>
      <c r="R45" s="118" t="e">
        <f>VLOOKUP(S$29,'Expected guild %'!$A$5:$G$13,4,FALSE)</f>
        <v>#N/A</v>
      </c>
      <c r="S45" s="118" t="e">
        <f>VLOOKUP(S$29,'Expected guild %'!$A$5:$G$13,5,FALSE)</f>
        <v>#N/A</v>
      </c>
      <c r="T45" s="119" t="e">
        <f>IF(AND(R45&lt;=Q45,Q45&lt;= S45)=TRUE,"Y","N")</f>
        <v>#N/A</v>
      </c>
      <c r="U45" s="65"/>
      <c r="W45" s="108" t="s">
        <v>7</v>
      </c>
      <c r="X45" s="117">
        <f>($B$37/'Enter field data'!$F$54)</f>
        <v>0.92105263157894735</v>
      </c>
      <c r="Y45" s="118" t="e">
        <f>VLOOKUP(Z$29,'Expected guild %'!$A$5:$G$13,4,FALSE)</f>
        <v>#N/A</v>
      </c>
      <c r="Z45" s="118" t="e">
        <f>VLOOKUP(Z$29,'Expected guild %'!$A$5:$G$13,5,FALSE)</f>
        <v>#N/A</v>
      </c>
      <c r="AA45" s="119" t="e">
        <f>IF(AND(Y45&lt;=X45,X45&lt;= Z45)=TRUE,"Y","N")</f>
        <v>#N/A</v>
      </c>
      <c r="AB45" s="65"/>
    </row>
    <row r="46" spans="1:28" x14ac:dyDescent="0.2">
      <c r="A46" s="108" t="s">
        <v>8</v>
      </c>
      <c r="B46" s="117">
        <f>($B$38/'Enter field data'!$F$54)</f>
        <v>6.5789473684210523E-2</v>
      </c>
      <c r="C46" s="118">
        <f>VLOOKUP($D$29,'Expected guild %'!$A$5:$G$13,6,FALSE)</f>
        <v>0</v>
      </c>
      <c r="D46" s="118">
        <f>VLOOKUP($D$29,'Expected guild %'!$A$5:$G$13,7,FALSE)</f>
        <v>0.25</v>
      </c>
      <c r="E46" s="119" t="str">
        <f>IF(AND(C46&lt;=B46,B46&lt;= D46)=TRUE,"Y","N")</f>
        <v>Y</v>
      </c>
      <c r="F46" s="65"/>
      <c r="H46" s="148"/>
      <c r="I46" s="108" t="s">
        <v>8</v>
      </c>
      <c r="J46" s="117">
        <f>($B$38/'Enter field data'!$F$54)</f>
        <v>6.5789473684210523E-2</v>
      </c>
      <c r="K46" s="118">
        <f>VLOOKUP(L$29,'Expected guild %'!$A$5:$G$13,6,FALSE)</f>
        <v>0</v>
      </c>
      <c r="L46" s="118">
        <f>VLOOKUP(L$29,'Expected guild %'!$A$5:$G$13,7,FALSE)</f>
        <v>0.75</v>
      </c>
      <c r="M46" s="119" t="str">
        <f>IF(AND(K46&lt;=J46,J46&lt;= L46)=TRUE,"Y","N")</f>
        <v>Y</v>
      </c>
      <c r="N46" s="65"/>
      <c r="P46" s="108" t="s">
        <v>8</v>
      </c>
      <c r="Q46" s="117">
        <f>($B$38/'Enter field data'!$F$54)</f>
        <v>6.5789473684210523E-2</v>
      </c>
      <c r="R46" s="118" t="e">
        <f>VLOOKUP(S$29,'Expected guild %'!$A$5:$G$13,6,FALSE)</f>
        <v>#N/A</v>
      </c>
      <c r="S46" s="118" t="e">
        <f>VLOOKUP(S$29,'Expected guild %'!$A$5:$G$13,7,FALSE)</f>
        <v>#N/A</v>
      </c>
      <c r="T46" s="119" t="e">
        <f>IF(AND(R46&lt;=Q46,Q46&lt;= S46)=TRUE,"Y","N")</f>
        <v>#N/A</v>
      </c>
      <c r="U46" s="65"/>
      <c r="W46" s="108" t="s">
        <v>8</v>
      </c>
      <c r="X46" s="117">
        <f>($B$38/'Enter field data'!$F$54)</f>
        <v>6.5789473684210523E-2</v>
      </c>
      <c r="Y46" s="118" t="e">
        <f>VLOOKUP(Z$29,'Expected guild %'!$A$5:$G$13,6,FALSE)</f>
        <v>#N/A</v>
      </c>
      <c r="Z46" s="118" t="e">
        <f>VLOOKUP(Z$29,'Expected guild %'!$A$5:$G$13,7,FALSE)</f>
        <v>#N/A</v>
      </c>
      <c r="AA46" s="119" t="e">
        <f>IF(AND(Y46&lt;=X46,X46&lt;= Z46)=TRUE,"Y","N")</f>
        <v>#N/A</v>
      </c>
      <c r="AB46" s="65"/>
    </row>
    <row r="47" spans="1:28" x14ac:dyDescent="0.2">
      <c r="A47" s="65"/>
      <c r="B47" s="65"/>
      <c r="C47" s="65"/>
      <c r="D47" s="65"/>
      <c r="E47" s="65"/>
      <c r="F47" s="65"/>
      <c r="H47" s="148"/>
      <c r="I47" s="65"/>
      <c r="J47" s="65"/>
      <c r="K47" s="65"/>
      <c r="L47" s="65"/>
      <c r="M47" s="65"/>
      <c r="N47" s="65"/>
      <c r="P47" s="65"/>
      <c r="Q47" s="65"/>
      <c r="R47" s="65"/>
      <c r="S47" s="65"/>
      <c r="T47" s="65"/>
      <c r="U47" s="65"/>
      <c r="W47" s="65"/>
      <c r="X47" s="65"/>
      <c r="Y47" s="65"/>
      <c r="Z47" s="65"/>
      <c r="AA47" s="65"/>
      <c r="AB47" s="65"/>
    </row>
    <row r="48" spans="1:28" x14ac:dyDescent="0.2">
      <c r="A48" s="203" t="s">
        <v>0</v>
      </c>
      <c r="B48" s="204"/>
      <c r="C48" s="204"/>
      <c r="D48" s="204"/>
      <c r="E48" s="205"/>
      <c r="F48" s="65"/>
      <c r="H48" s="148"/>
      <c r="I48" s="203" t="s">
        <v>0</v>
      </c>
      <c r="J48" s="204"/>
      <c r="K48" s="204"/>
      <c r="L48" s="204"/>
      <c r="M48" s="205"/>
      <c r="N48" s="65"/>
      <c r="P48" s="203" t="s">
        <v>0</v>
      </c>
      <c r="Q48" s="204"/>
      <c r="R48" s="204"/>
      <c r="S48" s="204"/>
      <c r="T48" s="205"/>
      <c r="U48" s="65"/>
      <c r="W48" s="203" t="s">
        <v>0</v>
      </c>
      <c r="X48" s="204"/>
      <c r="Y48" s="204"/>
      <c r="Z48" s="204"/>
      <c r="AA48" s="205"/>
      <c r="AB48" s="65"/>
    </row>
    <row r="49" spans="1:29" ht="12.75" customHeight="1" x14ac:dyDescent="0.2">
      <c r="A49" s="192" t="s">
        <v>55</v>
      </c>
      <c r="B49" s="192" t="s">
        <v>65</v>
      </c>
      <c r="C49" s="194" t="s">
        <v>66</v>
      </c>
      <c r="D49" s="195"/>
      <c r="E49" s="196" t="s">
        <v>56</v>
      </c>
      <c r="F49" s="65"/>
      <c r="H49" s="148"/>
      <c r="I49" s="192" t="s">
        <v>55</v>
      </c>
      <c r="J49" s="192" t="s">
        <v>65</v>
      </c>
      <c r="K49" s="194" t="s">
        <v>66</v>
      </c>
      <c r="L49" s="195"/>
      <c r="M49" s="196" t="s">
        <v>56</v>
      </c>
      <c r="N49" s="65"/>
      <c r="P49" s="192" t="s">
        <v>55</v>
      </c>
      <c r="Q49" s="192" t="s">
        <v>65</v>
      </c>
      <c r="R49" s="194" t="s">
        <v>66</v>
      </c>
      <c r="S49" s="195"/>
      <c r="T49" s="196" t="s">
        <v>56</v>
      </c>
      <c r="U49" s="65"/>
      <c r="W49" s="192" t="s">
        <v>55</v>
      </c>
      <c r="X49" s="192" t="s">
        <v>65</v>
      </c>
      <c r="Y49" s="194" t="s">
        <v>66</v>
      </c>
      <c r="Z49" s="195"/>
      <c r="AA49" s="196" t="s">
        <v>56</v>
      </c>
      <c r="AB49" s="65"/>
    </row>
    <row r="50" spans="1:29" x14ac:dyDescent="0.2">
      <c r="A50" s="193"/>
      <c r="B50" s="193"/>
      <c r="C50" s="115" t="s">
        <v>62</v>
      </c>
      <c r="D50" s="116" t="s">
        <v>63</v>
      </c>
      <c r="E50" s="197"/>
      <c r="F50" s="65"/>
      <c r="H50" s="148"/>
      <c r="I50" s="193"/>
      <c r="J50" s="193"/>
      <c r="K50" s="115" t="s">
        <v>62</v>
      </c>
      <c r="L50" s="139" t="s">
        <v>63</v>
      </c>
      <c r="M50" s="197"/>
      <c r="N50" s="65"/>
      <c r="P50" s="193"/>
      <c r="Q50" s="193"/>
      <c r="R50" s="115" t="s">
        <v>62</v>
      </c>
      <c r="S50" s="139" t="s">
        <v>63</v>
      </c>
      <c r="T50" s="197"/>
      <c r="U50" s="65"/>
      <c r="W50" s="193"/>
      <c r="X50" s="193"/>
      <c r="Y50" s="115" t="s">
        <v>62</v>
      </c>
      <c r="Z50" s="139" t="s">
        <v>63</v>
      </c>
      <c r="AA50" s="197"/>
      <c r="AB50" s="65"/>
    </row>
    <row r="51" spans="1:29" x14ac:dyDescent="0.2">
      <c r="A51" s="108" t="s">
        <v>9</v>
      </c>
      <c r="B51" s="118">
        <f>($D$36/'Enter field data'!$F$54)</f>
        <v>0.77412280701754388</v>
      </c>
      <c r="C51" s="120">
        <f>VLOOKUP($D$29,'Expected guild %'!$A$19:$G$27,2,FALSE)</f>
        <v>0.5</v>
      </c>
      <c r="D51" s="118">
        <f>VLOOKUP($D$29,'Expected guild %'!$A$19:$G$27,3,FALSE)</f>
        <v>1</v>
      </c>
      <c r="E51" s="119" t="str">
        <f>IF(AND(C51&lt;=B51,B51&lt;= D51)=TRUE,"Y","N")</f>
        <v>Y</v>
      </c>
      <c r="F51" s="65"/>
      <c r="H51" s="148"/>
      <c r="I51" s="108" t="s">
        <v>9</v>
      </c>
      <c r="J51" s="118">
        <f>($D$36/'Enter field data'!$F$54)</f>
        <v>0.77412280701754388</v>
      </c>
      <c r="K51" s="120">
        <f>VLOOKUP(L$29,'Expected guild %'!$A$19:$G$27,2,FALSE)</f>
        <v>0.5</v>
      </c>
      <c r="L51" s="118">
        <f>VLOOKUP(L$29,'Expected guild %'!$A$19:$G$27,3,FALSE)</f>
        <v>1</v>
      </c>
      <c r="M51" s="119" t="str">
        <f>IF(AND(K51&lt;=J51,J51&lt;= L51)=TRUE,"Y","N")</f>
        <v>Y</v>
      </c>
      <c r="N51" s="65"/>
      <c r="P51" s="108" t="s">
        <v>9</v>
      </c>
      <c r="Q51" s="118">
        <f>($D$36/'Enter field data'!$F$54)</f>
        <v>0.77412280701754388</v>
      </c>
      <c r="R51" s="120" t="e">
        <f>VLOOKUP(S$29,'Expected guild %'!$A$19:$G$27,2,FALSE)</f>
        <v>#N/A</v>
      </c>
      <c r="S51" s="118" t="e">
        <f>VLOOKUP(S$29,'Expected guild %'!$A$19:$G$27,3,FALSE)</f>
        <v>#N/A</v>
      </c>
      <c r="T51" s="119" t="e">
        <f>IF(AND(R51&lt;=Q51,Q51&lt;= S51)=TRUE,"Y","N")</f>
        <v>#N/A</v>
      </c>
      <c r="U51" s="65"/>
      <c r="W51" s="108" t="s">
        <v>9</v>
      </c>
      <c r="X51" s="118">
        <f>($D$36/'Enter field data'!$F$54)</f>
        <v>0.77412280701754388</v>
      </c>
      <c r="Y51" s="120" t="e">
        <f>VLOOKUP(Z$29,'Expected guild %'!$A$19:$G$27,2,FALSE)</f>
        <v>#N/A</v>
      </c>
      <c r="Z51" s="118" t="e">
        <f>VLOOKUP(Z$29,'Expected guild %'!$A$19:$G$27,3,FALSE)</f>
        <v>#N/A</v>
      </c>
      <c r="AA51" s="119" t="e">
        <f>IF(AND(Y51&lt;=X51,X51&lt;= Z51)=TRUE,"Y","N")</f>
        <v>#N/A</v>
      </c>
      <c r="AB51" s="65"/>
    </row>
    <row r="52" spans="1:29" x14ac:dyDescent="0.2">
      <c r="A52" s="108" t="s">
        <v>10</v>
      </c>
      <c r="B52" s="118">
        <f>($D$37/'Enter field data'!$F$54)</f>
        <v>0.22587719298245615</v>
      </c>
      <c r="C52" s="120">
        <f>VLOOKUP($D$29,'Expected guild %'!$A$19:$G$27,4,FALSE)</f>
        <v>0</v>
      </c>
      <c r="D52" s="118">
        <f>VLOOKUP($D$29,'Expected guild %'!$A$19:$G$27,5,FALSE)</f>
        <v>0.5</v>
      </c>
      <c r="E52" s="119" t="str">
        <f>IF(AND(C52&lt;=B52,B52&lt;= D52)=TRUE,"Y","N")</f>
        <v>Y</v>
      </c>
      <c r="F52" s="65"/>
      <c r="H52" s="148"/>
      <c r="I52" s="108" t="s">
        <v>10</v>
      </c>
      <c r="J52" s="118">
        <f>($D$37/'Enter field data'!$F$54)</f>
        <v>0.22587719298245615</v>
      </c>
      <c r="K52" s="120">
        <f>VLOOKUP(L$29,'Expected guild %'!$A$19:$G$27,4,FALSE)</f>
        <v>0</v>
      </c>
      <c r="L52" s="118">
        <f>VLOOKUP(L$29,'Expected guild %'!$A$19:$G$27,5,FALSE)</f>
        <v>0.5</v>
      </c>
      <c r="M52" s="119" t="str">
        <f>IF(AND(K52&lt;=J52,J52&lt;= L52)=TRUE,"Y","N")</f>
        <v>Y</v>
      </c>
      <c r="N52" s="65"/>
      <c r="P52" s="108" t="s">
        <v>10</v>
      </c>
      <c r="Q52" s="118">
        <f>($D$37/'Enter field data'!$F$54)</f>
        <v>0.22587719298245615</v>
      </c>
      <c r="R52" s="120" t="e">
        <f>VLOOKUP(S$29,'Expected guild %'!$A$19:$G$27,4,FALSE)</f>
        <v>#N/A</v>
      </c>
      <c r="S52" s="118" t="e">
        <f>VLOOKUP(S$29,'Expected guild %'!$A$19:$G$27,5,FALSE)</f>
        <v>#N/A</v>
      </c>
      <c r="T52" s="119" t="e">
        <f>IF(AND(R52&lt;=Q52,Q52&lt;= S52)=TRUE,"Y","N")</f>
        <v>#N/A</v>
      </c>
      <c r="U52" s="65"/>
      <c r="W52" s="108" t="s">
        <v>10</v>
      </c>
      <c r="X52" s="118">
        <f>($D$37/'Enter field data'!$F$54)</f>
        <v>0.22587719298245615</v>
      </c>
      <c r="Y52" s="120" t="e">
        <f>VLOOKUP(Z$29,'Expected guild %'!$A$19:$G$27,4,FALSE)</f>
        <v>#N/A</v>
      </c>
      <c r="Z52" s="118" t="e">
        <f>VLOOKUP(Z$29,'Expected guild %'!$A$19:$G$27,5,FALSE)</f>
        <v>#N/A</v>
      </c>
      <c r="AA52" s="119" t="e">
        <f>IF(AND(Y52&lt;=X52,X52&lt;= Z52)=TRUE,"Y","N")</f>
        <v>#N/A</v>
      </c>
      <c r="AB52" s="65"/>
    </row>
    <row r="53" spans="1:29" x14ac:dyDescent="0.2">
      <c r="A53" s="108" t="s">
        <v>11</v>
      </c>
      <c r="B53" s="118">
        <f>($D$38/'Enter field data'!$F$54)</f>
        <v>0</v>
      </c>
      <c r="C53" s="120">
        <f>VLOOKUP($D$29,'Expected guild %'!$A$19:$G$27,6,FALSE)</f>
        <v>0</v>
      </c>
      <c r="D53" s="118">
        <f>VLOOKUP($D$29,'Expected guild %'!$A$19:$G$27,7,FALSE)</f>
        <v>0.1</v>
      </c>
      <c r="E53" s="119" t="str">
        <f>IF(AND(C53&lt;=B53,B53&lt;= D53)=TRUE,"Y","N")</f>
        <v>Y</v>
      </c>
      <c r="F53" s="65"/>
      <c r="H53" s="148"/>
      <c r="I53" s="108" t="s">
        <v>11</v>
      </c>
      <c r="J53" s="118">
        <f>($D$38/'Enter field data'!$F$54)</f>
        <v>0</v>
      </c>
      <c r="K53" s="120">
        <f>VLOOKUP(L$29,'Expected guild %'!$A$19:$G$27,6,FALSE)</f>
        <v>0</v>
      </c>
      <c r="L53" s="118">
        <f>VLOOKUP(L$29,'Expected guild %'!$A$19:$G$27,7,FALSE)</f>
        <v>0.1</v>
      </c>
      <c r="M53" s="119" t="str">
        <f>IF(AND(K53&lt;=J53,J53&lt;= L53)=TRUE,"Y","N")</f>
        <v>Y</v>
      </c>
      <c r="N53" s="65"/>
      <c r="P53" s="108" t="s">
        <v>11</v>
      </c>
      <c r="Q53" s="118">
        <f>($D$38/'Enter field data'!$F$54)</f>
        <v>0</v>
      </c>
      <c r="R53" s="120" t="e">
        <f>VLOOKUP(S$29,'Expected guild %'!$A$19:$G$27,6,FALSE)</f>
        <v>#N/A</v>
      </c>
      <c r="S53" s="118" t="e">
        <f>VLOOKUP(S$29,'Expected guild %'!$A$19:$G$27,7,FALSE)</f>
        <v>#N/A</v>
      </c>
      <c r="T53" s="119" t="e">
        <f>IF(AND(R53&lt;=Q53,Q53&lt;= S53)=TRUE,"Y","N")</f>
        <v>#N/A</v>
      </c>
      <c r="U53" s="65"/>
      <c r="W53" s="108" t="s">
        <v>11</v>
      </c>
      <c r="X53" s="118">
        <f>($D$38/'Enter field data'!$F$54)</f>
        <v>0</v>
      </c>
      <c r="Y53" s="120" t="e">
        <f>VLOOKUP(Z$29,'Expected guild %'!$A$19:$G$27,6,FALSE)</f>
        <v>#N/A</v>
      </c>
      <c r="Z53" s="118" t="e">
        <f>VLOOKUP(Z$29,'Expected guild %'!$A$19:$G$27,7,FALSE)</f>
        <v>#N/A</v>
      </c>
      <c r="AA53" s="119" t="e">
        <f>IF(AND(Y53&lt;=X53,X53&lt;= Z53)=TRUE,"Y","N")</f>
        <v>#N/A</v>
      </c>
      <c r="AB53" s="65"/>
    </row>
    <row r="54" spans="1:29" x14ac:dyDescent="0.2">
      <c r="A54" s="65"/>
      <c r="B54" s="65"/>
      <c r="C54" s="65"/>
      <c r="D54" s="65"/>
      <c r="E54" s="65"/>
      <c r="F54" s="65"/>
      <c r="H54" s="148"/>
      <c r="I54" s="65"/>
      <c r="J54" s="65"/>
      <c r="K54" s="65"/>
      <c r="L54" s="65"/>
      <c r="M54" s="65"/>
      <c r="N54" s="65"/>
      <c r="P54" s="65"/>
      <c r="Q54" s="65"/>
      <c r="R54" s="65"/>
      <c r="S54" s="65"/>
      <c r="T54" s="65"/>
      <c r="U54" s="65"/>
      <c r="W54" s="65"/>
      <c r="X54" s="65"/>
      <c r="Y54" s="65"/>
      <c r="Z54" s="65"/>
      <c r="AA54" s="65"/>
      <c r="AB54" s="65"/>
    </row>
    <row r="55" spans="1:29" x14ac:dyDescent="0.2">
      <c r="A55" s="93" t="s">
        <v>391</v>
      </c>
      <c r="B55" s="65"/>
      <c r="C55" s="65"/>
      <c r="D55" s="65"/>
      <c r="E55" s="65"/>
      <c r="F55" s="65"/>
      <c r="H55" s="148"/>
      <c r="I55" s="93" t="s">
        <v>921</v>
      </c>
      <c r="J55" s="65"/>
      <c r="K55" s="65"/>
      <c r="L55" s="65"/>
      <c r="M55" s="65"/>
      <c r="N55" s="65"/>
      <c r="P55" s="93" t="s">
        <v>921</v>
      </c>
      <c r="Q55" s="65"/>
      <c r="R55" s="65"/>
      <c r="S55" s="65"/>
      <c r="T55" s="65"/>
      <c r="U55" s="65"/>
      <c r="W55" s="93" t="s">
        <v>921</v>
      </c>
      <c r="X55" s="65"/>
      <c r="Y55" s="65"/>
      <c r="Z55" s="65"/>
      <c r="AA55" s="65"/>
      <c r="AB55" s="65"/>
    </row>
    <row r="56" spans="1:29" x14ac:dyDescent="0.2">
      <c r="A56" s="93" t="s">
        <v>382</v>
      </c>
      <c r="B56" s="121"/>
      <c r="C56" s="121"/>
      <c r="D56" s="121"/>
      <c r="E56" s="121"/>
      <c r="F56" s="65"/>
      <c r="H56" s="148"/>
      <c r="I56" s="93" t="s">
        <v>922</v>
      </c>
      <c r="J56" s="121"/>
      <c r="K56" s="121"/>
      <c r="L56" s="121"/>
      <c r="M56" s="121"/>
      <c r="N56" s="65"/>
      <c r="P56" s="93" t="s">
        <v>922</v>
      </c>
      <c r="Q56" s="121"/>
      <c r="R56" s="121"/>
      <c r="S56" s="121"/>
      <c r="T56" s="121"/>
      <c r="U56" s="65"/>
      <c r="W56" s="93" t="s">
        <v>922</v>
      </c>
      <c r="X56" s="121"/>
      <c r="Y56" s="121"/>
      <c r="Z56" s="121"/>
      <c r="AA56" s="121"/>
      <c r="AB56" s="65"/>
    </row>
    <row r="57" spans="1:29" ht="35.25" customHeight="1" x14ac:dyDescent="0.25">
      <c r="A57" s="206"/>
      <c r="B57" s="207"/>
      <c r="C57" s="207"/>
      <c r="D57" s="207"/>
      <c r="E57" s="207"/>
      <c r="F57" s="208"/>
      <c r="G57" s="155"/>
      <c r="H57" s="148"/>
      <c r="I57" s="206"/>
      <c r="J57" s="207"/>
      <c r="K57" s="207"/>
      <c r="L57" s="207"/>
      <c r="M57" s="207"/>
      <c r="N57" s="208"/>
      <c r="O57" s="154"/>
      <c r="P57" s="206"/>
      <c r="Q57" s="207"/>
      <c r="R57" s="207"/>
      <c r="S57" s="207"/>
      <c r="T57" s="207"/>
      <c r="U57" s="208"/>
      <c r="V57" s="154"/>
      <c r="W57" s="206"/>
      <c r="X57" s="207"/>
      <c r="Y57" s="207"/>
      <c r="Z57" s="207"/>
      <c r="AA57" s="207"/>
      <c r="AB57" s="208"/>
      <c r="AC57" s="154"/>
    </row>
    <row r="58" spans="1:29" x14ac:dyDescent="0.2">
      <c r="A58" s="122" t="s">
        <v>859</v>
      </c>
      <c r="B58" s="123"/>
      <c r="C58" s="123"/>
      <c r="D58" s="123"/>
      <c r="E58" s="123"/>
      <c r="F58" s="65"/>
      <c r="H58" s="148"/>
    </row>
    <row r="59" spans="1:29" s="125" customFormat="1" x14ac:dyDescent="0.2">
      <c r="A59" s="122" t="s">
        <v>927</v>
      </c>
      <c r="B59" s="124"/>
      <c r="C59" s="124"/>
      <c r="D59" s="124"/>
      <c r="E59" s="124"/>
      <c r="F59" s="65"/>
      <c r="H59" s="149"/>
      <c r="I59" s="129" t="s">
        <v>924</v>
      </c>
      <c r="P59" s="129" t="s">
        <v>924</v>
      </c>
      <c r="W59" s="129" t="s">
        <v>924</v>
      </c>
    </row>
    <row r="60" spans="1:29" s="125" customFormat="1" x14ac:dyDescent="0.2">
      <c r="A60" s="122" t="s">
        <v>860</v>
      </c>
      <c r="B60" s="124"/>
      <c r="C60" s="124"/>
      <c r="D60" s="124"/>
      <c r="E60" s="124"/>
      <c r="F60" s="65"/>
      <c r="H60" s="149"/>
      <c r="I60" s="129" t="s">
        <v>923</v>
      </c>
      <c r="P60" s="129" t="s">
        <v>923</v>
      </c>
      <c r="W60" s="129"/>
    </row>
    <row r="61" spans="1:29" s="125" customFormat="1" x14ac:dyDescent="0.2">
      <c r="A61" s="65"/>
      <c r="B61" s="65"/>
      <c r="C61" s="65"/>
      <c r="D61" s="65"/>
      <c r="E61" s="65"/>
      <c r="F61" s="65"/>
      <c r="H61" s="149"/>
      <c r="I61" s="65"/>
      <c r="J61" s="65"/>
      <c r="K61" s="65"/>
      <c r="L61" s="65"/>
      <c r="M61" s="65"/>
      <c r="N61" s="65"/>
      <c r="P61" s="65"/>
      <c r="Q61" s="65"/>
      <c r="R61" s="65"/>
      <c r="S61" s="65"/>
      <c r="T61" s="65"/>
      <c r="U61" s="65"/>
      <c r="W61" s="65"/>
      <c r="X61" s="65"/>
      <c r="Y61" s="65"/>
      <c r="Z61" s="65"/>
      <c r="AA61" s="65"/>
      <c r="AB61" s="65"/>
    </row>
    <row r="62" spans="1:29" x14ac:dyDescent="0.2">
      <c r="A62" s="87" t="s">
        <v>833</v>
      </c>
      <c r="B62" s="65"/>
      <c r="C62" s="65"/>
      <c r="D62" s="65"/>
      <c r="E62" s="65"/>
      <c r="F62" s="65"/>
      <c r="H62" s="148"/>
    </row>
    <row r="63" spans="1:29" x14ac:dyDescent="0.2">
      <c r="A63" s="93" t="s">
        <v>383</v>
      </c>
      <c r="B63" s="65"/>
      <c r="C63" s="65"/>
      <c r="D63" s="65"/>
      <c r="E63" s="65"/>
      <c r="F63" s="65"/>
      <c r="H63" s="148"/>
    </row>
    <row r="64" spans="1:29" x14ac:dyDescent="0.2">
      <c r="A64" s="93" t="s">
        <v>384</v>
      </c>
      <c r="B64" s="65"/>
      <c r="C64" s="65"/>
      <c r="D64" s="65"/>
      <c r="E64" s="65"/>
      <c r="F64" s="65"/>
      <c r="H64" s="148"/>
    </row>
    <row r="65" spans="1:8" x14ac:dyDescent="0.2">
      <c r="A65" s="93" t="s">
        <v>385</v>
      </c>
      <c r="B65" s="65"/>
      <c r="C65" s="65"/>
      <c r="D65" s="65"/>
      <c r="E65" s="65"/>
      <c r="F65" s="65"/>
      <c r="H65" s="148"/>
    </row>
    <row r="66" spans="1:8" x14ac:dyDescent="0.2">
      <c r="A66" s="126" t="s">
        <v>857</v>
      </c>
      <c r="B66" s="65"/>
      <c r="C66" s="65"/>
      <c r="D66" s="65"/>
      <c r="E66" s="65"/>
      <c r="F66" s="65"/>
      <c r="H66" s="148"/>
    </row>
    <row r="67" spans="1:8" x14ac:dyDescent="0.2">
      <c r="A67" s="93" t="s">
        <v>387</v>
      </c>
      <c r="B67" s="65"/>
      <c r="C67" s="65"/>
      <c r="D67" s="65"/>
      <c r="E67" s="65"/>
      <c r="F67" s="65"/>
      <c r="H67" s="148"/>
    </row>
    <row r="68" spans="1:8" x14ac:dyDescent="0.2">
      <c r="A68" s="126" t="s">
        <v>858</v>
      </c>
      <c r="B68" s="65"/>
      <c r="C68" s="65"/>
      <c r="D68" s="65"/>
      <c r="E68" s="65"/>
      <c r="F68" s="65"/>
      <c r="H68" s="148"/>
    </row>
    <row r="69" spans="1:8" x14ac:dyDescent="0.2">
      <c r="A69" s="93" t="s">
        <v>388</v>
      </c>
      <c r="B69" s="65"/>
      <c r="C69" s="65"/>
      <c r="D69" s="65"/>
      <c r="E69" s="65"/>
      <c r="F69" s="65"/>
      <c r="H69" s="148"/>
    </row>
    <row r="70" spans="1:8" x14ac:dyDescent="0.2">
      <c r="A70" s="93"/>
      <c r="B70" s="65"/>
      <c r="C70" s="65"/>
      <c r="D70" s="65"/>
      <c r="E70" s="65"/>
      <c r="F70" s="65"/>
      <c r="H70" s="148"/>
    </row>
    <row r="71" spans="1:8" x14ac:dyDescent="0.2">
      <c r="A71" s="203" t="s">
        <v>1</v>
      </c>
      <c r="B71" s="204"/>
      <c r="C71" s="204"/>
      <c r="D71" s="204"/>
      <c r="E71" s="205"/>
      <c r="F71" s="65"/>
      <c r="H71" s="148"/>
    </row>
    <row r="72" spans="1:8" ht="12.75" customHeight="1" x14ac:dyDescent="0.2">
      <c r="A72" s="192" t="s">
        <v>55</v>
      </c>
      <c r="B72" s="192" t="s">
        <v>65</v>
      </c>
      <c r="C72" s="194" t="s">
        <v>66</v>
      </c>
      <c r="D72" s="195"/>
      <c r="E72" s="196" t="s">
        <v>56</v>
      </c>
      <c r="F72" s="65"/>
      <c r="H72" s="148"/>
    </row>
    <row r="73" spans="1:8" x14ac:dyDescent="0.2">
      <c r="A73" s="193"/>
      <c r="B73" s="193"/>
      <c r="C73" s="115" t="s">
        <v>62</v>
      </c>
      <c r="D73" s="116" t="s">
        <v>63</v>
      </c>
      <c r="E73" s="197"/>
      <c r="F73" s="65"/>
      <c r="H73" s="148"/>
    </row>
    <row r="74" spans="1:8" x14ac:dyDescent="0.2">
      <c r="A74" s="108" t="s">
        <v>12</v>
      </c>
      <c r="B74" s="117">
        <f>($F$36/'Enter field data'!$F$54)</f>
        <v>1.3157894736842105E-2</v>
      </c>
      <c r="C74" s="127" t="str">
        <f>VLOOKUP($D$29,'Expected guild %'!$A$33:$G$41,2,FALSE)</f>
        <v>PRESENT</v>
      </c>
      <c r="D74" s="118">
        <f>VLOOKUP($D$29,'Expected guild %'!$A$33:$G$41,3,FALSE)</f>
        <v>1</v>
      </c>
      <c r="E74" s="119" t="str">
        <f>IF(AND($B$74&gt;0,$B$74&lt;= $D$74)=TRUE,"Y","N")</f>
        <v>Y</v>
      </c>
      <c r="F74" s="65"/>
      <c r="H74" s="148"/>
    </row>
    <row r="75" spans="1:8" x14ac:dyDescent="0.2">
      <c r="A75" s="108" t="s">
        <v>386</v>
      </c>
      <c r="B75" s="117">
        <f>($F$37/'Enter field data'!$F$54)</f>
        <v>0.15131578947368421</v>
      </c>
      <c r="C75" s="127">
        <f>VLOOKUP($D$29,'Expected guild %'!$A$33:$G$41,4,FALSE)</f>
        <v>0</v>
      </c>
      <c r="D75" s="118">
        <f>VLOOKUP($D$29,'Expected guild %'!$A$33:$G$41,5,FALSE)</f>
        <v>1</v>
      </c>
      <c r="E75" s="119" t="str">
        <f>IF(AND($C$75&lt;=$B$75,$B$75&lt;= $D$75)=TRUE,"Y","N")</f>
        <v>Y</v>
      </c>
      <c r="H75" s="148"/>
    </row>
    <row r="76" spans="1:8" x14ac:dyDescent="0.2">
      <c r="A76" s="108" t="s">
        <v>14</v>
      </c>
      <c r="B76" s="117">
        <f>($F$38/'Enter field data'!$F$54)</f>
        <v>0.83552631578947367</v>
      </c>
      <c r="C76" s="127">
        <f>VLOOKUP($D$29,'Expected guild %'!$A$33:$G$41,6,FALSE)</f>
        <v>0</v>
      </c>
      <c r="D76" s="118">
        <f>VLOOKUP($D$29,'Expected guild %'!$A$33:$G$41,7,FALSE)</f>
        <v>0.75</v>
      </c>
      <c r="E76" s="119" t="str">
        <f>IF(AND($C$76&lt;=$B$76,$B$76&lt;= $D$76)=TRUE,"Y","N")</f>
        <v>N</v>
      </c>
      <c r="F76" s="65"/>
      <c r="H76" s="148"/>
    </row>
    <row r="77" spans="1:8" x14ac:dyDescent="0.2">
      <c r="A77" s="65" t="s">
        <v>389</v>
      </c>
      <c r="B77" s="65"/>
      <c r="C77" s="65"/>
      <c r="D77" s="65"/>
      <c r="E77" s="65"/>
      <c r="F77" s="65"/>
      <c r="H77" s="148"/>
    </row>
    <row r="78" spans="1:8" x14ac:dyDescent="0.2">
      <c r="A78" s="65"/>
      <c r="B78" s="65"/>
      <c r="C78" s="65"/>
      <c r="D78" s="65"/>
      <c r="E78" s="65"/>
      <c r="F78" s="65"/>
      <c r="H78" s="148"/>
    </row>
    <row r="79" spans="1:8" x14ac:dyDescent="0.2">
      <c r="A79" s="93" t="s">
        <v>846</v>
      </c>
      <c r="B79" s="65"/>
      <c r="C79" s="65"/>
      <c r="D79" s="65"/>
      <c r="E79" s="65"/>
      <c r="F79" s="65"/>
      <c r="H79" s="148"/>
    </row>
    <row r="80" spans="1:8" x14ac:dyDescent="0.2">
      <c r="A80" s="93" t="s">
        <v>847</v>
      </c>
      <c r="B80" s="65"/>
      <c r="C80" s="65"/>
      <c r="D80" s="65"/>
      <c r="E80" s="65"/>
      <c r="F80" s="65"/>
      <c r="H80" s="148"/>
    </row>
    <row r="81" spans="1:23" x14ac:dyDescent="0.2">
      <c r="A81" s="93" t="s">
        <v>382</v>
      </c>
      <c r="B81" s="121"/>
      <c r="C81" s="121"/>
      <c r="D81" s="121"/>
      <c r="E81" s="121"/>
      <c r="F81" s="65"/>
      <c r="H81" s="148"/>
    </row>
    <row r="82" spans="1:23" ht="15" x14ac:dyDescent="0.25">
      <c r="A82" s="191"/>
      <c r="B82" s="190"/>
      <c r="C82" s="190"/>
      <c r="D82" s="190"/>
      <c r="E82" s="190"/>
      <c r="F82" s="190"/>
      <c r="G82" s="190"/>
      <c r="H82" s="148"/>
    </row>
    <row r="83" spans="1:23" x14ac:dyDescent="0.2">
      <c r="H83" s="148"/>
    </row>
    <row r="84" spans="1:23" x14ac:dyDescent="0.2">
      <c r="A84" s="128" t="s">
        <v>834</v>
      </c>
      <c r="H84" s="148"/>
    </row>
    <row r="85" spans="1:23" x14ac:dyDescent="0.2">
      <c r="A85" s="101" t="s">
        <v>842</v>
      </c>
      <c r="H85" s="148"/>
    </row>
    <row r="86" spans="1:23" x14ac:dyDescent="0.2">
      <c r="A86" s="101" t="s">
        <v>843</v>
      </c>
      <c r="H86" s="148"/>
    </row>
    <row r="87" spans="1:23" x14ac:dyDescent="0.2">
      <c r="H87" s="148"/>
      <c r="P87" s="129" t="s">
        <v>910</v>
      </c>
      <c r="W87" s="129" t="s">
        <v>910</v>
      </c>
    </row>
    <row r="88" spans="1:23" ht="12.75" customHeight="1" x14ac:dyDescent="0.2">
      <c r="A88" s="199" t="s">
        <v>816</v>
      </c>
      <c r="B88" s="71" t="s">
        <v>817</v>
      </c>
      <c r="C88" s="72"/>
      <c r="D88" s="73" t="e">
        <f>'Weather Results'!$C$17</f>
        <v>#DIV/0!</v>
      </c>
      <c r="H88" s="148"/>
    </row>
    <row r="89" spans="1:23" x14ac:dyDescent="0.2">
      <c r="A89" s="199"/>
      <c r="B89" s="71" t="s">
        <v>818</v>
      </c>
      <c r="C89" s="72"/>
      <c r="D89" s="73">
        <f>'Weather Results'!$C$18</f>
        <v>17.520659999999999</v>
      </c>
      <c r="H89" s="148"/>
    </row>
    <row r="90" spans="1:23" x14ac:dyDescent="0.2">
      <c r="A90" s="199"/>
      <c r="B90" s="71" t="s">
        <v>819</v>
      </c>
      <c r="C90" s="72"/>
      <c r="D90" s="73">
        <f>'Weather Results'!$C$19</f>
        <v>20.995788000000001</v>
      </c>
      <c r="H90" s="148"/>
    </row>
    <row r="91" spans="1:23" x14ac:dyDescent="0.2">
      <c r="A91" s="199"/>
      <c r="B91" s="74" t="s">
        <v>820</v>
      </c>
      <c r="C91" s="72"/>
      <c r="D91" s="75" t="e">
        <f>'Weather Results'!$C$20</f>
        <v>#DIV/0!</v>
      </c>
      <c r="H91" s="148"/>
    </row>
    <row r="92" spans="1:23" x14ac:dyDescent="0.2">
      <c r="H92" s="148"/>
    </row>
    <row r="93" spans="1:23" ht="12.75" customHeight="1" x14ac:dyDescent="0.2">
      <c r="A93" s="198" t="s">
        <v>821</v>
      </c>
      <c r="B93" s="71" t="s">
        <v>822</v>
      </c>
      <c r="C93" s="72"/>
      <c r="D93" s="73" t="e">
        <f>'Weather Results'!$C$22</f>
        <v>#DIV/0!</v>
      </c>
      <c r="H93" s="148"/>
    </row>
    <row r="94" spans="1:23" x14ac:dyDescent="0.2">
      <c r="A94" s="198"/>
      <c r="B94" s="71" t="s">
        <v>823</v>
      </c>
      <c r="C94" s="72"/>
      <c r="D94" s="73" t="e">
        <f>'Weather Results'!$C$23</f>
        <v>#DIV/0!</v>
      </c>
      <c r="H94" s="148"/>
    </row>
    <row r="95" spans="1:23" x14ac:dyDescent="0.2">
      <c r="A95" s="198"/>
      <c r="B95" s="71" t="s">
        <v>824</v>
      </c>
      <c r="C95" s="72"/>
      <c r="D95" s="73" t="e">
        <f>'Weather Results'!$C$24</f>
        <v>#DIV/0!</v>
      </c>
      <c r="H95" s="148"/>
    </row>
    <row r="96" spans="1:23" x14ac:dyDescent="0.2">
      <c r="A96" s="198"/>
      <c r="B96" s="71" t="s">
        <v>825</v>
      </c>
      <c r="C96" s="72"/>
      <c r="D96" s="73" t="e">
        <f>'Weather Results'!$C$25</f>
        <v>#DIV/0!</v>
      </c>
      <c r="H96" s="148"/>
    </row>
    <row r="97" spans="1:8" x14ac:dyDescent="0.2">
      <c r="A97" s="198"/>
      <c r="B97" s="71" t="s">
        <v>826</v>
      </c>
      <c r="C97" s="72"/>
      <c r="D97" s="73" t="e">
        <f>'Weather Results'!$C$26</f>
        <v>#DIV/0!</v>
      </c>
      <c r="H97" s="148"/>
    </row>
    <row r="98" spans="1:8" x14ac:dyDescent="0.2">
      <c r="A98" s="198"/>
      <c r="B98" s="71" t="s">
        <v>827</v>
      </c>
      <c r="C98" s="72"/>
      <c r="D98" s="73">
        <f>'Weather Results'!$C$27</f>
        <v>1.9762043999999999</v>
      </c>
      <c r="H98" s="148"/>
    </row>
    <row r="99" spans="1:8" x14ac:dyDescent="0.2">
      <c r="A99" s="198"/>
      <c r="B99" s="71" t="s">
        <v>828</v>
      </c>
      <c r="C99" s="72"/>
      <c r="D99" s="73">
        <f>'Weather Results'!$C$28</f>
        <v>3.7955737999999997</v>
      </c>
      <c r="H99" s="148"/>
    </row>
    <row r="100" spans="1:8" x14ac:dyDescent="0.2">
      <c r="A100" s="198"/>
      <c r="B100" s="74" t="s">
        <v>829</v>
      </c>
      <c r="C100" s="77"/>
      <c r="D100" s="75" t="e">
        <f>'Weather Results'!$C$29</f>
        <v>#DIV/0!</v>
      </c>
      <c r="H100" s="148"/>
    </row>
    <row r="101" spans="1:8" x14ac:dyDescent="0.2">
      <c r="H101" s="148"/>
    </row>
    <row r="102" spans="1:8" x14ac:dyDescent="0.2">
      <c r="A102" s="101" t="s">
        <v>848</v>
      </c>
      <c r="H102" s="148"/>
    </row>
    <row r="103" spans="1:8" ht="16.5" customHeight="1" x14ac:dyDescent="0.25">
      <c r="A103" s="188"/>
      <c r="B103" s="189"/>
      <c r="C103" s="189"/>
      <c r="D103" s="189"/>
      <c r="E103" s="189"/>
      <c r="F103" s="190"/>
      <c r="G103" s="190"/>
      <c r="H103" s="148"/>
    </row>
    <row r="104" spans="1:8" x14ac:dyDescent="0.2">
      <c r="A104" s="101" t="s">
        <v>844</v>
      </c>
      <c r="H104" s="148"/>
    </row>
    <row r="105" spans="1:8" x14ac:dyDescent="0.2">
      <c r="A105" s="101" t="s">
        <v>852</v>
      </c>
      <c r="H105" s="148"/>
    </row>
    <row r="106" spans="1:8" x14ac:dyDescent="0.2">
      <c r="A106" s="101" t="s">
        <v>845</v>
      </c>
      <c r="H106" s="148"/>
    </row>
    <row r="107" spans="1:8" x14ac:dyDescent="0.2">
      <c r="A107" s="101" t="s">
        <v>853</v>
      </c>
      <c r="H107" s="148"/>
    </row>
    <row r="108" spans="1:8" ht="15" x14ac:dyDescent="0.25">
      <c r="A108" s="188"/>
      <c r="B108" s="190"/>
      <c r="C108" s="190"/>
      <c r="D108" s="190"/>
      <c r="E108" s="190"/>
      <c r="F108" s="190"/>
      <c r="G108" s="190"/>
      <c r="H108" s="148"/>
    </row>
    <row r="110" spans="1:8" x14ac:dyDescent="0.2">
      <c r="A110" s="129" t="s">
        <v>911</v>
      </c>
    </row>
    <row r="111" spans="1:8" x14ac:dyDescent="0.2">
      <c r="A111" s="129"/>
    </row>
  </sheetData>
  <sheetProtection sheet="1" objects="1" scenarios="1"/>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4" t="s">
        <v>802</v>
      </c>
      <c r="B1" s="61" t="s">
        <v>803</v>
      </c>
      <c r="C1" s="59">
        <f>'Enter field data'!B6</f>
        <v>42228</v>
      </c>
    </row>
    <row r="2" spans="1:5" s="39" customFormat="1" x14ac:dyDescent="0.25">
      <c r="A2" s="214"/>
      <c r="B2" s="61" t="s">
        <v>804</v>
      </c>
      <c r="C2" s="60" t="str">
        <f>'Enter field data'!$B$15</f>
        <v>0401030111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20150812</v>
      </c>
    </row>
    <row r="5" spans="1:5" hidden="1" x14ac:dyDescent="0.25">
      <c r="A5" s="37"/>
      <c r="B5" s="37" t="s">
        <v>805</v>
      </c>
      <c r="C5" s="50" t="str">
        <f>CONCATENATE(YEAR(C1-30),IF(MONTH(C1-30)&lt;10,"0"&amp;MONTH(C1-30),MONTH(C1-30)),IF(DAY(C1-30)&lt;10,"0"&amp;DAY(C1-30),DAY(C1-30)))</f>
        <v>20150713</v>
      </c>
    </row>
    <row r="6" spans="1:5" hidden="1" x14ac:dyDescent="0.25">
      <c r="A6" s="37"/>
      <c r="B6" s="37" t="s">
        <v>806</v>
      </c>
      <c r="C6" s="50" t="str">
        <f>CONCATENATE(YEAR(C1-90),IF(MONTH(C1-90)&lt;10,"0"&amp;MONTH(C1-90),MONTH(C1-90)),IF(DAY(C1-90)&lt;10,"0"&amp;DAY(C1-90),DAY(C1-90)))</f>
        <v>20150514</v>
      </c>
    </row>
    <row r="7" spans="1:5" hidden="1" x14ac:dyDescent="0.25">
      <c r="A7" s="37"/>
      <c r="B7" s="37" t="s">
        <v>807</v>
      </c>
      <c r="C7" s="50" t="str">
        <f>CONCATENATE(YEAR(C1-365),IF(MONTH(C1-365)&lt;10,"0"&amp;MONTH(C1-365),MONTH(C1-365)),IF(DAY(C1-365)&lt;10,"0"&amp;DAY(C1-365),DAY(C1-365)))</f>
        <v>20140812</v>
      </c>
    </row>
    <row r="8" spans="1:5" hidden="1" x14ac:dyDescent="0.25">
      <c r="A8" s="37"/>
      <c r="B8" s="37" t="s">
        <v>808</v>
      </c>
      <c r="C8" s="50" t="str">
        <f>CONCATENATE(YEAR(C1-1460),IF(MONTH(C1-1460)&lt;10,"0"&amp;MONTH(C1-1460),MONTH(C1-1460)),IF(DAY(C1-1460)&lt;10,"0"&amp;DAY(C1-1460),DAY(C1-1460)))</f>
        <v>20110813</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0</v>
      </c>
    </row>
    <row r="12" spans="1:5" hidden="1" x14ac:dyDescent="0.25">
      <c r="A12" s="37"/>
      <c r="B12" s="37" t="s">
        <v>812</v>
      </c>
      <c r="C12" s="50">
        <f>IF(MONTH($C$1)=7,DAY($C$1),0)+IF(MONTH($C$1)=8,30-DAY($C$1),0)</f>
        <v>18</v>
      </c>
    </row>
    <row r="13" spans="1:5" hidden="1" x14ac:dyDescent="0.25">
      <c r="A13" s="37"/>
      <c r="B13" s="37" t="s">
        <v>813</v>
      </c>
      <c r="C13" s="50">
        <f>IF(MONTH($C$1)=8,DAY($C$1),0)+IF(MONTH($C$1)=9,30-DAY($C$1),0)</f>
        <v>12</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5"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5"/>
      <c r="B18" s="58" t="s">
        <v>818</v>
      </c>
      <c r="C18" s="56">
        <f>(VLOOKUP($C$2,temp!$A$1:$O$369,2,FALSE)*$C$9+VLOOKUP($C$2,temp!$A$1:$O$369,4,FALSE)*$C$10+VLOOKUP($C$2,temp!$A$1:$O$369,6,FALSE)*$C$11+VLOOKUP($C$2,temp!$A$1:$O$369,8,FALSE)*$C$12+VLOOKUP($C$2,temp!$A$1:$O$369,10,FALSE)*$C$13+VLOOKUP($C$2,temp!$A$1:$O$369,12,FALSE)*$C$14+VLOOKUP($C$2,temp!$A$1:$O$369,14,FALSE)*$C$15)/30</f>
        <v>17.520659999999999</v>
      </c>
    </row>
    <row r="19" spans="1:3" x14ac:dyDescent="0.25">
      <c r="A19" s="215"/>
      <c r="B19" s="58" t="s">
        <v>819</v>
      </c>
      <c r="C19" s="56">
        <f>(VLOOKUP($C$2,temp!$A$1:$O$369,3,FALSE)*$C$9+VLOOKUP($C$2,temp!$A$1:$O$369,5,FALSE)*$C$10+VLOOKUP($C$2,temp!$A$1:$O$369,7,FALSE)*$C$11+VLOOKUP($C$2,temp!$A$1:$O$369,9,FALSE)*$C$12+VLOOKUP($C$2,temp!$A$1:$O$369,11,FALSE)*$C$13+VLOOKUP($C$2,temp!$A$1:$O$369,13,FALSE)*$C$14+VLOOKUP($C$2,temp!$A$1:$O$369,15,FALSE)*$C$15)/30</f>
        <v>20.995788000000001</v>
      </c>
    </row>
    <row r="20" spans="1:3" x14ac:dyDescent="0.25">
      <c r="A20" s="215"/>
      <c r="B20" s="62" t="s">
        <v>820</v>
      </c>
      <c r="C20" s="63" t="e">
        <f>IF(C17&gt;C19,"WARM",IF(C17&lt;C18,"COOL","NO"))</f>
        <v>#DIV/0!</v>
      </c>
    </row>
    <row r="21" spans="1:3" x14ac:dyDescent="0.25">
      <c r="A21" s="37"/>
      <c r="B21" s="37"/>
      <c r="C21" s="50"/>
    </row>
    <row r="22" spans="1:3" x14ac:dyDescent="0.25">
      <c r="A22" s="215" t="s">
        <v>821</v>
      </c>
      <c r="B22" s="58" t="s">
        <v>822</v>
      </c>
      <c r="C22" s="57" t="e">
        <f>AVERAGEIFS('Enter weather'!$B:$B,'Enter weather'!$A:$A,"&lt;="&amp;$C$4,'Enter weather'!$A:$A,"&gt;="&amp;$C$5,'Enter weather'!$B:$B,"&lt;&gt;"&amp;-9999)</f>
        <v>#DIV/0!</v>
      </c>
    </row>
    <row r="23" spans="1:3" x14ac:dyDescent="0.25">
      <c r="A23" s="215"/>
      <c r="B23" s="58" t="s">
        <v>823</v>
      </c>
      <c r="C23" s="57" t="e">
        <f>AVERAGEIFS('Enter weather'!$B:$B,'Enter weather'!$A:$A,"&lt;="&amp;$C$5,'Enter weather'!$A:$A,"&gt;="&amp;$C$6,'Enter weather'!$B:$B,"&lt;&gt;"&amp;-9999)</f>
        <v>#DIV/0!</v>
      </c>
    </row>
    <row r="24" spans="1:3" x14ac:dyDescent="0.25">
      <c r="A24" s="215"/>
      <c r="B24" s="58" t="s">
        <v>824</v>
      </c>
      <c r="C24" s="57" t="e">
        <f>AVERAGEIFS('Enter weather'!$B:$B,'Enter weather'!$A:$A,"&lt;="&amp;$C$6,'Enter weather'!$A:$A,"&gt;="&amp;$C$7,'Enter weather'!$B:$B,"&lt;&gt;"&amp;-9999)</f>
        <v>#DIV/0!</v>
      </c>
    </row>
    <row r="25" spans="1:3" x14ac:dyDescent="0.25">
      <c r="A25" s="215"/>
      <c r="B25" s="58" t="s">
        <v>825</v>
      </c>
      <c r="C25" s="57" t="e">
        <f>AVERAGEIFS('Enter weather'!$B:$B,'Enter weather'!$A:$A,"&lt;="&amp;$C$7,'Enter weather'!$A:$A,"&gt;="&amp;$C$8,'Enter weather'!$B:$B,"&lt;&gt;"&amp;-9999)</f>
        <v>#DIV/0!</v>
      </c>
    </row>
    <row r="26" spans="1:3" x14ac:dyDescent="0.25">
      <c r="A26" s="215"/>
      <c r="B26" s="58" t="s">
        <v>826</v>
      </c>
      <c r="C26" s="57" t="e">
        <f>$C$22*0.4+$C$23*0.3+$C$24*0.15+$C$25*0.15</f>
        <v>#DIV/0!</v>
      </c>
    </row>
    <row r="27" spans="1:3" x14ac:dyDescent="0.25">
      <c r="A27" s="215"/>
      <c r="B27" s="58" t="s">
        <v>827</v>
      </c>
      <c r="C27" s="56">
        <f>(VLOOKUP($C$2,prcp!$A$1:$O$369,2,FALSE)*$C$9+VLOOKUP($C$2,prcp!$A$1:$O$369,4,FALSE)*$C$10+VLOOKUP($C$2,prcp!$A$1:$O$369,6,FALSE)*$C$11+VLOOKUP($C$2,prcp!$A$1:$O$369,8,FALSE)*$C$12+VLOOKUP($C$2,prcp!$A$1:$O$369,10,FALSE)*$C$13+VLOOKUP($C$2,prcp!$A$1:$O$369,12,FALSE)*$C$14+VLOOKUP($C$2,prcp!$A$1:$O$369,14,FALSE)*$C$15)/30</f>
        <v>1.9762043999999999</v>
      </c>
    </row>
    <row r="28" spans="1:3" x14ac:dyDescent="0.25">
      <c r="A28" s="215"/>
      <c r="B28" s="58" t="s">
        <v>828</v>
      </c>
      <c r="C28" s="56">
        <f>(VLOOKUP($C$2,prcp!$A$1:$O$369,3,FALSE)*$C$9+VLOOKUP($C$2,prcp!$A$1:$O$369,5,FALSE)*$C$10+VLOOKUP($C$2,prcp!$A$1:$O$369,7,FALSE)*$C$11+VLOOKUP($C$2,prcp!$A$1:$O$369,9,FALSE)*$C$12+VLOOKUP($C$2,prcp!$A$1:$O$369,11,FALSE)*$C$13+VLOOKUP($C$2,prcp!$A$1:$O$369,13,FALSE)*$C$14+VLOOKUP($C$2,prcp!$A$1:$O$369,15,FALSE)*$C$15)/30</f>
        <v>3.7955737999999997</v>
      </c>
    </row>
    <row r="29" spans="1:3" x14ac:dyDescent="0.25">
      <c r="A29" s="215"/>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6" t="s">
        <v>16</v>
      </c>
      <c r="B3" s="218" t="s">
        <v>18</v>
      </c>
      <c r="C3" s="219"/>
      <c r="D3" s="218" t="s">
        <v>17</v>
      </c>
      <c r="E3" s="219"/>
      <c r="F3" s="218" t="s">
        <v>19</v>
      </c>
      <c r="G3" s="219"/>
      <c r="J3" s="216" t="s">
        <v>381</v>
      </c>
      <c r="L3" s="151" t="s">
        <v>920</v>
      </c>
    </row>
    <row r="4" spans="1:12" x14ac:dyDescent="0.25">
      <c r="A4" s="217"/>
      <c r="B4" s="5" t="s">
        <v>62</v>
      </c>
      <c r="C4" s="5" t="s">
        <v>63</v>
      </c>
      <c r="D4" s="5" t="s">
        <v>62</v>
      </c>
      <c r="E4" s="5" t="s">
        <v>63</v>
      </c>
      <c r="F4" s="5" t="s">
        <v>62</v>
      </c>
      <c r="G4" s="5" t="s">
        <v>63</v>
      </c>
      <c r="J4" s="217"/>
      <c r="L4" s="152" t="s">
        <v>917</v>
      </c>
    </row>
    <row r="5" spans="1:12" x14ac:dyDescent="0.25">
      <c r="A5" s="29" t="s">
        <v>20</v>
      </c>
      <c r="B5" s="29" t="s">
        <v>26</v>
      </c>
      <c r="C5" s="29" t="s">
        <v>26</v>
      </c>
      <c r="D5" s="29" t="s">
        <v>26</v>
      </c>
      <c r="E5" s="29" t="s">
        <v>26</v>
      </c>
      <c r="F5" s="29" t="s">
        <v>26</v>
      </c>
      <c r="G5" s="29" t="s">
        <v>26</v>
      </c>
      <c r="J5" s="29" t="s">
        <v>20</v>
      </c>
      <c r="L5" s="150" t="s">
        <v>918</v>
      </c>
    </row>
    <row r="6" spans="1:12" x14ac:dyDescent="0.25">
      <c r="A6" s="29" t="s">
        <v>6</v>
      </c>
      <c r="B6" s="8">
        <v>0.75</v>
      </c>
      <c r="C6" s="8">
        <v>1</v>
      </c>
      <c r="D6" s="8">
        <v>0</v>
      </c>
      <c r="E6" s="8">
        <v>0.25</v>
      </c>
      <c r="F6" s="8">
        <v>0</v>
      </c>
      <c r="G6" s="8">
        <v>0.05</v>
      </c>
      <c r="J6" s="29" t="s">
        <v>6</v>
      </c>
      <c r="L6" s="150"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6" t="s">
        <v>16</v>
      </c>
      <c r="B17" s="218" t="s">
        <v>9</v>
      </c>
      <c r="C17" s="219"/>
      <c r="D17" s="218" t="s">
        <v>10</v>
      </c>
      <c r="E17" s="219"/>
      <c r="F17" s="218" t="s">
        <v>11</v>
      </c>
      <c r="G17" s="219"/>
    </row>
    <row r="18" spans="1:7" x14ac:dyDescent="0.25">
      <c r="A18" s="217"/>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6" t="s">
        <v>16</v>
      </c>
      <c r="B31" s="218" t="s">
        <v>12</v>
      </c>
      <c r="C31" s="219"/>
      <c r="D31" s="218" t="s">
        <v>13</v>
      </c>
      <c r="E31" s="219"/>
      <c r="F31" s="218" t="s">
        <v>14</v>
      </c>
      <c r="G31" s="219"/>
    </row>
    <row r="32" spans="1:7" x14ac:dyDescent="0.25">
      <c r="A32" s="217"/>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2017-05-23T16:19:21Z</dcterms:modified>
</cp:coreProperties>
</file>