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6" i="1" l="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4" i="9" l="1"/>
  <c r="D95" i="4" s="1"/>
  <c r="C28" i="9"/>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C40" i="1"/>
  <c r="C41" i="1"/>
  <c r="C42" i="1"/>
  <c r="C43" i="1"/>
  <c r="C44" i="1"/>
  <c r="C45" i="1"/>
  <c r="C46" i="1"/>
  <c r="C47" i="1"/>
  <c r="C48" i="1"/>
  <c r="C49" i="1"/>
  <c r="C50" i="1"/>
  <c r="C51" i="1"/>
  <c r="C52" i="1"/>
  <c r="C53" i="1"/>
  <c r="C21" i="1"/>
  <c r="R21" i="1" s="1"/>
  <c r="M48" i="1"/>
  <c r="F48" i="1" s="1"/>
  <c r="H29" i="1" l="1"/>
  <c r="R29" i="1"/>
  <c r="Q29" i="1"/>
  <c r="G29" i="1"/>
  <c r="O31" i="1"/>
  <c r="M31" i="1"/>
  <c r="F31" i="1" s="1"/>
  <c r="I29" i="1"/>
  <c r="M30" i="1"/>
  <c r="F30" i="1" s="1"/>
  <c r="G30" i="1"/>
  <c r="Q30" i="1" s="1"/>
  <c r="K30" i="1"/>
  <c r="H30" i="1"/>
  <c r="M38" i="1"/>
  <c r="F38" i="1" s="1"/>
  <c r="H31" i="1"/>
  <c r="H52" i="1"/>
  <c r="H48" i="1"/>
  <c r="H44" i="1"/>
  <c r="J29" i="1"/>
  <c r="C29" i="9"/>
  <c r="D100" i="4" s="1"/>
  <c r="O30" i="1"/>
  <c r="J30" i="1"/>
  <c r="L29" i="1"/>
  <c r="M29" i="1"/>
  <c r="F29" i="1" s="1"/>
  <c r="K31" i="1"/>
  <c r="G31" i="1"/>
  <c r="J31" i="1" s="1"/>
  <c r="N29" i="1"/>
  <c r="O29"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H33" i="1" s="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H32" i="1"/>
  <c r="J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K32" i="1"/>
  <c r="N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K26" i="1" l="1"/>
  <c r="K33" i="1"/>
  <c r="O33" i="1"/>
  <c r="K28" i="1"/>
  <c r="I32" i="1"/>
  <c r="I27" i="1"/>
  <c r="P32" i="1"/>
  <c r="I26" i="1"/>
  <c r="N32" i="1"/>
  <c r="J25" i="1"/>
  <c r="Q28" i="1"/>
  <c r="I28" i="1"/>
  <c r="Q26" i="1"/>
  <c r="L31" i="1"/>
  <c r="I31" i="1"/>
  <c r="P31"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<sst xmlns="http://schemas.openxmlformats.org/spreadsheetml/2006/main" count="2062" uniqueCount="950">
  <si>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</si>
  <si>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</si>
  <si>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</si>
  <si>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</si>
  <si>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</si>
  <si>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</si>
  <si>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</si>
  <si>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</si>
  <si>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</si>
  <si>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</si>
  <si>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</si>
  <si>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</si>
  <si>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</si>
  <si>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</si>
  <si>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</si>
  <si>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</si>
  <si>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</si>
  <si>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</si>
  <si>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</si>
  <si>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</si>
  <si>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</si>
  <si>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</si>
  <si>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</si>
  <si>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</si>
  <si>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</si>
  <si>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</si>
  <si>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</si>
  <si>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</si>
  <si>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</si>
  <si>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</si>
  <si>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</si>
  <si>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</si>
  <si>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</si>
  <si>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</si>
  <si>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</si>
  <si>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</si>
  <si>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</si>
  <si>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</si>
  <si>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</si>
  <si>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</si>
  <si>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</si>
  <si>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</si>
  <si>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</si>
  <si>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</si>
  <si>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</si>
  <si>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</si>
  <si>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</si>
  <si>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</si>
  <si>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</si>
  <si>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</si>
  <si>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</si>
  <si>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</si>
  <si>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</si>
  <si>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</si>
  <si>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</si>
  <si>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</si>
  <si>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</si>
  <si>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</si>
  <si>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</si>
  <si>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</si>
  <si>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</si>
  <si>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</si>
  <si>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</si>
  <si>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</si>
  <si>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</si>
  <si>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</si>
  <si>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</si>
  <si>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</si>
  <si>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</si>
  <si>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</si>
  <si>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</si>
  <si>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</si>
  <si>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</si>
  <si>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</si>
  <si>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</si>
  <si>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</si>
  <si>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</si>
  <si>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</si>
  <si>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</si>
  <si>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</si>
  <si>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</si>
  <si>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</si>
  <si>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</si>
  <si>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</si>
  <si>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</si>
  <si>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</si>
  <si>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</si>
  <si>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</si>
  <si>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</si>
  <si>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</si>
  <si>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</si>
  <si>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</si>
  <si>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</si>
  <si>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</si>
  <si>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</si>
  <si>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</si>
  <si>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</si>
  <si>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</si>
  <si>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</si>
  <si>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</si>
  <si>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</si>
  <si>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</si>
  <si>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</si>
  <si>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</si>
  <si>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</si>
  <si>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</si>
  <si>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</si>
  <si>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</si>
  <si>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</si>
  <si>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</si>
  <si>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</si>
  <si>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</si>
  <si>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</si>
  <si>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</si>
  <si>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</si>
  <si>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</si>
  <si>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</si>
  <si>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</si>
  <si>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</si>
  <si>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</si>
  <si>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</si>
  <si>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</si>
  <si>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</si>
  <si>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</si>
  <si>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</si>
  <si>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</si>
  <si>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</si>
  <si>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</si>
  <si>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</si>
  <si>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</si>
  <si>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</si>
  <si>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</si>
  <si>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</si>
  <si>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</si>
  <si>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</si>
  <si>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</si>
  <si>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</si>
  <si>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</si>
  <si>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</si>
  <si>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</si>
  <si>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</si>
  <si>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</si>
  <si>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</si>
  <si>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</si>
  <si>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</si>
  <si>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</si>
  <si>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</si>
  <si>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</si>
  <si>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</si>
  <si>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</si>
  <si>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</si>
  <si>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</si>
  <si>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</si>
  <si>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</si>
  <si>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</si>
  <si>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</si>
  <si>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</si>
  <si>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</si>
  <si>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</si>
  <si>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</si>
  <si>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</si>
  <si>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</si>
  <si>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</si>
  <si>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</si>
  <si>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</si>
  <si>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</si>
  <si>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</si>
  <si>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</si>
  <si>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</si>
  <si>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</si>
  <si>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</si>
  <si>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</si>
  <si>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</si>
  <si>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</si>
  <si>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</si>
  <si>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</si>
  <si>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</si>
  <si>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</si>
  <si>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</si>
  <si>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</si>
  <si>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</si>
  <si>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</si>
  <si>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</si>
  <si>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</si>
  <si>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</si>
  <si>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</si>
  <si>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</si>
  <si>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</si>
  <si>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</si>
  <si>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</si>
  <si>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</si>
  <si>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</si>
  <si>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</si>
  <si>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</si>
  <si>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</si>
  <si>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</si>
  <si>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</si>
  <si>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</si>
  <si>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</si>
  <si>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</si>
  <si>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</si>
  <si>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</si>
  <si>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</si>
  <si>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</si>
  <si>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</si>
  <si>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</si>
  <si>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</si>
  <si>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</si>
  <si>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</si>
  <si>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</si>
  <si>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</si>
  <si>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</si>
  <si>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</si>
  <si>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</si>
  <si>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</si>
  <si>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</si>
  <si>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</si>
  <si>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</si>
  <si>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</si>
  <si>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</si>
  <si>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</si>
  <si>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</si>
  <si>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</si>
  <si>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</si>
  <si>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</si>
  <si>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</si>
  <si>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</si>
  <si>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</si>
  <si>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</si>
  <si>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</si>
  <si>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</si>
  <si>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</si>
  <si>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</si>
  <si>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</si>
  <si>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</si>
  <si>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</si>
  <si>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</si>
  <si>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</si>
  <si>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</si>
  <si>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</si>
  <si>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</si>
  <si>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</si>
  <si>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</si>
  <si>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</si>
  <si>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</si>
  <si>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</si>
  <si>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</si>
  <si>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</si>
  <si>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</si>
  <si>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</si>
  <si>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</si>
  <si>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</si>
  <si>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</si>
  <si>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</si>
  <si>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</si>
  <si>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</si>
  <si>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</si>
  <si>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</si>
  <si>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</si>
  <si>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</si>
  <si>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</si>
  <si>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</si>
  <si>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</si>
  <si>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</si>
  <si>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</si>
  <si>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</si>
  <si>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</si>
  <si>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</si>
  <si>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</si>
  <si>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</si>
  <si>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</si>
  <si>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</si>
  <si>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</si>
  <si>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</si>
  <si>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</si>
  <si>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</si>
  <si>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</si>
  <si>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</si>
  <si>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</si>
  <si>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</si>
  <si>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</si>
  <si>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</si>
  <si>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</si>
  <si>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</si>
  <si>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</si>
  <si>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</si>
  <si>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</si>
  <si>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</si>
  <si>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</si>
  <si>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</si>
  <si>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</si>
  <si>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</si>
  <si>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</si>
  <si>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</si>
  <si>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</si>
  <si>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</si>
  <si>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</si>
  <si>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</si>
  <si>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</si>
  <si>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</si>
  <si>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</si>
  <si>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</si>
  <si>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</si>
  <si>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</si>
  <si>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</si>
  <si>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</si>
  <si>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</si>
  <si>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</si>
  <si>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</si>
  <si>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</si>
  <si>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</si>
  <si>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</si>
  <si>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</si>
  <si>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</si>
  <si>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</si>
  <si>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</si>
  <si>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</si>
  <si>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</si>
  <si>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</si>
  <si>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</si>
  <si>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</si>
  <si>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</si>
  <si>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</si>
  <si>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</si>
  <si>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</si>
  <si>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</si>
  <si>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</si>
  <si>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</si>
  <si>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</si>
  <si>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</si>
  <si>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</si>
  <si>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</si>
  <si>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</si>
  <si>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</si>
  <si>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</si>
  <si>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</si>
  <si>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</si>
  <si>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</si>
  <si>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</si>
  <si>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</si>
  <si>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</si>
  <si>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</si>
  <si>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</si>
  <si>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</si>
  <si>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</si>
  <si>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</si>
  <si>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</si>
  <si>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</si>
  <si>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</si>
  <si>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</si>
  <si>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</si>
  <si>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</si>
  <si>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</si>
  <si>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</si>
  <si>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</si>
  <si>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</si>
  <si>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</si>
  <si>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</si>
  <si>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</si>
  <si>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</si>
  <si>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</si>
  <si>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</si>
  <si>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</si>
  <si>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</si>
  <si>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</si>
  <si>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</si>
  <si>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</si>
  <si>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</si>
  <si>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</si>
  <si>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</si>
  <si>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</si>
  <si>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</si>
  <si>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</si>
  <si>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</si>
  <si>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</si>
  <si>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</si>
  <si>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</si>
  <si>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</si>
  <si>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</si>
  <si>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</si>
  <si>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</si>
  <si>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</si>
  <si>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</si>
  <si>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</si>
  <si>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</si>
  <si>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</si>
  <si>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</si>
  <si>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</si>
  <si>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</si>
  <si>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</si>
  <si>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</si>
  <si>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</si>
  <si>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</si>
  <si>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</si>
  <si>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</si>
  <si>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</si>
  <si>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</si>
  <si>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</si>
  <si>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</si>
  <si>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</si>
  <si>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</si>
  <si>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</si>
  <si>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</si>
  <si>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</si>
  <si>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</si>
  <si>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</si>
  <si>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</si>
  <si>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</si>
  <si>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</si>
  <si>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</si>
  <si>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</si>
  <si>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</si>
  <si>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</si>
  <si>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</si>
  <si>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</si>
  <si>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</si>
  <si>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</si>
  <si>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</si>
  <si>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</si>
  <si>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</si>
  <si>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</si>
  <si>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</si>
  <si>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</si>
  <si>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</si>
  <si>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</si>
  <si>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</si>
  <si>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</si>
  <si>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</si>
  <si>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</si>
  <si>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</si>
  <si>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</si>
  <si>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</si>
  <si>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</si>
  <si>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</si>
  <si>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</si>
  <si>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</si>
  <si>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</si>
  <si>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</si>
  <si>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</si>
  <si>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</si>
  <si>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</si>
  <si>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</si>
  <si>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</si>
  <si>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</si>
  <si>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</si>
  <si>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</si>
  <si>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</si>
  <si>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</si>
  <si>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</si>
  <si>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</si>
  <si>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</si>
  <si>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</si>
  <si>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</si>
  <si>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</si>
  <si>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</si>
  <si>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</si>
  <si>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</si>
  <si>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</si>
  <si>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</si>
  <si>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</si>
  <si>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</si>
  <si>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</si>
  <si>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</si>
  <si>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</si>
  <si>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</si>
  <si>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</si>
  <si>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</si>
  <si>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</si>
  <si>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</si>
  <si>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</si>
  <si>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</si>
  <si>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</si>
  <si>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</si>
  <si>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</si>
  <si>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</si>
  <si>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</si>
  <si>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</si>
  <si>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</si>
  <si>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</si>
  <si>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</si>
  <si>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</si>
  <si>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</si>
  <si>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</si>
  <si>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</si>
  <si>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</si>
  <si>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</si>
  <si>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</si>
  <si>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</si>
  <si>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</si>
  <si>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</si>
  <si>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</si>
  <si>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</si>
  <si>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</si>
  <si>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</si>
  <si>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</si>
  <si>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</si>
  <si>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</si>
  <si>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</si>
  <si>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</si>
  <si>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</si>
  <si>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</si>
  <si>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</si>
  <si>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</si>
  <si>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</si>
  <si>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</si>
  <si>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</si>
  <si>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</si>
  <si>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</si>
  <si>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</si>
  <si>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</si>
  <si>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</si>
  <si>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</si>
  <si>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</si>
  <si>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</si>
  <si>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</si>
  <si>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</si>
  <si>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</si>
  <si>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</si>
  <si>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</si>
  <si>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</si>
  <si>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</si>
  <si>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</si>
  <si>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</si>
  <si>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</si>
  <si>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</si>
  <si>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</si>
  <si>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</si>
  <si>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</si>
  <si>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</si>
  <si>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</si>
  <si>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</si>
  <si>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</si>
  <si>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</si>
  <si>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</si>
  <si>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</si>
  <si>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</si>
  <si>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</si>
  <si>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</si>
  <si>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</si>
  <si>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</si>
  <si>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</si>
  <si>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</si>
  <si>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</si>
  <si>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</si>
  <si>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</si>
  <si>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</si>
  <si>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</si>
  <si>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</si>
  <si>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</si>
  <si>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</si>
  <si>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</si>
  <si>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</si>
  <si>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</si>
  <si>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</si>
  <si>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</si>
  <si>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</si>
  <si>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</si>
  <si>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</si>
  <si>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</si>
  <si>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</si>
  <si>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</si>
  <si>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</si>
  <si>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</si>
  <si>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</si>
  <si>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</si>
  <si>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</si>
  <si>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</si>
  <si>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</si>
  <si>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</si>
  <si>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</si>
  <si>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</si>
  <si>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</si>
  <si>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</si>
  <si>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</si>
  <si>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</si>
  <si>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</si>
  <si>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</si>
  <si>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</si>
  <si>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</si>
  <si>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</si>
  <si>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</si>
  <si>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</si>
  <si>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</si>
  <si>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</si>
  <si>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</si>
  <si>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</si>
  <si>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</si>
  <si>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</si>
  <si>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</si>
  <si>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</si>
  <si>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</si>
  <si>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</si>
  <si>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</si>
  <si>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</si>
  <si>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</si>
  <si>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</si>
  <si>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</si>
  <si>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</si>
  <si>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</si>
  <si>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</si>
  <si>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</si>
  <si>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</si>
  <si>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</si>
  <si>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</si>
  <si>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</si>
  <si>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</si>
  <si>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</si>
  <si>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</si>
  <si>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</si>
  <si>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</si>
  <si>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</si>
  <si>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</si>
  <si>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</si>
  <si>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</si>
  <si>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</si>
  <si>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</si>
  <si>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</si>
  <si>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</si>
  <si>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</si>
  <si>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</si>
  <si>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</si>
  <si>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</si>
  <si>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</si>
  <si>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</si>
  <si>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</si>
  <si>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</si>
  <si>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</si>
  <si>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</si>
  <si>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</si>
  <si>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</si>
  <si>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</si>
  <si>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</si>
  <si>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</si>
  <si>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</si>
  <si>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</si>
  <si>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</si>
  <si>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</si>
  <si>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</si>
  <si>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</si>
  <si>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</si>
  <si>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</si>
  <si>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</si>
  <si>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</si>
  <si>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</si>
  <si>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</si>
  <si>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</si>
  <si>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</si>
  <si>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</si>
  <si>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</si>
  <si>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</si>
  <si>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</si>
  <si>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</si>
  <si>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</si>
  <si>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</si>
  <si>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</si>
  <si>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</si>
  <si>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</si>
  <si>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</si>
  <si>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</si>
  <si>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</si>
  <si>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</si>
  <si>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</si>
  <si>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</si>
  <si>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</si>
  <si>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</si>
  <si>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</si>
  <si>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</si>
  <si>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</si>
  <si>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</si>
  <si>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</si>
  <si>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</si>
  <si>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</si>
  <si>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</si>
  <si>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</si>
  <si>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</si>
  <si>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</si>
  <si>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</si>
  <si>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</si>
  <si>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</si>
  <si>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</si>
  <si>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</si>
  <si>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</si>
  <si>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</si>
  <si>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</si>
  <si>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</si>
  <si>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</si>
  <si>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</si>
  <si>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</si>
  <si>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</si>
  <si>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</si>
  <si>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</si>
  <si>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</si>
  <si>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</si>
  <si>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</si>
  <si>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</si>
  <si>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</si>
  <si>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</si>
  <si>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</si>
  <si>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</si>
  <si>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</si>
  <si>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</si>
  <si>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</si>
  <si>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</si>
  <si>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</si>
  <si>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</si>
  <si>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</si>
  <si>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</si>
  <si>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</si>
  <si>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</si>
  <si>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</si>
  <si>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</si>
  <si>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</si>
  <si>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</si>
  <si>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</si>
  <si>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</si>
  <si>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</si>
  <si>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</si>
  <si>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</si>
  <si>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</si>
  <si>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</si>
  <si>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</si>
  <si>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</si>
  <si>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</si>
  <si>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</si>
  <si>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</si>
  <si>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</si>
  <si>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</si>
  <si>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</si>
  <si>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</si>
  <si>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</si>
  <si>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</si>
  <si>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</si>
  <si>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</si>
  <si>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</si>
  <si>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</si>
  <si>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</si>
  <si>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</si>
  <si>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</si>
  <si>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</si>
  <si>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</si>
  <si>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</si>
  <si>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</si>
  <si>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</si>
  <si>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</si>
  <si>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</si>
  <si>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</si>
  <si>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</si>
  <si>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</si>
  <si>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</si>
  <si>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</si>
  <si>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</si>
  <si>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</si>
  <si>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</si>
  <si>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</si>
  <si>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</si>
  <si>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</si>
  <si>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</si>
  <si>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</si>
  <si>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</si>
  <si>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</si>
  <si>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</si>
  <si>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</si>
  <si>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</si>
  <si>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</si>
  <si>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</si>
  <si>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</si>
  <si>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</si>
  <si>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</si>
  <si>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</si>
  <si>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</si>
  <si>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</si>
  <si>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</si>
  <si>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</si>
  <si>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</si>
  <si>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</si>
  <si>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</si>
  <si>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</si>
  <si>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</si>
  <si>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</si>
  <si>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</si>
  <si>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</si>
  <si>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</si>
  <si>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</si>
  <si>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</si>
  <si>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</si>
  <si>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</si>
  <si>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</si>
  <si>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</si>
  <si>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</si>
  <si>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</si>
  <si>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</si>
  <si>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</si>
  <si>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</si>
  <si>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</si>
  <si>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</si>
  <si>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</si>
  <si>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</si>
  <si>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</si>
  <si>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</si>
  <si>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</si>
  <si>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</si>
  <si>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</si>
  <si>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</si>
  <si>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</si>
  <si>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</si>
  <si>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</si>
  <si>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</si>
  <si>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</si>
  <si>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</si>
  <si>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</si>
  <si>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</si>
  <si>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</si>
  <si>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</si>
  <si>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</si>
  <si>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</si>
  <si>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</si>
  <si>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</si>
  <si>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</si>
  <si>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</si>
  <si>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</si>
  <si>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</si>
  <si>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</si>
  <si>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</si>
  <si>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</si>
  <si>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</si>
  <si>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</si>
  <si>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</si>
  <si>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</si>
  <si>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</si>
  <si>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</si>
  <si>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</si>
  <si>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</si>
  <si>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</si>
  <si>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</si>
  <si>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</si>
  <si>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</si>
  <si>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</si>
  <si>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</si>
  <si>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</si>
  <si>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</si>
  <si>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</si>
  <si>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</si>
  <si>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</si>
  <si>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</si>
  <si>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</si>
  <si>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</si>
  <si>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</si>
  <si>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</si>
  <si>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</si>
  <si>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</si>
  <si>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</si>
  <si>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</si>
  <si>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</si>
  <si>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</si>
  <si>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</si>
  <si>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</si>
  <si>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</si>
  <si>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</si>
  <si>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</si>
  <si>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</si>
  <si>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</si>
  <si>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</si>
  <si>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</si>
  <si>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</si>
  <si>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</si>
  <si>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</si>
  <si>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</si>
  <si>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</si>
  <si>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</si>
  <si>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</si>
  <si>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</si>
  <si>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</si>
  <si>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</si>
  <si>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</si>
  <si>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</si>
  <si>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</si>
  <si>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</si>
  <si>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</si>
  <si>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</si>
  <si>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</si>
  <si>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</si>
  <si>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</si>
  <si>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</si>
  <si>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</si>
  <si>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</si>
  <si>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</si>
  <si>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</si>
  <si>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</si>
  <si>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</si>
  <si>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</si>
  <si>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</si>
  <si>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</si>
  <si>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</si>
  <si>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</si>
  <si>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</si>
  <si>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</si>
  <si>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</si>
  <si>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</si>
  <si>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</si>
  <si>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</si>
  <si>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</si>
  <si>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</si>
  <si>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</si>
  <si>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</si>
  <si>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</si>
  <si>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</si>
  <si>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</si>
  <si>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</si>
  <si>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</si>
  <si>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</si>
  <si>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</si>
  <si>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</si>
  <si>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</si>
  <si>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</si>
  <si>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</si>
  <si>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</si>
  <si>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</si>
  <si>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</si>
  <si>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</si>
  <si>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</si>
  <si>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</si>
  <si>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</si>
  <si>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</si>
  <si>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</si>
  <si>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</si>
  <si>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</si>
  <si>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</si>
  <si>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</si>
  <si>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</si>
  <si>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</si>
  <si>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</si>
  <si>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</si>
  <si>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North Fork Clam River at Upper Sand Rd. Crossing</t>
  </si>
  <si>
    <t>North Fork Clam River</t>
  </si>
  <si>
    <t>burnett</t>
  </si>
  <si>
    <t>CHESTNUT LAMPREY</t>
  </si>
  <si>
    <t>BROWN TROUT</t>
  </si>
  <si>
    <t>BROOK TROUT</t>
  </si>
  <si>
    <t>COMMON SHINER</t>
  </si>
  <si>
    <t>FATHEAD MINNOW</t>
  </si>
  <si>
    <t>WESTERN BLACKNOSE DACE</t>
  </si>
  <si>
    <t>LONGNOSE DACE</t>
  </si>
  <si>
    <t>CREEK CHUB</t>
  </si>
  <si>
    <t>WHITE SUCKER</t>
  </si>
  <si>
    <t>NORTHERN HOG SUCKER</t>
  </si>
  <si>
    <t>JOHNNY DARTER</t>
  </si>
  <si>
    <t>WALLEYE</t>
  </si>
  <si>
    <t>MOTTLED SCULPIN</t>
  </si>
  <si>
    <t>LAMPREYS (AMMOCOETE)</t>
  </si>
  <si>
    <t>past survey data was considered.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</si>
</sst>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8" sqref="B8:D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1" t="s">
        <v>931</v>
      </c>
      <c r="C4" s="169"/>
      <c r="D4" s="170"/>
      <c r="F4" s="2" t="s">
        <v>836</v>
      </c>
    </row>
    <row r="5" spans="1:20" x14ac:dyDescent="0.25">
      <c r="A5" s="1" t="s">
        <v>832</v>
      </c>
      <c r="B5" s="174">
        <v>42857</v>
      </c>
      <c r="C5" s="169"/>
      <c r="D5" s="170"/>
      <c r="F5" s="82"/>
      <c r="G5" s="28"/>
      <c r="H5" s="28"/>
      <c r="I5" s="28"/>
      <c r="J5" s="28"/>
      <c r="K5" s="28"/>
      <c r="L5" s="28"/>
      <c r="M5" s="28"/>
      <c r="N5" s="28"/>
      <c r="O5" s="28"/>
      <c r="P5" s="28"/>
      <c r="Q5" s="28"/>
      <c r="R5" s="28" t="s">
        <v>866</v>
      </c>
    </row>
    <row r="6" spans="1:20" x14ac:dyDescent="0.25">
      <c r="A6" s="1" t="s">
        <v>830</v>
      </c>
      <c r="B6" s="175">
        <v>42536</v>
      </c>
      <c r="C6" s="166"/>
      <c r="D6" s="167"/>
      <c r="F6" s="26"/>
      <c r="G6" s="28"/>
      <c r="H6" s="28"/>
      <c r="I6" s="28"/>
      <c r="J6" s="28"/>
      <c r="K6" s="28"/>
      <c r="L6" s="28"/>
      <c r="M6" s="28"/>
      <c r="N6" s="28"/>
      <c r="O6" s="28"/>
      <c r="P6" s="28"/>
      <c r="Q6" s="28"/>
      <c r="R6" s="28" t="s">
        <v>378</v>
      </c>
    </row>
    <row r="7" spans="1:20" s="28" customFormat="1" x14ac:dyDescent="0.25">
      <c r="A7" s="28" t="s">
        <v>869</v>
      </c>
      <c r="B7" s="165">
        <v>10031948</v>
      </c>
      <c r="C7" s="166"/>
      <c r="D7" s="167"/>
      <c r="F7" s="27"/>
    </row>
    <row r="8" spans="1:20" s="28" customFormat="1" x14ac:dyDescent="0.25">
      <c r="A8" s="28" t="s">
        <v>872</v>
      </c>
      <c r="B8" s="165" t="s">
        <v>932</v>
      </c>
      <c r="C8" s="166"/>
      <c r="D8" s="167"/>
      <c r="F8" s="27"/>
    </row>
    <row r="9" spans="1:20" x14ac:dyDescent="0.25">
      <c r="A9" s="1" t="s">
        <v>49</v>
      </c>
      <c r="B9" s="164" t="s">
        <v>870</v>
      </c>
      <c r="C9" s="164"/>
      <c r="D9" s="164"/>
    </row>
    <row r="10" spans="1:20" x14ac:dyDescent="0.25">
      <c r="B10" s="86"/>
      <c r="C10" s="86"/>
      <c r="D10" s="86"/>
    </row>
    <row r="11" spans="1:20" x14ac:dyDescent="0.25">
      <c r="A11" s="1" t="s">
        <v>34</v>
      </c>
      <c r="B11" s="165" t="s">
        <v>933</v>
      </c>
      <c r="C11" s="166"/>
      <c r="D11" s="167"/>
      <c r="F11" s="27"/>
      <c r="G11" s="27"/>
      <c r="H11" s="27"/>
      <c r="I11" s="27"/>
      <c r="J11" s="27"/>
      <c r="K11" s="27"/>
      <c r="L11" s="27"/>
      <c r="M11" s="27"/>
      <c r="N11" s="27"/>
      <c r="O11" s="27"/>
      <c r="P11" s="27"/>
      <c r="Q11" s="27"/>
      <c r="R11" s="27"/>
    </row>
    <row r="12" spans="1:20" x14ac:dyDescent="0.25">
      <c r="A12" s="1" t="s">
        <v>37</v>
      </c>
      <c r="B12" s="164" t="s">
        <v>934</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2656600</v>
      </c>
      <c r="C14" s="164"/>
      <c r="D14" s="164"/>
      <c r="F14" s="27"/>
      <c r="G14" s="27"/>
      <c r="H14" s="27"/>
      <c r="I14" s="27"/>
      <c r="J14" s="27"/>
      <c r="K14" s="27"/>
      <c r="L14" s="27"/>
      <c r="M14" s="27"/>
      <c r="N14" s="27"/>
      <c r="O14" s="27"/>
      <c r="P14" s="27"/>
      <c r="Q14" s="27"/>
      <c r="R14" s="27"/>
    </row>
    <row r="15" spans="1:20" s="28" customFormat="1" x14ac:dyDescent="0.25">
      <c r="A15" s="28" t="s">
        <v>835</v>
      </c>
      <c r="B15" s="168" t="s">
        <v>538</v>
      </c>
      <c r="C15" s="169"/>
      <c r="D15" s="170"/>
      <c r="E15" s="11" t="s">
        <v>868</v>
      </c>
      <c r="F15" s="27"/>
    </row>
    <row r="16" spans="1:20" x14ac:dyDescent="0.25">
      <c r="B16" s="130"/>
      <c r="C16" s="130"/>
      <c r="D16" s="130"/>
      <c r="T16" s="37"/>
    </row>
    <row r="17" spans="1:25" x14ac:dyDescent="0.25">
      <c r="A17" s="1" t="s">
        <v>33</v>
      </c>
      <c r="B17" s="171" t="s">
        <v>58</v>
      </c>
      <c r="C17" s="172"/>
      <c r="D17" s="173"/>
      <c r="E17" s="11" t="s">
        <v>837</v>
      </c>
      <c r="F17" s="24"/>
      <c r="G17" s="24"/>
      <c r="S17" s="11"/>
    </row>
    <row r="18" spans="1:25" x14ac:dyDescent="0.25">
      <c r="G18" s="162" t="s">
        <v>59</v>
      </c>
      <c r="H18" s="163"/>
      <c r="I18" s="163"/>
      <c r="J18" s="163"/>
      <c r="K18" s="163"/>
      <c r="L18" s="163"/>
      <c r="M18" s="163"/>
      <c r="N18" s="163"/>
      <c r="O18" s="163"/>
      <c r="P18" s="163"/>
      <c r="Q18" s="163"/>
    </row>
    <row r="19" spans="1:25" x14ac:dyDescent="0.25">
      <c r="A19" s="2" t="s">
        <v>865</v>
      </c>
      <c r="C19" s="28"/>
      <c r="D19" s="28"/>
      <c r="E19" s="28"/>
      <c r="F19" s="28"/>
      <c r="G19" s="160" t="s">
        <v>377</v>
      </c>
      <c r="H19" s="157" t="s">
        <v>5</v>
      </c>
      <c r="I19" s="158"/>
      <c r="J19" s="159"/>
      <c r="K19" s="157" t="s">
        <v>64</v>
      </c>
      <c r="L19" s="158"/>
      <c r="M19" s="158"/>
      <c r="N19" s="159"/>
      <c r="O19" s="157" t="s">
        <v>1</v>
      </c>
      <c r="P19" s="158"/>
      <c r="Q19" s="159"/>
      <c r="R19" s="28"/>
    </row>
    <row r="20" spans="1:25" ht="45" x14ac:dyDescent="0.25">
      <c r="A20" s="5" t="s">
        <v>50</v>
      </c>
      <c r="B20" s="4" t="s">
        <v>4</v>
      </c>
      <c r="C20" s="5" t="s">
        <v>2</v>
      </c>
      <c r="D20" s="5" t="s">
        <v>3</v>
      </c>
      <c r="E20" s="5" t="s">
        <v>44</v>
      </c>
      <c r="F20" s="30" t="s">
        <v>376</v>
      </c>
      <c r="G20" s="161"/>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935</v>
      </c>
      <c r="B21" s="156">
        <v>1</v>
      </c>
      <c r="C21" s="26" t="str">
        <f>IFERROR(VLOOKUP($A21,'Species guilds'!$A$3:$F$301,3,FALSE),0)</f>
        <v>W</v>
      </c>
      <c r="D21" s="26" t="str">
        <f>IFERROR(VLOOKUP($A21,'Species guilds'!$A$3:$F$301,4,FALSE),0)</f>
        <v>L</v>
      </c>
      <c r="E21" s="26" t="str">
        <f>IFERROR(VLOOKUP($A21,'Species guilds'!$A$3:$F$301,5,FALSE),0)</f>
        <v>IT</v>
      </c>
      <c r="F21" s="26">
        <f t="shared" ref="F21:F53" si="0">IF(AND(M21&gt;0,B21&gt;0)=FALSE,B21,0)</f>
        <v>1</v>
      </c>
      <c r="G21" s="26">
        <f>IF(D21="Lake",0,1)</f>
        <v>1</v>
      </c>
      <c r="H21" s="26">
        <f>IF($C21=H$20,$B21*G21,0)</f>
        <v>0</v>
      </c>
      <c r="I21" s="26">
        <f>IF($C21=I$20,$B21*G21,0)</f>
        <v>0</v>
      </c>
      <c r="J21" s="26">
        <f>IF($C21=J$20,$B21*G21,0)</f>
        <v>1</v>
      </c>
      <c r="K21" s="26">
        <f>IF($D21=K$20,$B21*G21,0)</f>
        <v>0</v>
      </c>
      <c r="L21" s="26">
        <f>IF($D21=L$20,$B21*G21,0)</f>
        <v>0</v>
      </c>
      <c r="M21" s="26">
        <f>IF($D21=M$20,$B21,0)</f>
        <v>0</v>
      </c>
      <c r="N21" s="26">
        <f>IF($D21=N$20,$B21*G21,0)</f>
        <v>1</v>
      </c>
      <c r="O21" s="26">
        <f>IF($E21=O$20,$B21*G21,0)</f>
        <v>1</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936</v>
      </c>
      <c r="B22" s="156">
        <v>196</v>
      </c>
      <c r="C22" s="26" t="str">
        <f>IFERROR(VLOOKUP($A22,'Species guilds'!$A$3:$F$301,3,FALSE),0)</f>
        <v>C</v>
      </c>
      <c r="D22" s="26" t="str">
        <f>IFERROR(VLOOKUP($A22,'Species guilds'!$A$3:$F$301,4,FALSE),0)</f>
        <v>M</v>
      </c>
      <c r="E22" s="26" t="str">
        <f>IFERROR(VLOOKUP($A22,'Species guilds'!$A$3:$F$301,5,FALSE),0)</f>
        <v>IM</v>
      </c>
      <c r="F22" s="26">
        <f t="shared" si="0"/>
        <v>196</v>
      </c>
      <c r="G22" s="26">
        <f t="shared" ref="G22:G53" si="1">IF(D22="Lake",0,1)</f>
        <v>1</v>
      </c>
      <c r="H22" s="26">
        <f t="shared" ref="H22:H53" si="2">IF($C22=H$20,$B22*G22,0)</f>
        <v>196</v>
      </c>
      <c r="I22" s="26">
        <f t="shared" ref="I22:I53" si="3">IF($C22=I$20,$B22*G22,0)</f>
        <v>0</v>
      </c>
      <c r="J22" s="26">
        <f t="shared" ref="J22:J53" si="4">IF($C22=J$20,$B22*G22,0)</f>
        <v>0</v>
      </c>
      <c r="K22" s="26">
        <f t="shared" ref="K22:K53" si="5">IF($D22=K$20,$B22*G22,0)</f>
        <v>0</v>
      </c>
      <c r="L22" s="26">
        <f t="shared" ref="L22:L53" si="6">IF($D22=L$20,$B22*G22,0)</f>
        <v>196</v>
      </c>
      <c r="M22" s="26">
        <f t="shared" ref="M22:M40" si="7">IF($D22=M$20,$B22,0)</f>
        <v>0</v>
      </c>
      <c r="N22" s="26">
        <f t="shared" ref="N22:N53" si="8">IF($D22=N$20,$B22*G22,0)</f>
        <v>0</v>
      </c>
      <c r="O22" s="26">
        <f t="shared" ref="O22:O53" si="9">IF($E22=O$20,$B22*G22,0)</f>
        <v>0</v>
      </c>
      <c r="P22" s="26">
        <f t="shared" ref="P22:P53" si="10">IF($E22=P$20,$B22*G22,0)</f>
        <v>196</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937</v>
      </c>
      <c r="B23" s="156">
        <v>8</v>
      </c>
      <c r="C23" s="26" t="str">
        <f>IFERROR(VLOOKUP($A23,'Species guilds'!$A$3:$F$301,3,FALSE),0)</f>
        <v>C</v>
      </c>
      <c r="D23" s="26" t="str">
        <f>IFERROR(VLOOKUP($A23,'Species guilds'!$A$3:$F$301,4,FALSE),0)</f>
        <v>S</v>
      </c>
      <c r="E23" s="26" t="str">
        <f>IFERROR(VLOOKUP($A23,'Species guilds'!$A$3:$F$301,5,FALSE),0)</f>
        <v>IT</v>
      </c>
      <c r="F23" s="26">
        <f t="shared" si="0"/>
        <v>8</v>
      </c>
      <c r="G23" s="26">
        <f t="shared" si="1"/>
        <v>1</v>
      </c>
      <c r="H23" s="26">
        <f t="shared" si="2"/>
        <v>8</v>
      </c>
      <c r="I23" s="26">
        <f t="shared" si="3"/>
        <v>0</v>
      </c>
      <c r="J23" s="26">
        <f t="shared" si="4"/>
        <v>0</v>
      </c>
      <c r="K23" s="26">
        <f t="shared" si="5"/>
        <v>8</v>
      </c>
      <c r="L23" s="26">
        <f t="shared" si="6"/>
        <v>0</v>
      </c>
      <c r="M23" s="26">
        <f t="shared" si="7"/>
        <v>0</v>
      </c>
      <c r="N23" s="26">
        <f t="shared" si="8"/>
        <v>0</v>
      </c>
      <c r="O23" s="26">
        <f t="shared" si="9"/>
        <v>8</v>
      </c>
      <c r="P23" s="26">
        <f t="shared" si="10"/>
        <v>0</v>
      </c>
      <c r="Q23" s="26">
        <f t="shared" si="11"/>
        <v>0</v>
      </c>
      <c r="R23" s="79" t="str">
        <f t="shared" si="12"/>
        <v/>
      </c>
      <c r="T23" s="43"/>
      <c r="U23" s="43"/>
      <c r="V23" s="43"/>
      <c r="W23" s="43"/>
      <c r="X23" s="43"/>
      <c r="Y23" s="43"/>
    </row>
    <row r="24" spans="1:25" x14ac:dyDescent="0.25">
      <c r="A24" s="156" t="s">
        <v>938</v>
      </c>
      <c r="B24" s="156">
        <v>1</v>
      </c>
      <c r="C24" s="26" t="str">
        <f>IFERROR(VLOOKUP($A24,'Species guilds'!$A$3:$F$301,3,FALSE),0)</f>
        <v>W</v>
      </c>
      <c r="D24" s="26" t="str">
        <f>IFERROR(VLOOKUP($A24,'Species guilds'!$A$3:$F$301,4,FALSE),0)</f>
        <v>M</v>
      </c>
      <c r="E24" s="26" t="str">
        <f>IFERROR(VLOOKUP($A24,'Species guilds'!$A$3:$F$301,5,FALSE),0)</f>
        <v>IM</v>
      </c>
      <c r="F24" s="26">
        <f t="shared" si="0"/>
        <v>1</v>
      </c>
      <c r="G24" s="26">
        <f t="shared" si="1"/>
        <v>1</v>
      </c>
      <c r="H24" s="26">
        <f t="shared" si="2"/>
        <v>0</v>
      </c>
      <c r="I24" s="26">
        <f t="shared" si="3"/>
        <v>0</v>
      </c>
      <c r="J24" s="26">
        <f t="shared" si="4"/>
        <v>1</v>
      </c>
      <c r="K24" s="26">
        <f t="shared" si="5"/>
        <v>0</v>
      </c>
      <c r="L24" s="26">
        <f t="shared" si="6"/>
        <v>1</v>
      </c>
      <c r="M24" s="26">
        <f t="shared" si="7"/>
        <v>0</v>
      </c>
      <c r="N24" s="26">
        <f t="shared" si="8"/>
        <v>0</v>
      </c>
      <c r="O24" s="26">
        <f t="shared" si="9"/>
        <v>0</v>
      </c>
      <c r="P24" s="26">
        <f t="shared" si="10"/>
        <v>1</v>
      </c>
      <c r="Q24" s="26">
        <f t="shared" si="11"/>
        <v>0</v>
      </c>
      <c r="R24" s="79" t="str">
        <f t="shared" si="12"/>
        <v/>
      </c>
      <c r="T24" s="43"/>
      <c r="U24" s="43"/>
      <c r="V24" s="43"/>
      <c r="W24" s="43"/>
      <c r="X24" s="43"/>
      <c r="Y24" s="43"/>
    </row>
    <row r="25" spans="1:25" x14ac:dyDescent="0.25">
      <c r="A25" s="156" t="s">
        <v>939</v>
      </c>
      <c r="B25" s="156">
        <v>2</v>
      </c>
      <c r="C25" s="26" t="str">
        <f>IFERROR(VLOOKUP($A25,'Species guilds'!$A$3:$F$301,3,FALSE),0)</f>
        <v>W</v>
      </c>
      <c r="D25" s="26" t="str">
        <f>IFERROR(VLOOKUP($A25,'Species guilds'!$A$3:$F$301,4,FALSE),0)</f>
        <v>S</v>
      </c>
      <c r="E25" s="26" t="str">
        <f>IFERROR(VLOOKUP($A25,'Species guilds'!$A$3:$F$301,5,FALSE),0)</f>
        <v>T</v>
      </c>
      <c r="F25" s="26">
        <f t="shared" si="0"/>
        <v>2</v>
      </c>
      <c r="G25" s="26">
        <f t="shared" si="1"/>
        <v>1</v>
      </c>
      <c r="H25" s="26">
        <f t="shared" si="2"/>
        <v>0</v>
      </c>
      <c r="I25" s="26">
        <f t="shared" si="3"/>
        <v>0</v>
      </c>
      <c r="J25" s="26">
        <f t="shared" si="4"/>
        <v>2</v>
      </c>
      <c r="K25" s="26">
        <f t="shared" si="5"/>
        <v>2</v>
      </c>
      <c r="L25" s="26">
        <f t="shared" si="6"/>
        <v>0</v>
      </c>
      <c r="M25" s="26">
        <f t="shared" si="7"/>
        <v>0</v>
      </c>
      <c r="N25" s="26">
        <f t="shared" si="8"/>
        <v>0</v>
      </c>
      <c r="O25" s="26">
        <f t="shared" si="9"/>
        <v>0</v>
      </c>
      <c r="P25" s="26">
        <f t="shared" si="10"/>
        <v>0</v>
      </c>
      <c r="Q25" s="26">
        <f t="shared" si="11"/>
        <v>2</v>
      </c>
      <c r="R25" s="79" t="str">
        <f t="shared" si="12"/>
        <v/>
      </c>
      <c r="T25" s="43"/>
      <c r="U25" s="43"/>
      <c r="V25" s="43"/>
      <c r="W25" s="43"/>
      <c r="X25" s="43"/>
      <c r="Y25" s="43"/>
    </row>
    <row r="26" spans="1:25" x14ac:dyDescent="0.25">
      <c r="A26" s="156" t="s">
        <v>940</v>
      </c>
      <c r="B26" s="156">
        <v>34</v>
      </c>
      <c r="C26" s="26" t="str">
        <f>IFERROR(VLOOKUP($A26,'Species guilds'!$A$3:$F$301,3,FALSE),0)</f>
        <v>T</v>
      </c>
      <c r="D26" s="26" t="str">
        <f>IFERROR(VLOOKUP($A26,'Species guilds'!$A$3:$F$301,4,FALSE),0)</f>
        <v>S</v>
      </c>
      <c r="E26" s="26" t="str">
        <f>IFERROR(VLOOKUP($A26,'Species guilds'!$A$3:$F$301,5,FALSE),0)</f>
        <v>T</v>
      </c>
      <c r="F26" s="26">
        <f t="shared" si="0"/>
        <v>34</v>
      </c>
      <c r="G26" s="26">
        <f t="shared" si="1"/>
        <v>1</v>
      </c>
      <c r="H26" s="26">
        <f t="shared" si="2"/>
        <v>0</v>
      </c>
      <c r="I26" s="26">
        <f t="shared" si="3"/>
        <v>34</v>
      </c>
      <c r="J26" s="26">
        <f t="shared" si="4"/>
        <v>0</v>
      </c>
      <c r="K26" s="26">
        <f t="shared" si="5"/>
        <v>34</v>
      </c>
      <c r="L26" s="26">
        <f t="shared" si="6"/>
        <v>0</v>
      </c>
      <c r="M26" s="26">
        <f t="shared" si="7"/>
        <v>0</v>
      </c>
      <c r="N26" s="26">
        <f t="shared" si="8"/>
        <v>0</v>
      </c>
      <c r="O26" s="26">
        <f t="shared" si="9"/>
        <v>0</v>
      </c>
      <c r="P26" s="26">
        <f t="shared" si="10"/>
        <v>0</v>
      </c>
      <c r="Q26" s="26">
        <f t="shared" si="11"/>
        <v>34</v>
      </c>
      <c r="R26" s="79" t="str">
        <f t="shared" si="12"/>
        <v/>
      </c>
      <c r="T26" s="43"/>
      <c r="U26" s="43"/>
      <c r="V26" s="43"/>
      <c r="W26" s="43"/>
      <c r="X26" s="43"/>
      <c r="Y26" s="43"/>
    </row>
    <row r="27" spans="1:25" x14ac:dyDescent="0.25">
      <c r="A27" s="156" t="s">
        <v>941</v>
      </c>
      <c r="B27" s="156">
        <v>22</v>
      </c>
      <c r="C27" s="26" t="str">
        <f>IFERROR(VLOOKUP($A27,'Species guilds'!$A$3:$F$301,3,FALSE),0)</f>
        <v>T</v>
      </c>
      <c r="D27" s="26" t="str">
        <f>IFERROR(VLOOKUP($A27,'Species guilds'!$A$3:$F$301,4,FALSE),0)</f>
        <v>M</v>
      </c>
      <c r="E27" s="26" t="str">
        <f>IFERROR(VLOOKUP($A27,'Species guilds'!$A$3:$F$301,5,FALSE),0)</f>
        <v>IM</v>
      </c>
      <c r="F27" s="26">
        <f t="shared" si="0"/>
        <v>22</v>
      </c>
      <c r="G27" s="26">
        <f t="shared" si="1"/>
        <v>1</v>
      </c>
      <c r="H27" s="26">
        <f t="shared" si="2"/>
        <v>0</v>
      </c>
      <c r="I27" s="26">
        <f t="shared" si="3"/>
        <v>22</v>
      </c>
      <c r="J27" s="26">
        <f t="shared" si="4"/>
        <v>0</v>
      </c>
      <c r="K27" s="26">
        <f t="shared" si="5"/>
        <v>0</v>
      </c>
      <c r="L27" s="26">
        <f t="shared" si="6"/>
        <v>22</v>
      </c>
      <c r="M27" s="26">
        <f t="shared" si="7"/>
        <v>0</v>
      </c>
      <c r="N27" s="26">
        <f t="shared" si="8"/>
        <v>0</v>
      </c>
      <c r="O27" s="26">
        <f t="shared" si="9"/>
        <v>0</v>
      </c>
      <c r="P27" s="26">
        <f t="shared" si="10"/>
        <v>22</v>
      </c>
      <c r="Q27" s="26">
        <f t="shared" si="11"/>
        <v>0</v>
      </c>
      <c r="R27" s="79" t="str">
        <f t="shared" si="12"/>
        <v/>
      </c>
      <c r="T27" s="43"/>
      <c r="U27" s="43"/>
      <c r="V27" s="43"/>
      <c r="W27" s="43"/>
      <c r="X27" s="43"/>
      <c r="Y27" s="43"/>
    </row>
    <row r="28" spans="1:25" x14ac:dyDescent="0.25">
      <c r="A28" s="156" t="s">
        <v>942</v>
      </c>
      <c r="B28" s="156">
        <v>11</v>
      </c>
      <c r="C28" s="26" t="str">
        <f>IFERROR(VLOOKUP($A28,'Species guilds'!$A$3:$F$301,3,FALSE),0)</f>
        <v>T</v>
      </c>
      <c r="D28" s="26" t="str">
        <f>IFERROR(VLOOKUP($A28,'Species guilds'!$A$3:$F$301,4,FALSE),0)</f>
        <v>S</v>
      </c>
      <c r="E28" s="26" t="str">
        <f>IFERROR(VLOOKUP($A28,'Species guilds'!$A$3:$F$301,5,FALSE),0)</f>
        <v>T</v>
      </c>
      <c r="F28" s="26">
        <f t="shared" si="0"/>
        <v>11</v>
      </c>
      <c r="G28" s="26">
        <f t="shared" si="1"/>
        <v>1</v>
      </c>
      <c r="H28" s="26">
        <f t="shared" si="2"/>
        <v>0</v>
      </c>
      <c r="I28" s="26">
        <f t="shared" si="3"/>
        <v>11</v>
      </c>
      <c r="J28" s="26">
        <f t="shared" si="4"/>
        <v>0</v>
      </c>
      <c r="K28" s="26">
        <f t="shared" si="5"/>
        <v>11</v>
      </c>
      <c r="L28" s="26">
        <f t="shared" si="6"/>
        <v>0</v>
      </c>
      <c r="M28" s="26">
        <f t="shared" si="7"/>
        <v>0</v>
      </c>
      <c r="N28" s="26">
        <f t="shared" si="8"/>
        <v>0</v>
      </c>
      <c r="O28" s="26">
        <f t="shared" si="9"/>
        <v>0</v>
      </c>
      <c r="P28" s="26">
        <f t="shared" si="10"/>
        <v>0</v>
      </c>
      <c r="Q28" s="26">
        <f t="shared" si="11"/>
        <v>11</v>
      </c>
      <c r="R28" s="79" t="str">
        <f t="shared" si="12"/>
        <v/>
      </c>
      <c r="T28" s="31"/>
      <c r="U28" s="43"/>
      <c r="V28" s="43"/>
      <c r="W28" s="43"/>
      <c r="X28" s="43"/>
      <c r="Y28" s="43"/>
    </row>
    <row r="29" spans="1:25" x14ac:dyDescent="0.25">
      <c r="A29" s="156" t="s">
        <v>943</v>
      </c>
      <c r="B29" s="156">
        <v>25</v>
      </c>
      <c r="C29" s="26" t="str">
        <f>IFERROR(VLOOKUP($A29,'Species guilds'!$A$3:$F$301,3,FALSE),0)</f>
        <v>T</v>
      </c>
      <c r="D29" s="26" t="str">
        <f>IFERROR(VLOOKUP($A29,'Species guilds'!$A$3:$F$301,4,FALSE),0)</f>
        <v>M</v>
      </c>
      <c r="E29" s="26" t="str">
        <f>IFERROR(VLOOKUP($A29,'Species guilds'!$A$3:$F$301,5,FALSE),0)</f>
        <v>T</v>
      </c>
      <c r="F29" s="26">
        <f t="shared" si="0"/>
        <v>25</v>
      </c>
      <c r="G29" s="26">
        <f t="shared" si="1"/>
        <v>1</v>
      </c>
      <c r="H29" s="26">
        <f t="shared" si="2"/>
        <v>0</v>
      </c>
      <c r="I29" s="26">
        <f t="shared" si="3"/>
        <v>25</v>
      </c>
      <c r="J29" s="26">
        <f t="shared" si="4"/>
        <v>0</v>
      </c>
      <c r="K29" s="26">
        <f t="shared" si="5"/>
        <v>0</v>
      </c>
      <c r="L29" s="26">
        <f t="shared" si="6"/>
        <v>25</v>
      </c>
      <c r="M29" s="26">
        <f t="shared" si="7"/>
        <v>0</v>
      </c>
      <c r="N29" s="26">
        <f t="shared" si="8"/>
        <v>0</v>
      </c>
      <c r="O29" s="26">
        <f t="shared" si="9"/>
        <v>0</v>
      </c>
      <c r="P29" s="26">
        <f t="shared" si="10"/>
        <v>0</v>
      </c>
      <c r="Q29" s="26">
        <f t="shared" si="11"/>
        <v>25</v>
      </c>
      <c r="R29" s="79" t="str">
        <f t="shared" si="12"/>
        <v/>
      </c>
      <c r="T29" s="45"/>
      <c r="U29" s="45"/>
      <c r="V29" s="45"/>
      <c r="W29" s="45"/>
      <c r="X29" s="45"/>
      <c r="Y29" s="43"/>
    </row>
    <row r="30" spans="1:25" x14ac:dyDescent="0.25">
      <c r="A30" s="156" t="s">
        <v>944</v>
      </c>
      <c r="B30" s="156">
        <v>1</v>
      </c>
      <c r="C30" s="26" t="str">
        <f>IFERROR(VLOOKUP($A30,'Species guilds'!$A$3:$F$301,3,FALSE),0)</f>
        <v>T</v>
      </c>
      <c r="D30" s="26" t="str">
        <f>IFERROR(VLOOKUP($A30,'Species guilds'!$A$3:$F$301,4,FALSE),0)</f>
        <v>M</v>
      </c>
      <c r="E30" s="26" t="str">
        <f>IFERROR(VLOOKUP($A30,'Species guilds'!$A$3:$F$301,5,FALSE),0)</f>
        <v>IT</v>
      </c>
      <c r="F30" s="26">
        <f t="shared" si="0"/>
        <v>1</v>
      </c>
      <c r="G30" s="26">
        <f t="shared" si="1"/>
        <v>1</v>
      </c>
      <c r="H30" s="26">
        <f t="shared" si="2"/>
        <v>0</v>
      </c>
      <c r="I30" s="26">
        <f t="shared" si="3"/>
        <v>1</v>
      </c>
      <c r="J30" s="26">
        <f t="shared" si="4"/>
        <v>0</v>
      </c>
      <c r="K30" s="26">
        <f t="shared" si="5"/>
        <v>0</v>
      </c>
      <c r="L30" s="26">
        <f t="shared" si="6"/>
        <v>1</v>
      </c>
      <c r="M30" s="26">
        <f t="shared" si="7"/>
        <v>0</v>
      </c>
      <c r="N30" s="26">
        <f t="shared" si="8"/>
        <v>0</v>
      </c>
      <c r="O30" s="26">
        <f t="shared" si="9"/>
        <v>1</v>
      </c>
      <c r="P30" s="26">
        <f t="shared" si="10"/>
        <v>0</v>
      </c>
      <c r="Q30" s="26">
        <f t="shared" si="11"/>
        <v>0</v>
      </c>
      <c r="R30" s="79" t="str">
        <f t="shared" si="12"/>
        <v/>
      </c>
      <c r="T30" s="45"/>
      <c r="U30" s="45"/>
      <c r="V30" s="45"/>
      <c r="W30" s="45"/>
      <c r="X30" s="45"/>
      <c r="Y30" s="43"/>
    </row>
    <row r="31" spans="1:25" x14ac:dyDescent="0.25">
      <c r="A31" s="156" t="s">
        <v>945</v>
      </c>
      <c r="B31" s="156">
        <v>1</v>
      </c>
      <c r="C31" s="26" t="str">
        <f>IFERROR(VLOOKUP($A31,'Species guilds'!$A$3:$F$301,3,FALSE),0)</f>
        <v>T</v>
      </c>
      <c r="D31" s="26" t="str">
        <f>IFERROR(VLOOKUP($A31,'Species guilds'!$A$3:$F$301,4,FALSE),0)</f>
        <v>M</v>
      </c>
      <c r="E31" s="26" t="str">
        <f>IFERROR(VLOOKUP($A31,'Species guilds'!$A$3:$F$301,5,FALSE),0)</f>
        <v>IM</v>
      </c>
      <c r="F31" s="26">
        <f t="shared" si="0"/>
        <v>1</v>
      </c>
      <c r="G31" s="26">
        <f t="shared" si="1"/>
        <v>1</v>
      </c>
      <c r="H31" s="26">
        <f t="shared" si="2"/>
        <v>0</v>
      </c>
      <c r="I31" s="26">
        <f t="shared" si="3"/>
        <v>1</v>
      </c>
      <c r="J31" s="26">
        <f t="shared" si="4"/>
        <v>0</v>
      </c>
      <c r="K31" s="26">
        <f t="shared" si="5"/>
        <v>0</v>
      </c>
      <c r="L31" s="26">
        <f t="shared" si="6"/>
        <v>1</v>
      </c>
      <c r="M31" s="26">
        <f t="shared" si="7"/>
        <v>0</v>
      </c>
      <c r="N31" s="26">
        <f t="shared" si="8"/>
        <v>0</v>
      </c>
      <c r="O31" s="26">
        <f t="shared" si="9"/>
        <v>0</v>
      </c>
      <c r="P31" s="26">
        <f t="shared" si="10"/>
        <v>1</v>
      </c>
      <c r="Q31" s="26">
        <f t="shared" si="11"/>
        <v>0</v>
      </c>
      <c r="R31" s="79" t="str">
        <f t="shared" si="12"/>
        <v/>
      </c>
      <c r="T31" s="45"/>
      <c r="U31" s="45"/>
      <c r="V31" s="45"/>
      <c r="W31" s="45"/>
      <c r="X31" s="45"/>
      <c r="Y31" s="43"/>
    </row>
    <row r="32" spans="1:25" x14ac:dyDescent="0.25">
      <c r="A32" s="156" t="s">
        <v>946</v>
      </c>
      <c r="B32" s="156">
        <v>1</v>
      </c>
      <c r="C32" s="26" t="str">
        <f>IFERROR(VLOOKUP($A32,'Species guilds'!$A$3:$F$301,3,FALSE),0)</f>
        <v>T</v>
      </c>
      <c r="D32" s="26" t="str">
        <f>IFERROR(VLOOKUP($A32,'Species guilds'!$A$3:$F$301,4,FALSE),0)</f>
        <v>L</v>
      </c>
      <c r="E32" s="26" t="str">
        <f>IFERROR(VLOOKUP($A32,'Species guilds'!$A$3:$F$301,5,FALSE),0)</f>
        <v>IM</v>
      </c>
      <c r="F32" s="26">
        <f t="shared" si="0"/>
        <v>1</v>
      </c>
      <c r="G32" s="26">
        <f t="shared" si="1"/>
        <v>1</v>
      </c>
      <c r="H32" s="26">
        <f t="shared" si="2"/>
        <v>0</v>
      </c>
      <c r="I32" s="26">
        <f t="shared" si="3"/>
        <v>1</v>
      </c>
      <c r="J32" s="26">
        <f t="shared" si="4"/>
        <v>0</v>
      </c>
      <c r="K32" s="26">
        <f t="shared" si="5"/>
        <v>0</v>
      </c>
      <c r="L32" s="26">
        <f t="shared" si="6"/>
        <v>0</v>
      </c>
      <c r="M32" s="26">
        <f t="shared" si="7"/>
        <v>0</v>
      </c>
      <c r="N32" s="26">
        <f t="shared" si="8"/>
        <v>1</v>
      </c>
      <c r="O32" s="26">
        <f t="shared" si="9"/>
        <v>0</v>
      </c>
      <c r="P32" s="26">
        <f t="shared" si="10"/>
        <v>1</v>
      </c>
      <c r="Q32" s="26">
        <f t="shared" si="11"/>
        <v>0</v>
      </c>
      <c r="R32" s="79" t="str">
        <f t="shared" si="12"/>
        <v/>
      </c>
      <c r="T32" s="43"/>
      <c r="U32" s="46"/>
      <c r="V32" s="46"/>
      <c r="W32" s="46"/>
      <c r="X32" s="45"/>
      <c r="Y32" s="43"/>
    </row>
    <row r="33" spans="1:25" x14ac:dyDescent="0.25">
      <c r="A33" s="156" t="s">
        <v>947</v>
      </c>
      <c r="B33" s="156">
        <v>92</v>
      </c>
      <c r="C33" s="26" t="str">
        <f>IFERROR(VLOOKUP($A33,'Species guilds'!$A$3:$F$301,3,FALSE),0)</f>
        <v>C</v>
      </c>
      <c r="D33" s="26" t="str">
        <f>IFERROR(VLOOKUP($A33,'Species guilds'!$A$3:$F$301,4,FALSE),0)</f>
        <v>S</v>
      </c>
      <c r="E33" s="26" t="str">
        <f>IFERROR(VLOOKUP($A33,'Species guilds'!$A$3:$F$301,5,FALSE),0)</f>
        <v>IT</v>
      </c>
      <c r="F33" s="26">
        <f t="shared" si="0"/>
        <v>92</v>
      </c>
      <c r="G33" s="26">
        <f t="shared" si="1"/>
        <v>1</v>
      </c>
      <c r="H33" s="26">
        <f t="shared" si="2"/>
        <v>92</v>
      </c>
      <c r="I33" s="26">
        <f t="shared" si="3"/>
        <v>0</v>
      </c>
      <c r="J33" s="26">
        <f t="shared" si="4"/>
        <v>0</v>
      </c>
      <c r="K33" s="26">
        <f t="shared" si="5"/>
        <v>92</v>
      </c>
      <c r="L33" s="26">
        <f t="shared" si="6"/>
        <v>0</v>
      </c>
      <c r="M33" s="26">
        <f t="shared" si="7"/>
        <v>0</v>
      </c>
      <c r="N33" s="26">
        <f t="shared" si="8"/>
        <v>0</v>
      </c>
      <c r="O33" s="26">
        <f t="shared" si="9"/>
        <v>92</v>
      </c>
      <c r="P33" s="26">
        <f t="shared" si="10"/>
        <v>0</v>
      </c>
      <c r="Q33" s="26">
        <f t="shared" si="11"/>
        <v>0</v>
      </c>
      <c r="R33" s="79" t="str">
        <f t="shared" si="12"/>
        <v/>
      </c>
      <c r="T33" s="43"/>
      <c r="U33" s="46"/>
      <c r="V33" s="46"/>
      <c r="W33" s="46"/>
      <c r="X33" s="45"/>
      <c r="Y33" s="43"/>
    </row>
    <row r="34" spans="1:25" x14ac:dyDescent="0.25">
      <c r="A34" s="156" t="s">
        <v>948</v>
      </c>
      <c r="B34" s="156">
        <v>2</v>
      </c>
      <c r="C34" s="26" t="str">
        <f>IFERROR(VLOOKUP($A34,'Species guilds'!$A$3:$F$301,3,FALSE),0)</f>
        <v>T</v>
      </c>
      <c r="D34" s="26" t="str">
        <f>IFERROR(VLOOKUP($A34,'Species guilds'!$A$3:$F$301,4,FALSE),0)</f>
        <v>M</v>
      </c>
      <c r="E34" s="26" t="str">
        <f>IFERROR(VLOOKUP($A34,'Species guilds'!$A$3:$F$301,5,FALSE),0)</f>
        <v>IT</v>
      </c>
      <c r="F34" s="26">
        <f t="shared" si="0"/>
        <v>2</v>
      </c>
      <c r="G34" s="26">
        <f t="shared" si="1"/>
        <v>1</v>
      </c>
      <c r="H34" s="26">
        <f t="shared" si="2"/>
        <v>0</v>
      </c>
      <c r="I34" s="26">
        <f t="shared" si="3"/>
        <v>2</v>
      </c>
      <c r="J34" s="26">
        <f t="shared" si="4"/>
        <v>0</v>
      </c>
      <c r="K34" s="26">
        <f t="shared" si="5"/>
        <v>0</v>
      </c>
      <c r="L34" s="26">
        <f t="shared" si="6"/>
        <v>2</v>
      </c>
      <c r="M34" s="26">
        <f t="shared" si="7"/>
        <v>0</v>
      </c>
      <c r="N34" s="26">
        <f t="shared" si="8"/>
        <v>0</v>
      </c>
      <c r="O34" s="26">
        <f t="shared" si="9"/>
        <v>2</v>
      </c>
      <c r="P34" s="26">
        <f t="shared" si="10"/>
        <v>0</v>
      </c>
      <c r="Q34" s="26">
        <f t="shared" si="11"/>
        <v>0</v>
      </c>
      <c r="R34" s="79" t="str">
        <f t="shared" si="12"/>
        <v>ASSUMES SPECIES ARE NOT CHESTNUT OR SILVER LAMPREYS</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397</v>
      </c>
      <c r="F54" s="9">
        <f>SUM(F21:F53)</f>
        <v>397</v>
      </c>
      <c r="G54" s="2"/>
      <c r="H54" s="9">
        <f>SUM(H21:H53)</f>
        <v>296</v>
      </c>
      <c r="I54" s="9">
        <f t="shared" ref="I54:Q54" si="14">SUM(I21:I53)</f>
        <v>97</v>
      </c>
      <c r="J54" s="9">
        <f t="shared" si="14"/>
        <v>4</v>
      </c>
      <c r="K54" s="9">
        <f t="shared" si="14"/>
        <v>147</v>
      </c>
      <c r="L54" s="9">
        <f t="shared" si="14"/>
        <v>248</v>
      </c>
      <c r="M54" s="9">
        <f t="shared" si="14"/>
        <v>0</v>
      </c>
      <c r="N54" s="9">
        <f t="shared" si="14"/>
        <v>2</v>
      </c>
      <c r="O54" s="9">
        <f t="shared" si="14"/>
        <v>104</v>
      </c>
      <c r="P54" s="9">
        <f t="shared" si="14"/>
        <v>221</v>
      </c>
      <c r="Q54" s="9">
        <f t="shared" si="14"/>
        <v>72</v>
      </c>
    </row>
  </sheetData>
  <sheetProtection sheet="1" objects="1" scenarios="1"/>
  <mergeCells count="17">
    <mergeCell ref="B4:D4"/>
    <mergeCell ref="B5:D5"/>
    <mergeCell ref="B6:D6"/>
    <mergeCell ref="B7:D7"/>
    <mergeCell ref="B8:D8"/>
    <mergeCell ref="O19:Q19"/>
    <mergeCell ref="G19:G20"/>
    <mergeCell ref="H19:J19"/>
    <mergeCell ref="G18:Q18"/>
    <mergeCell ref="B9:D9"/>
    <mergeCell ref="K19:N19"/>
    <mergeCell ref="B11:D11"/>
    <mergeCell ref="B15:D15"/>
    <mergeCell ref="B13:D13"/>
    <mergeCell ref="B14:D14"/>
    <mergeCell ref="B12:D12"/>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36" zoomScaleNormal="100" workbookViewId="0">
      <selection activeCell="E55" sqref="E55"/>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9" t="str">
        <f>'Enter field data'!B4</f>
        <v>Craig Roesler</v>
      </c>
      <c r="C4" s="180"/>
      <c r="D4" s="85"/>
      <c r="E4" s="65"/>
      <c r="F4" s="89" t="s">
        <v>836</v>
      </c>
      <c r="G4" s="83"/>
      <c r="H4" s="83"/>
      <c r="I4" s="83"/>
      <c r="J4" s="83"/>
      <c r="K4" s="83"/>
      <c r="L4" s="83"/>
      <c r="M4" s="83"/>
      <c r="N4" s="83"/>
      <c r="O4" s="83"/>
      <c r="P4" s="83"/>
    </row>
    <row r="5" spans="1:16" ht="15" x14ac:dyDescent="0.2">
      <c r="A5" s="65" t="s">
        <v>831</v>
      </c>
      <c r="B5" s="181">
        <f>'Enter field data'!B5</f>
        <v>42857</v>
      </c>
      <c r="C5" s="182"/>
      <c r="D5" s="85"/>
      <c r="E5" s="65"/>
      <c r="F5" s="90"/>
      <c r="G5" s="83" t="s">
        <v>875</v>
      </c>
      <c r="H5" s="83"/>
      <c r="I5" s="83"/>
      <c r="J5" s="83"/>
      <c r="K5" s="83"/>
      <c r="L5" s="83"/>
      <c r="M5" s="83"/>
      <c r="N5" s="83"/>
      <c r="O5" s="83"/>
      <c r="P5" s="83"/>
    </row>
    <row r="6" spans="1:16" ht="15" x14ac:dyDescent="0.2">
      <c r="A6" s="65" t="s">
        <v>830</v>
      </c>
      <c r="B6" s="181">
        <f>'Enter field data'!B6</f>
        <v>42536</v>
      </c>
      <c r="C6" s="182"/>
      <c r="D6" s="85"/>
      <c r="E6" s="65"/>
      <c r="F6" s="91"/>
      <c r="G6" s="83" t="s">
        <v>876</v>
      </c>
      <c r="H6" s="83"/>
      <c r="I6" s="83"/>
      <c r="J6" s="83"/>
      <c r="K6" s="83"/>
      <c r="L6" s="83"/>
      <c r="M6" s="83"/>
      <c r="N6" s="83"/>
      <c r="O6" s="83"/>
      <c r="P6" s="83"/>
    </row>
    <row r="7" spans="1:16" x14ac:dyDescent="0.2">
      <c r="A7" s="65" t="s">
        <v>869</v>
      </c>
      <c r="B7" s="179">
        <f>'Enter field data'!B7</f>
        <v>10031948</v>
      </c>
      <c r="C7" s="183"/>
      <c r="D7" s="85"/>
      <c r="E7" s="65"/>
      <c r="F7" s="65"/>
    </row>
    <row r="8" spans="1:16" x14ac:dyDescent="0.2">
      <c r="A8" s="65" t="s">
        <v>872</v>
      </c>
      <c r="B8" s="179" t="str">
        <f>'Enter field data'!B8</f>
        <v>North Fork Clam River at Upper Sand Rd. Crossing</v>
      </c>
      <c r="C8" s="183"/>
      <c r="D8" s="85"/>
      <c r="E8" s="65"/>
      <c r="F8" s="65"/>
    </row>
    <row r="9" spans="1:16" x14ac:dyDescent="0.2">
      <c r="A9" s="65" t="s">
        <v>49</v>
      </c>
      <c r="B9" s="179" t="str">
        <f>'Enter field data'!B9</f>
        <v>Fish survey</v>
      </c>
      <c r="C9" s="183"/>
      <c r="D9" s="85"/>
      <c r="E9" s="65"/>
      <c r="F9" s="65"/>
    </row>
    <row r="10" spans="1:16" x14ac:dyDescent="0.2">
      <c r="A10" s="65"/>
      <c r="B10" s="66"/>
      <c r="C10" s="85"/>
      <c r="D10" s="85"/>
      <c r="E10" s="65"/>
      <c r="F10" s="65"/>
    </row>
    <row r="11" spans="1:16" x14ac:dyDescent="0.2">
      <c r="A11" s="65" t="s">
        <v>34</v>
      </c>
      <c r="B11" s="179" t="str">
        <f>'Enter field data'!B11</f>
        <v>North Fork Clam River</v>
      </c>
      <c r="C11" s="183"/>
      <c r="D11" s="85"/>
      <c r="E11" s="65"/>
      <c r="F11" s="92"/>
    </row>
    <row r="12" spans="1:16" x14ac:dyDescent="0.2">
      <c r="A12" s="65" t="s">
        <v>37</v>
      </c>
      <c r="B12" s="179" t="str">
        <f>'Enter field data'!B12</f>
        <v>burnett</v>
      </c>
      <c r="C12" s="183"/>
      <c r="D12" s="85"/>
      <c r="E12" s="65"/>
      <c r="F12" s="65"/>
    </row>
    <row r="13" spans="1:16" x14ac:dyDescent="0.2">
      <c r="A13" s="65" t="s">
        <v>35</v>
      </c>
      <c r="B13" s="179">
        <f>'Enter field data'!B13</f>
        <v>0</v>
      </c>
      <c r="C13" s="183"/>
      <c r="D13" s="85"/>
      <c r="E13" s="65"/>
      <c r="F13" s="92"/>
    </row>
    <row r="14" spans="1:16" x14ac:dyDescent="0.2">
      <c r="A14" s="65" t="s">
        <v>36</v>
      </c>
      <c r="B14" s="179">
        <f>'Enter field data'!B14</f>
        <v>2656600</v>
      </c>
      <c r="C14" s="183"/>
      <c r="D14" s="85"/>
      <c r="E14" s="65"/>
      <c r="F14" s="92"/>
    </row>
    <row r="15" spans="1:16" ht="15" x14ac:dyDescent="0.2">
      <c r="A15" s="65" t="s">
        <v>863</v>
      </c>
      <c r="B15" s="184" t="str">
        <f>'Enter field data'!B15</f>
        <v>0703000108</v>
      </c>
      <c r="C15" s="185"/>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7" t="s">
        <v>916</v>
      </c>
      <c r="B18" s="177"/>
      <c r="C18" s="178"/>
      <c r="D18" s="176" t="str">
        <f>'Enter field data'!$B$17</f>
        <v>Warm Mainstem</v>
      </c>
      <c r="E18" s="163"/>
      <c r="F18" s="68"/>
      <c r="I18" s="141"/>
      <c r="J18" s="68"/>
      <c r="K18" s="68"/>
      <c r="L18" s="68"/>
      <c r="M18" s="68"/>
      <c r="N18" s="68"/>
    </row>
    <row r="19" spans="1:30" ht="12.75" customHeight="1" x14ac:dyDescent="0.2">
      <c r="A19" s="177" t="s">
        <v>850</v>
      </c>
      <c r="B19" s="177"/>
      <c r="C19" s="178"/>
      <c r="D19" s="198" t="s">
        <v>919</v>
      </c>
      <c r="E19" s="199"/>
      <c r="F19" s="93"/>
      <c r="I19" s="207"/>
      <c r="J19" s="207"/>
      <c r="K19" s="207"/>
      <c r="L19" s="143"/>
      <c r="M19" s="143"/>
      <c r="N19" s="142"/>
    </row>
    <row r="20" spans="1:30" x14ac:dyDescent="0.2">
      <c r="A20" s="65" t="s">
        <v>851</v>
      </c>
      <c r="B20" s="65"/>
      <c r="C20" s="67"/>
      <c r="D20" s="208" t="s">
        <v>22</v>
      </c>
      <c r="E20" s="209"/>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0"/>
      <c r="E23" s="200"/>
      <c r="F23" s="93"/>
      <c r="I23" s="68"/>
      <c r="J23" s="68"/>
      <c r="K23" s="68"/>
      <c r="L23" s="68"/>
      <c r="M23" s="68"/>
      <c r="N23" s="142"/>
    </row>
    <row r="24" spans="1:30" x14ac:dyDescent="0.2">
      <c r="A24" s="96" t="s">
        <v>854</v>
      </c>
      <c r="B24" s="97"/>
      <c r="C24" s="97"/>
      <c r="D24" s="200"/>
      <c r="E24" s="200"/>
      <c r="F24" s="93"/>
      <c r="I24" s="87"/>
      <c r="J24" s="65"/>
      <c r="K24" s="85"/>
      <c r="L24" s="145"/>
      <c r="M24" s="145"/>
    </row>
    <row r="25" spans="1:30" x14ac:dyDescent="0.2">
      <c r="A25" s="98" t="s">
        <v>862</v>
      </c>
      <c r="B25" s="99"/>
      <c r="C25" s="99"/>
      <c r="D25" s="200"/>
      <c r="E25" s="200"/>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6" t="str">
        <f>'Enter field data'!$B$17</f>
        <v>Warm Mainstem</v>
      </c>
      <c r="E29" s="163"/>
      <c r="H29" s="148"/>
      <c r="I29" s="100" t="s">
        <v>913</v>
      </c>
      <c r="L29" s="210" t="s">
        <v>22</v>
      </c>
      <c r="M29" s="211"/>
      <c r="N29" s="11"/>
      <c r="P29" s="100" t="s">
        <v>914</v>
      </c>
      <c r="S29" s="210"/>
      <c r="T29" s="211"/>
      <c r="U29" s="11"/>
      <c r="W29" s="100" t="s">
        <v>915</v>
      </c>
      <c r="Z29" s="210"/>
      <c r="AA29" s="211"/>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296</v>
      </c>
      <c r="C36" s="109" t="s">
        <v>9</v>
      </c>
      <c r="D36" s="110">
        <f>'Enter field data'!$K$54</f>
        <v>147</v>
      </c>
      <c r="E36" s="111" t="s">
        <v>12</v>
      </c>
      <c r="F36" s="112">
        <f>'Enter field data'!$O$54</f>
        <v>104</v>
      </c>
      <c r="H36" s="148"/>
      <c r="I36" s="108" t="s">
        <v>6</v>
      </c>
      <c r="J36" s="81">
        <f>'Enter field data'!$H$54</f>
        <v>296</v>
      </c>
      <c r="K36" s="109" t="s">
        <v>9</v>
      </c>
      <c r="L36" s="110">
        <f>'Enter field data'!$K$54</f>
        <v>147</v>
      </c>
      <c r="M36" s="111" t="s">
        <v>12</v>
      </c>
      <c r="N36" s="112">
        <f>'Enter field data'!$O$54</f>
        <v>104</v>
      </c>
      <c r="P36" s="108" t="s">
        <v>6</v>
      </c>
      <c r="Q36" s="81">
        <f>'Enter field data'!$H$54</f>
        <v>296</v>
      </c>
      <c r="R36" s="109" t="s">
        <v>9</v>
      </c>
      <c r="S36" s="110">
        <f>'Enter field data'!$K$54</f>
        <v>147</v>
      </c>
      <c r="T36" s="111" t="s">
        <v>12</v>
      </c>
      <c r="U36" s="112">
        <f>'Enter field data'!$O$54</f>
        <v>104</v>
      </c>
      <c r="W36" s="108" t="s">
        <v>6</v>
      </c>
      <c r="X36" s="81">
        <f>'Enter field data'!$H$54</f>
        <v>296</v>
      </c>
      <c r="Y36" s="109" t="s">
        <v>9</v>
      </c>
      <c r="Z36" s="110">
        <f>'Enter field data'!$K$54</f>
        <v>147</v>
      </c>
      <c r="AA36" s="111" t="s">
        <v>12</v>
      </c>
      <c r="AB36" s="112">
        <f>'Enter field data'!$O$54</f>
        <v>104</v>
      </c>
    </row>
    <row r="37" spans="1:28" x14ac:dyDescent="0.2">
      <c r="A37" s="108" t="s">
        <v>7</v>
      </c>
      <c r="B37" s="81">
        <f>'Enter field data'!$I$54</f>
        <v>97</v>
      </c>
      <c r="C37" s="109" t="s">
        <v>10</v>
      </c>
      <c r="D37" s="110">
        <f>'Enter field data'!$L$54</f>
        <v>248</v>
      </c>
      <c r="E37" s="111" t="s">
        <v>13</v>
      </c>
      <c r="F37" s="112">
        <f>'Enter field data'!$P$54</f>
        <v>221</v>
      </c>
      <c r="H37" s="148"/>
      <c r="I37" s="108" t="s">
        <v>7</v>
      </c>
      <c r="J37" s="81">
        <f>'Enter field data'!$I$54</f>
        <v>97</v>
      </c>
      <c r="K37" s="109" t="s">
        <v>10</v>
      </c>
      <c r="L37" s="110">
        <f>'Enter field data'!$L$54</f>
        <v>248</v>
      </c>
      <c r="M37" s="111" t="s">
        <v>13</v>
      </c>
      <c r="N37" s="112">
        <f>'Enter field data'!$P$54</f>
        <v>221</v>
      </c>
      <c r="P37" s="108" t="s">
        <v>7</v>
      </c>
      <c r="Q37" s="81">
        <f>'Enter field data'!$I$54</f>
        <v>97</v>
      </c>
      <c r="R37" s="109" t="s">
        <v>10</v>
      </c>
      <c r="S37" s="110">
        <f>'Enter field data'!$L$54</f>
        <v>248</v>
      </c>
      <c r="T37" s="111" t="s">
        <v>13</v>
      </c>
      <c r="U37" s="112">
        <f>'Enter field data'!$P$54</f>
        <v>221</v>
      </c>
      <c r="W37" s="108" t="s">
        <v>7</v>
      </c>
      <c r="X37" s="81">
        <f>'Enter field data'!$I$54</f>
        <v>97</v>
      </c>
      <c r="Y37" s="109" t="s">
        <v>10</v>
      </c>
      <c r="Z37" s="110">
        <f>'Enter field data'!$L$54</f>
        <v>248</v>
      </c>
      <c r="AA37" s="111" t="s">
        <v>13</v>
      </c>
      <c r="AB37" s="112">
        <f>'Enter field data'!$P$54</f>
        <v>221</v>
      </c>
    </row>
    <row r="38" spans="1:28" x14ac:dyDescent="0.2">
      <c r="A38" s="108" t="s">
        <v>8</v>
      </c>
      <c r="B38" s="81">
        <f>'Enter field data'!$J$54</f>
        <v>4</v>
      </c>
      <c r="C38" s="109" t="s">
        <v>11</v>
      </c>
      <c r="D38" s="110">
        <f>'Enter field data'!$N$54</f>
        <v>2</v>
      </c>
      <c r="E38" s="111" t="s">
        <v>14</v>
      </c>
      <c r="F38" s="112">
        <f>'Enter field data'!$Q$54</f>
        <v>72</v>
      </c>
      <c r="H38" s="148"/>
      <c r="I38" s="108" t="s">
        <v>8</v>
      </c>
      <c r="J38" s="81">
        <f>'Enter field data'!$J$54</f>
        <v>4</v>
      </c>
      <c r="K38" s="109" t="s">
        <v>11</v>
      </c>
      <c r="L38" s="110">
        <f>'Enter field data'!$N$54</f>
        <v>2</v>
      </c>
      <c r="M38" s="111" t="s">
        <v>14</v>
      </c>
      <c r="N38" s="112">
        <f>'Enter field data'!$Q$54</f>
        <v>72</v>
      </c>
      <c r="P38" s="108" t="s">
        <v>8</v>
      </c>
      <c r="Q38" s="81">
        <f>'Enter field data'!$J$54</f>
        <v>4</v>
      </c>
      <c r="R38" s="109" t="s">
        <v>11</v>
      </c>
      <c r="S38" s="110">
        <f>'Enter field data'!$N$54</f>
        <v>2</v>
      </c>
      <c r="T38" s="111" t="s">
        <v>14</v>
      </c>
      <c r="U38" s="112">
        <f>'Enter field data'!$Q$54</f>
        <v>72</v>
      </c>
      <c r="W38" s="108" t="s">
        <v>8</v>
      </c>
      <c r="X38" s="81">
        <f>'Enter field data'!$J$54</f>
        <v>4</v>
      </c>
      <c r="Y38" s="109" t="s">
        <v>11</v>
      </c>
      <c r="Z38" s="110">
        <f>'Enter field data'!$N$54</f>
        <v>2</v>
      </c>
      <c r="AA38" s="111" t="s">
        <v>14</v>
      </c>
      <c r="AB38" s="112">
        <f>'Enter field data'!$Q$54</f>
        <v>72</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1" t="s">
        <v>5</v>
      </c>
      <c r="B41" s="202"/>
      <c r="C41" s="202"/>
      <c r="D41" s="202"/>
      <c r="E41" s="203"/>
      <c r="F41" s="65"/>
      <c r="H41" s="148"/>
      <c r="I41" s="201" t="s">
        <v>5</v>
      </c>
      <c r="J41" s="202"/>
      <c r="K41" s="202"/>
      <c r="L41" s="202"/>
      <c r="M41" s="203"/>
      <c r="N41" s="65"/>
      <c r="P41" s="201" t="s">
        <v>5</v>
      </c>
      <c r="Q41" s="202"/>
      <c r="R41" s="202"/>
      <c r="S41" s="202"/>
      <c r="T41" s="203"/>
      <c r="U41" s="65"/>
      <c r="W41" s="201" t="s">
        <v>5</v>
      </c>
      <c r="X41" s="202"/>
      <c r="Y41" s="202"/>
      <c r="Z41" s="202"/>
      <c r="AA41" s="203"/>
      <c r="AB41" s="65"/>
    </row>
    <row r="42" spans="1:28" ht="12.75" customHeight="1" x14ac:dyDescent="0.2">
      <c r="A42" s="113" t="s">
        <v>55</v>
      </c>
      <c r="B42" s="190" t="s">
        <v>65</v>
      </c>
      <c r="C42" s="192" t="s">
        <v>66</v>
      </c>
      <c r="D42" s="193"/>
      <c r="E42" s="194" t="s">
        <v>56</v>
      </c>
      <c r="F42" s="65"/>
      <c r="H42" s="148"/>
      <c r="I42" s="137" t="s">
        <v>55</v>
      </c>
      <c r="J42" s="190" t="s">
        <v>65</v>
      </c>
      <c r="K42" s="192" t="s">
        <v>66</v>
      </c>
      <c r="L42" s="193"/>
      <c r="M42" s="194" t="s">
        <v>56</v>
      </c>
      <c r="N42" s="65"/>
      <c r="P42" s="137" t="s">
        <v>55</v>
      </c>
      <c r="Q42" s="190" t="s">
        <v>65</v>
      </c>
      <c r="R42" s="192" t="s">
        <v>66</v>
      </c>
      <c r="S42" s="193"/>
      <c r="T42" s="194" t="s">
        <v>56</v>
      </c>
      <c r="U42" s="65"/>
      <c r="W42" s="137" t="s">
        <v>55</v>
      </c>
      <c r="X42" s="190" t="s">
        <v>65</v>
      </c>
      <c r="Y42" s="192" t="s">
        <v>66</v>
      </c>
      <c r="Z42" s="193"/>
      <c r="AA42" s="194" t="s">
        <v>56</v>
      </c>
      <c r="AB42" s="65"/>
    </row>
    <row r="43" spans="1:28" x14ac:dyDescent="0.2">
      <c r="A43" s="114"/>
      <c r="B43" s="191"/>
      <c r="C43" s="115" t="s">
        <v>62</v>
      </c>
      <c r="D43" s="116" t="s">
        <v>63</v>
      </c>
      <c r="E43" s="195"/>
      <c r="F43" s="65"/>
      <c r="H43" s="148"/>
      <c r="I43" s="138"/>
      <c r="J43" s="191"/>
      <c r="K43" s="115" t="s">
        <v>62</v>
      </c>
      <c r="L43" s="139" t="s">
        <v>63</v>
      </c>
      <c r="M43" s="195"/>
      <c r="N43" s="65"/>
      <c r="P43" s="138"/>
      <c r="Q43" s="191"/>
      <c r="R43" s="115" t="s">
        <v>62</v>
      </c>
      <c r="S43" s="139" t="s">
        <v>63</v>
      </c>
      <c r="T43" s="195"/>
      <c r="U43" s="65"/>
      <c r="W43" s="138"/>
      <c r="X43" s="191"/>
      <c r="Y43" s="115" t="s">
        <v>62</v>
      </c>
      <c r="Z43" s="139" t="s">
        <v>63</v>
      </c>
      <c r="AA43" s="195"/>
      <c r="AB43" s="65"/>
    </row>
    <row r="44" spans="1:28" x14ac:dyDescent="0.2">
      <c r="A44" s="108" t="s">
        <v>6</v>
      </c>
      <c r="B44" s="117">
        <f>($B$36/'Enter field data'!$F$54)</f>
        <v>0.74559193954659952</v>
      </c>
      <c r="C44" s="118">
        <f>VLOOKUP($D$29,'Expected guild %'!$A$5:$G$13,2,FALSE)</f>
        <v>0</v>
      </c>
      <c r="D44" s="118">
        <f>VLOOKUP($D$29,'Expected guild %'!$A$5:$G$13,3,FALSE)</f>
        <v>0.05</v>
      </c>
      <c r="E44" s="119" t="str">
        <f>IF(AND(C44&lt;=B44,B44&lt;= D44)=TRUE,"Y","N")</f>
        <v>N</v>
      </c>
      <c r="F44" s="65"/>
      <c r="H44" s="148"/>
      <c r="I44" s="108" t="s">
        <v>6</v>
      </c>
      <c r="J44" s="117">
        <f>($B$36/'Enter field data'!$F$54)</f>
        <v>0.74559193954659952</v>
      </c>
      <c r="K44" s="118">
        <f>VLOOKUP(L$29,'Expected guild %'!$A$5:$G$13,2,FALSE)</f>
        <v>0.05</v>
      </c>
      <c r="L44" s="118">
        <f>VLOOKUP(L$29,'Expected guild %'!$A$5:$G$13,3,FALSE)</f>
        <v>0.75</v>
      </c>
      <c r="M44" s="119" t="str">
        <f>IF(AND(K44&lt;=J44,J44&lt;= L44)=TRUE,"Y","N")</f>
        <v>Y</v>
      </c>
      <c r="N44" s="65"/>
      <c r="P44" s="108" t="s">
        <v>6</v>
      </c>
      <c r="Q44" s="117">
        <f>($B$36/'Enter field data'!$F$54)</f>
        <v>0.74559193954659952</v>
      </c>
      <c r="R44" s="118" t="e">
        <f>VLOOKUP(S$29,'Expected guild %'!$A$5:$G$13,2,FALSE)</f>
        <v>#N/A</v>
      </c>
      <c r="S44" s="118" t="e">
        <f>VLOOKUP(S$29,'Expected guild %'!$A$5:$G$13,3,FALSE)</f>
        <v>#N/A</v>
      </c>
      <c r="T44" s="119" t="e">
        <f>IF(AND(R44&lt;=Q44,Q44&lt;= S44)=TRUE,"Y","N")</f>
        <v>#N/A</v>
      </c>
      <c r="U44" s="65"/>
      <c r="W44" s="108" t="s">
        <v>6</v>
      </c>
      <c r="X44" s="117">
        <f>($B$36/'Enter field data'!$F$54)</f>
        <v>0.74559193954659952</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0.24433249370277077</v>
      </c>
      <c r="C45" s="118">
        <f>VLOOKUP($D$29,'Expected guild %'!$A$5:$G$13,4,FALSE)</f>
        <v>0</v>
      </c>
      <c r="D45" s="118">
        <f>VLOOKUP($D$29,'Expected guild %'!$A$5:$G$13,5,FALSE)</f>
        <v>0.25</v>
      </c>
      <c r="E45" s="119" t="str">
        <f>IF(AND(C45&lt;=B45,B45&lt;= D45)=TRUE,"Y","N")</f>
        <v>Y</v>
      </c>
      <c r="F45" s="65"/>
      <c r="H45" s="148"/>
      <c r="I45" s="108" t="s">
        <v>7</v>
      </c>
      <c r="J45" s="117">
        <f>($B$37/'Enter field data'!$F$54)</f>
        <v>0.24433249370277077</v>
      </c>
      <c r="K45" s="118">
        <f>VLOOKUP(L$29,'Expected guild %'!$A$5:$G$13,4,FALSE)</f>
        <v>0.25</v>
      </c>
      <c r="L45" s="118">
        <f>VLOOKUP(L$29,'Expected guild %'!$A$5:$G$13,5,FALSE)</f>
        <v>1</v>
      </c>
      <c r="M45" s="119" t="str">
        <f>IF(AND(K45&lt;=J45,J45&lt;= L45)=TRUE,"Y","N")</f>
        <v>N</v>
      </c>
      <c r="N45" s="65"/>
      <c r="P45" s="108" t="s">
        <v>7</v>
      </c>
      <c r="Q45" s="117">
        <f>($B$37/'Enter field data'!$F$54)</f>
        <v>0.24433249370277077</v>
      </c>
      <c r="R45" s="118" t="e">
        <f>VLOOKUP(S$29,'Expected guild %'!$A$5:$G$13,4,FALSE)</f>
        <v>#N/A</v>
      </c>
      <c r="S45" s="118" t="e">
        <f>VLOOKUP(S$29,'Expected guild %'!$A$5:$G$13,5,FALSE)</f>
        <v>#N/A</v>
      </c>
      <c r="T45" s="119" t="e">
        <f>IF(AND(R45&lt;=Q45,Q45&lt;= S45)=TRUE,"Y","N")</f>
        <v>#N/A</v>
      </c>
      <c r="U45" s="65"/>
      <c r="W45" s="108" t="s">
        <v>7</v>
      </c>
      <c r="X45" s="117">
        <f>($B$37/'Enter field data'!$F$54)</f>
        <v>0.24433249370277077</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1.0075566750629723E-2</v>
      </c>
      <c r="C46" s="118">
        <f>VLOOKUP($D$29,'Expected guild %'!$A$5:$G$13,6,FALSE)</f>
        <v>0.75</v>
      </c>
      <c r="D46" s="118">
        <f>VLOOKUP($D$29,'Expected guild %'!$A$5:$G$13,7,FALSE)</f>
        <v>1</v>
      </c>
      <c r="E46" s="119" t="str">
        <f>IF(AND(C46&lt;=B46,B46&lt;= D46)=TRUE,"Y","N")</f>
        <v>N</v>
      </c>
      <c r="F46" s="65"/>
      <c r="H46" s="148"/>
      <c r="I46" s="108" t="s">
        <v>8</v>
      </c>
      <c r="J46" s="117">
        <f>($B$38/'Enter field data'!$F$54)</f>
        <v>1.0075566750629723E-2</v>
      </c>
      <c r="K46" s="118">
        <f>VLOOKUP(L$29,'Expected guild %'!$A$5:$G$13,6,FALSE)</f>
        <v>0</v>
      </c>
      <c r="L46" s="118">
        <f>VLOOKUP(L$29,'Expected guild %'!$A$5:$G$13,7,FALSE)</f>
        <v>0.25</v>
      </c>
      <c r="M46" s="119" t="str">
        <f>IF(AND(K46&lt;=J46,J46&lt;= L46)=TRUE,"Y","N")</f>
        <v>Y</v>
      </c>
      <c r="N46" s="65"/>
      <c r="P46" s="108" t="s">
        <v>8</v>
      </c>
      <c r="Q46" s="117">
        <f>($B$38/'Enter field data'!$F$54)</f>
        <v>1.0075566750629723E-2</v>
      </c>
      <c r="R46" s="118" t="e">
        <f>VLOOKUP(S$29,'Expected guild %'!$A$5:$G$13,6,FALSE)</f>
        <v>#N/A</v>
      </c>
      <c r="S46" s="118" t="e">
        <f>VLOOKUP(S$29,'Expected guild %'!$A$5:$G$13,7,FALSE)</f>
        <v>#N/A</v>
      </c>
      <c r="T46" s="119" t="e">
        <f>IF(AND(R46&lt;=Q46,Q46&lt;= S46)=TRUE,"Y","N")</f>
        <v>#N/A</v>
      </c>
      <c r="U46" s="65"/>
      <c r="W46" s="108" t="s">
        <v>8</v>
      </c>
      <c r="X46" s="117">
        <f>($B$38/'Enter field data'!$F$54)</f>
        <v>1.0075566750629723E-2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1" t="s">
        <v>0</v>
      </c>
      <c r="B48" s="202"/>
      <c r="C48" s="202"/>
      <c r="D48" s="202"/>
      <c r="E48" s="203"/>
      <c r="F48" s="65"/>
      <c r="H48" s="148"/>
      <c r="I48" s="201" t="s">
        <v>0</v>
      </c>
      <c r="J48" s="202"/>
      <c r="K48" s="202"/>
      <c r="L48" s="202"/>
      <c r="M48" s="203"/>
      <c r="N48" s="65"/>
      <c r="P48" s="201" t="s">
        <v>0</v>
      </c>
      <c r="Q48" s="202"/>
      <c r="R48" s="202"/>
      <c r="S48" s="202"/>
      <c r="T48" s="203"/>
      <c r="U48" s="65"/>
      <c r="W48" s="201" t="s">
        <v>0</v>
      </c>
      <c r="X48" s="202"/>
      <c r="Y48" s="202"/>
      <c r="Z48" s="202"/>
      <c r="AA48" s="203"/>
      <c r="AB48" s="65"/>
    </row>
    <row r="49" spans="1:29" ht="12.75" customHeight="1" x14ac:dyDescent="0.2">
      <c r="A49" s="190" t="s">
        <v>55</v>
      </c>
      <c r="B49" s="190" t="s">
        <v>65</v>
      </c>
      <c r="C49" s="192" t="s">
        <v>66</v>
      </c>
      <c r="D49" s="193"/>
      <c r="E49" s="194" t="s">
        <v>56</v>
      </c>
      <c r="F49" s="65"/>
      <c r="H49" s="148"/>
      <c r="I49" s="190" t="s">
        <v>55</v>
      </c>
      <c r="J49" s="190" t="s">
        <v>65</v>
      </c>
      <c r="K49" s="192" t="s">
        <v>66</v>
      </c>
      <c r="L49" s="193"/>
      <c r="M49" s="194" t="s">
        <v>56</v>
      </c>
      <c r="N49" s="65"/>
      <c r="P49" s="190" t="s">
        <v>55</v>
      </c>
      <c r="Q49" s="190" t="s">
        <v>65</v>
      </c>
      <c r="R49" s="192" t="s">
        <v>66</v>
      </c>
      <c r="S49" s="193"/>
      <c r="T49" s="194" t="s">
        <v>56</v>
      </c>
      <c r="U49" s="65"/>
      <c r="W49" s="190" t="s">
        <v>55</v>
      </c>
      <c r="X49" s="190" t="s">
        <v>65</v>
      </c>
      <c r="Y49" s="192" t="s">
        <v>66</v>
      </c>
      <c r="Z49" s="193"/>
      <c r="AA49" s="194" t="s">
        <v>56</v>
      </c>
      <c r="AB49" s="65"/>
    </row>
    <row r="50" spans="1:29" x14ac:dyDescent="0.2">
      <c r="A50" s="191"/>
      <c r="B50" s="191"/>
      <c r="C50" s="115" t="s">
        <v>62</v>
      </c>
      <c r="D50" s="116" t="s">
        <v>63</v>
      </c>
      <c r="E50" s="195"/>
      <c r="F50" s="65"/>
      <c r="H50" s="148"/>
      <c r="I50" s="191"/>
      <c r="J50" s="191"/>
      <c r="K50" s="115" t="s">
        <v>62</v>
      </c>
      <c r="L50" s="139" t="s">
        <v>63</v>
      </c>
      <c r="M50" s="195"/>
      <c r="N50" s="65"/>
      <c r="P50" s="191"/>
      <c r="Q50" s="191"/>
      <c r="R50" s="115" t="s">
        <v>62</v>
      </c>
      <c r="S50" s="139" t="s">
        <v>63</v>
      </c>
      <c r="T50" s="195"/>
      <c r="U50" s="65"/>
      <c r="W50" s="191"/>
      <c r="X50" s="191"/>
      <c r="Y50" s="115" t="s">
        <v>62</v>
      </c>
      <c r="Z50" s="139" t="s">
        <v>63</v>
      </c>
      <c r="AA50" s="195"/>
      <c r="AB50" s="65"/>
    </row>
    <row r="51" spans="1:29" x14ac:dyDescent="0.2">
      <c r="A51" s="108" t="s">
        <v>9</v>
      </c>
      <c r="B51" s="118">
        <f>($D$36/'Enter field data'!$F$54)</f>
        <v>0.37027707808564231</v>
      </c>
      <c r="C51" s="120">
        <f>VLOOKUP($D$29,'Expected guild %'!$A$19:$G$27,2,FALSE)</f>
        <v>0</v>
      </c>
      <c r="D51" s="118">
        <f>VLOOKUP($D$29,'Expected guild %'!$A$19:$G$27,3,FALSE)</f>
        <v>0.5</v>
      </c>
      <c r="E51" s="119" t="str">
        <f>IF(AND(C51&lt;=B51,B51&lt;= D51)=TRUE,"Y","N")</f>
        <v>Y</v>
      </c>
      <c r="F51" s="65"/>
      <c r="H51" s="148"/>
      <c r="I51" s="108" t="s">
        <v>9</v>
      </c>
      <c r="J51" s="118">
        <f>($D$36/'Enter field data'!$F$54)</f>
        <v>0.37027707808564231</v>
      </c>
      <c r="K51" s="120">
        <f>VLOOKUP(L$29,'Expected guild %'!$A$19:$G$27,2,FALSE)</f>
        <v>0</v>
      </c>
      <c r="L51" s="118">
        <f>VLOOKUP(L$29,'Expected guild %'!$A$19:$G$27,3,FALSE)</f>
        <v>0.5</v>
      </c>
      <c r="M51" s="119" t="str">
        <f>IF(AND(K51&lt;=J51,J51&lt;= L51)=TRUE,"Y","N")</f>
        <v>Y</v>
      </c>
      <c r="N51" s="65"/>
      <c r="P51" s="108" t="s">
        <v>9</v>
      </c>
      <c r="Q51" s="118">
        <f>($D$36/'Enter field data'!$F$54)</f>
        <v>0.37027707808564231</v>
      </c>
      <c r="R51" s="120" t="e">
        <f>VLOOKUP(S$29,'Expected guild %'!$A$19:$G$27,2,FALSE)</f>
        <v>#N/A</v>
      </c>
      <c r="S51" s="118" t="e">
        <f>VLOOKUP(S$29,'Expected guild %'!$A$19:$G$27,3,FALSE)</f>
        <v>#N/A</v>
      </c>
      <c r="T51" s="119" t="e">
        <f>IF(AND(R51&lt;=Q51,Q51&lt;= S51)=TRUE,"Y","N")</f>
        <v>#N/A</v>
      </c>
      <c r="U51" s="65"/>
      <c r="W51" s="108" t="s">
        <v>9</v>
      </c>
      <c r="X51" s="118">
        <f>($D$36/'Enter field data'!$F$54)</f>
        <v>0.37027707808564231</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0.62468513853904284</v>
      </c>
      <c r="C52" s="120">
        <f>VLOOKUP($D$29,'Expected guild %'!$A$19:$G$27,4,FALSE)</f>
        <v>0.5</v>
      </c>
      <c r="D52" s="118">
        <f>VLOOKUP($D$29,'Expected guild %'!$A$19:$G$27,5,FALSE)</f>
        <v>1</v>
      </c>
      <c r="E52" s="119" t="str">
        <f>IF(AND(C52&lt;=B52,B52&lt;= D52)=TRUE,"Y","N")</f>
        <v>Y</v>
      </c>
      <c r="F52" s="65"/>
      <c r="H52" s="148"/>
      <c r="I52" s="108" t="s">
        <v>10</v>
      </c>
      <c r="J52" s="118">
        <f>($D$37/'Enter field data'!$F$54)</f>
        <v>0.62468513853904284</v>
      </c>
      <c r="K52" s="120">
        <f>VLOOKUP(L$29,'Expected guild %'!$A$19:$G$27,4,FALSE)</f>
        <v>0.5</v>
      </c>
      <c r="L52" s="118">
        <f>VLOOKUP(L$29,'Expected guild %'!$A$19:$G$27,5,FALSE)</f>
        <v>1</v>
      </c>
      <c r="M52" s="119" t="str">
        <f>IF(AND(K52&lt;=J52,J52&lt;= L52)=TRUE,"Y","N")</f>
        <v>Y</v>
      </c>
      <c r="N52" s="65"/>
      <c r="P52" s="108" t="s">
        <v>10</v>
      </c>
      <c r="Q52" s="118">
        <f>($D$37/'Enter field data'!$F$54)</f>
        <v>0.62468513853904284</v>
      </c>
      <c r="R52" s="120" t="e">
        <f>VLOOKUP(S$29,'Expected guild %'!$A$19:$G$27,4,FALSE)</f>
        <v>#N/A</v>
      </c>
      <c r="S52" s="118" t="e">
        <f>VLOOKUP(S$29,'Expected guild %'!$A$19:$G$27,5,FALSE)</f>
        <v>#N/A</v>
      </c>
      <c r="T52" s="119" t="e">
        <f>IF(AND(R52&lt;=Q52,Q52&lt;= S52)=TRUE,"Y","N")</f>
        <v>#N/A</v>
      </c>
      <c r="U52" s="65"/>
      <c r="W52" s="108" t="s">
        <v>10</v>
      </c>
      <c r="X52" s="118">
        <f>($D$37/'Enter field data'!$F$54)</f>
        <v>0.62468513853904284</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5.0377833753148613E-3</v>
      </c>
      <c r="C53" s="120">
        <f>VLOOKUP($D$29,'Expected guild %'!$A$19:$G$27,6,FALSE)</f>
        <v>0</v>
      </c>
      <c r="D53" s="118">
        <f>VLOOKUP($D$29,'Expected guild %'!$A$19:$G$27,7,FALSE)</f>
        <v>0.5</v>
      </c>
      <c r="E53" s="119" t="str">
        <f>IF(AND(C53&lt;=B53,B53&lt;= D53)=TRUE,"Y","N")</f>
        <v>Y</v>
      </c>
      <c r="F53" s="65"/>
      <c r="H53" s="148"/>
      <c r="I53" s="108" t="s">
        <v>11</v>
      </c>
      <c r="J53" s="118">
        <f>($D$38/'Enter field data'!$F$54)</f>
        <v>5.0377833753148613E-3</v>
      </c>
      <c r="K53" s="120">
        <f>VLOOKUP(L$29,'Expected guild %'!$A$19:$G$27,6,FALSE)</f>
        <v>0</v>
      </c>
      <c r="L53" s="118">
        <f>VLOOKUP(L$29,'Expected guild %'!$A$19:$G$27,7,FALSE)</f>
        <v>0.5</v>
      </c>
      <c r="M53" s="119" t="str">
        <f>IF(AND(K53&lt;=J53,J53&lt;= L53)=TRUE,"Y","N")</f>
        <v>Y</v>
      </c>
      <c r="N53" s="65"/>
      <c r="P53" s="108" t="s">
        <v>11</v>
      </c>
      <c r="Q53" s="118">
        <f>($D$38/'Enter field data'!$F$54)</f>
        <v>5.0377833753148613E-3</v>
      </c>
      <c r="R53" s="120" t="e">
        <f>VLOOKUP(S$29,'Expected guild %'!$A$19:$G$27,6,FALSE)</f>
        <v>#N/A</v>
      </c>
      <c r="S53" s="118" t="e">
        <f>VLOOKUP(S$29,'Expected guild %'!$A$19:$G$27,7,FALSE)</f>
        <v>#N/A</v>
      </c>
      <c r="T53" s="119" t="e">
        <f>IF(AND(R53&lt;=Q53,Q53&lt;= S53)=TRUE,"Y","N")</f>
        <v>#N/A</v>
      </c>
      <c r="U53" s="65"/>
      <c r="W53" s="108" t="s">
        <v>11</v>
      </c>
      <c r="X53" s="118">
        <f>($D$38/'Enter field data'!$F$54)</f>
        <v>5.0377833753148613E-3</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4" t="s">
        <v>949</v>
      </c>
      <c r="B57" s="205"/>
      <c r="C57" s="205"/>
      <c r="D57" s="205"/>
      <c r="E57" s="205"/>
      <c r="F57" s="206"/>
      <c r="G57" s="155"/>
      <c r="H57" s="148"/>
      <c r="I57" s="204"/>
      <c r="J57" s="205"/>
      <c r="K57" s="205"/>
      <c r="L57" s="205"/>
      <c r="M57" s="205"/>
      <c r="N57" s="206"/>
      <c r="O57" s="154"/>
      <c r="P57" s="204"/>
      <c r="Q57" s="205"/>
      <c r="R57" s="205"/>
      <c r="S57" s="205"/>
      <c r="T57" s="205"/>
      <c r="U57" s="206"/>
      <c r="V57" s="154"/>
      <c r="W57" s="204"/>
      <c r="X57" s="205"/>
      <c r="Y57" s="205"/>
      <c r="Z57" s="205"/>
      <c r="AA57" s="205"/>
      <c r="AB57" s="206"/>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1" t="s">
        <v>1</v>
      </c>
      <c r="B71" s="202"/>
      <c r="C71" s="202"/>
      <c r="D71" s="202"/>
      <c r="E71" s="203"/>
      <c r="F71" s="65"/>
      <c r="H71" s="148"/>
    </row>
    <row r="72" spans="1:8" ht="12.75" customHeight="1" x14ac:dyDescent="0.2">
      <c r="A72" s="190" t="s">
        <v>55</v>
      </c>
      <c r="B72" s="190" t="s">
        <v>65</v>
      </c>
      <c r="C72" s="192" t="s">
        <v>66</v>
      </c>
      <c r="D72" s="193"/>
      <c r="E72" s="194" t="s">
        <v>56</v>
      </c>
      <c r="F72" s="65"/>
      <c r="H72" s="148"/>
    </row>
    <row r="73" spans="1:8" x14ac:dyDescent="0.2">
      <c r="A73" s="191"/>
      <c r="B73" s="191"/>
      <c r="C73" s="115" t="s">
        <v>62</v>
      </c>
      <c r="D73" s="116" t="s">
        <v>63</v>
      </c>
      <c r="E73" s="195"/>
      <c r="F73" s="65"/>
      <c r="H73" s="148"/>
    </row>
    <row r="74" spans="1:8" x14ac:dyDescent="0.2">
      <c r="A74" s="108" t="s">
        <v>12</v>
      </c>
      <c r="B74" s="117">
        <f>($F$36/'Enter field data'!$F$54)</f>
        <v>0.26196473551637278</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0.55667506297229219</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0.181360201511335</v>
      </c>
      <c r="C76" s="127">
        <f>VLOOKUP($D$29,'Expected guild %'!$A$33:$G$41,6,FALSE)</f>
        <v>0</v>
      </c>
      <c r="D76" s="118">
        <f>VLOOKUP($D$29,'Expected guild %'!$A$33:$G$41,7,FALSE)</f>
        <v>0.5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9"/>
      <c r="B82" s="188"/>
      <c r="C82" s="188"/>
      <c r="D82" s="188"/>
      <c r="E82" s="188"/>
      <c r="F82" s="188"/>
      <c r="G82" s="188"/>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7" t="s">
        <v>816</v>
      </c>
      <c r="B88" s="71" t="s">
        <v>817</v>
      </c>
      <c r="C88" s="72"/>
      <c r="D88" s="73" t="e">
        <f>'Weather Results'!$C$17</f>
        <v>#DIV/0!</v>
      </c>
      <c r="H88" s="148"/>
    </row>
    <row r="89" spans="1:23" x14ac:dyDescent="0.2">
      <c r="A89" s="197"/>
      <c r="B89" s="71" t="s">
        <v>818</v>
      </c>
      <c r="C89" s="72"/>
      <c r="D89" s="73">
        <f>'Weather Results'!$C$18</f>
        <v>14.17384</v>
      </c>
      <c r="H89" s="148"/>
    </row>
    <row r="90" spans="1:23" x14ac:dyDescent="0.2">
      <c r="A90" s="197"/>
      <c r="B90" s="71" t="s">
        <v>819</v>
      </c>
      <c r="C90" s="72"/>
      <c r="D90" s="73">
        <f>'Weather Results'!$C$19</f>
        <v>18.229624999999999</v>
      </c>
      <c r="H90" s="148"/>
    </row>
    <row r="91" spans="1:23" x14ac:dyDescent="0.2">
      <c r="A91" s="197"/>
      <c r="B91" s="74" t="s">
        <v>820</v>
      </c>
      <c r="C91" s="72"/>
      <c r="D91" s="75" t="e">
        <f>'Weather Results'!$C$20</f>
        <v>#DIV/0!</v>
      </c>
      <c r="H91" s="148"/>
    </row>
    <row r="92" spans="1:23" x14ac:dyDescent="0.2">
      <c r="H92" s="148"/>
    </row>
    <row r="93" spans="1:23" ht="12.75" customHeight="1" x14ac:dyDescent="0.2">
      <c r="A93" s="196" t="s">
        <v>821</v>
      </c>
      <c r="B93" s="71" t="s">
        <v>822</v>
      </c>
      <c r="C93" s="72"/>
      <c r="D93" s="73" t="e">
        <f>'Weather Results'!$C$22</f>
        <v>#DIV/0!</v>
      </c>
      <c r="H93" s="148"/>
    </row>
    <row r="94" spans="1:23" x14ac:dyDescent="0.2">
      <c r="A94" s="196"/>
      <c r="B94" s="71" t="s">
        <v>823</v>
      </c>
      <c r="C94" s="72"/>
      <c r="D94" s="73" t="e">
        <f>'Weather Results'!$C$23</f>
        <v>#DIV/0!</v>
      </c>
      <c r="H94" s="148"/>
    </row>
    <row r="95" spans="1:23" x14ac:dyDescent="0.2">
      <c r="A95" s="196"/>
      <c r="B95" s="71" t="s">
        <v>824</v>
      </c>
      <c r="C95" s="72"/>
      <c r="D95" s="73" t="e">
        <f>'Weather Results'!$C$24</f>
        <v>#DIV/0!</v>
      </c>
      <c r="H95" s="148"/>
    </row>
    <row r="96" spans="1:23" x14ac:dyDescent="0.2">
      <c r="A96" s="196"/>
      <c r="B96" s="71" t="s">
        <v>825</v>
      </c>
      <c r="C96" s="72"/>
      <c r="D96" s="73" t="e">
        <f>'Weather Results'!$C$25</f>
        <v>#DIV/0!</v>
      </c>
      <c r="H96" s="148"/>
    </row>
    <row r="97" spans="1:8" x14ac:dyDescent="0.2">
      <c r="A97" s="196"/>
      <c r="B97" s="71" t="s">
        <v>826</v>
      </c>
      <c r="C97" s="72"/>
      <c r="D97" s="73" t="e">
        <f>'Weather Results'!$C$26</f>
        <v>#DIV/0!</v>
      </c>
      <c r="H97" s="148"/>
    </row>
    <row r="98" spans="1:8" x14ac:dyDescent="0.2">
      <c r="A98" s="196"/>
      <c r="B98" s="71" t="s">
        <v>827</v>
      </c>
      <c r="C98" s="72"/>
      <c r="D98" s="73">
        <f>'Weather Results'!$C$27</f>
        <v>1.6820455000000001</v>
      </c>
      <c r="H98" s="148"/>
    </row>
    <row r="99" spans="1:8" x14ac:dyDescent="0.2">
      <c r="A99" s="196"/>
      <c r="B99" s="71" t="s">
        <v>828</v>
      </c>
      <c r="C99" s="72"/>
      <c r="D99" s="73">
        <f>'Weather Results'!$C$28</f>
        <v>3.4550339999999995</v>
      </c>
      <c r="H99" s="148"/>
    </row>
    <row r="100" spans="1:8" x14ac:dyDescent="0.2">
      <c r="A100" s="19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6"/>
      <c r="B103" s="187"/>
      <c r="C103" s="187"/>
      <c r="D103" s="187"/>
      <c r="E103" s="187"/>
      <c r="F103" s="188"/>
      <c r="G103" s="188"/>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6"/>
      <c r="B108" s="188"/>
      <c r="C108" s="188"/>
      <c r="D108" s="188"/>
      <c r="E108" s="188"/>
      <c r="F108" s="188"/>
      <c r="G108" s="188"/>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42536</v>
      </c>
    </row>
    <row r="2" spans="1:5" s="39" customFormat="1" x14ac:dyDescent="0.25">
      <c r="A2" s="212"/>
      <c r="B2" s="61" t="s">
        <v>804</v>
      </c>
      <c r="C2" s="60" t="str">
        <f>'Enter field data'!$B$15</f>
        <v>0703000108</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20160615</v>
      </c>
    </row>
    <row r="5" spans="1:5" hidden="1" x14ac:dyDescent="0.25">
      <c r="A5" s="37"/>
      <c r="B5" s="37" t="s">
        <v>805</v>
      </c>
      <c r="C5" s="50" t="str">
        <f>CONCATENATE(YEAR(C1-30),IF(MONTH(C1-30)&lt;10,"0"&amp;MONTH(C1-30),MONTH(C1-30)),IF(DAY(C1-30)&lt;10,"0"&amp;DAY(C1-30),DAY(C1-30)))</f>
        <v>20160516</v>
      </c>
    </row>
    <row r="6" spans="1:5" hidden="1" x14ac:dyDescent="0.25">
      <c r="A6" s="37"/>
      <c r="B6" s="37" t="s">
        <v>806</v>
      </c>
      <c r="C6" s="50" t="str">
        <f>CONCATENATE(YEAR(C1-90),IF(MONTH(C1-90)&lt;10,"0"&amp;MONTH(C1-90),MONTH(C1-90)),IF(DAY(C1-90)&lt;10,"0"&amp;DAY(C1-90),DAY(C1-90)))</f>
        <v>20160317</v>
      </c>
    </row>
    <row r="7" spans="1:5" hidden="1" x14ac:dyDescent="0.25">
      <c r="A7" s="37"/>
      <c r="B7" s="37" t="s">
        <v>807</v>
      </c>
      <c r="C7" s="50" t="str">
        <f>CONCATENATE(YEAR(C1-365),IF(MONTH(C1-365)&lt;10,"0"&amp;MONTH(C1-365),MONTH(C1-365)),IF(DAY(C1-365)&lt;10,"0"&amp;DAY(C1-365),DAY(C1-365)))</f>
        <v>20150616</v>
      </c>
    </row>
    <row r="8" spans="1:5" hidden="1" x14ac:dyDescent="0.25">
      <c r="A8" s="37"/>
      <c r="B8" s="37" t="s">
        <v>808</v>
      </c>
      <c r="C8" s="50" t="str">
        <f>CONCATENATE(YEAR(C1-1460),IF(MONTH(C1-1460)&lt;10,"0"&amp;MONTH(C1-1460),MONTH(C1-1460)),IF(DAY(C1-1460)&lt;10,"0"&amp;DAY(C1-1460),DAY(C1-1460)))</f>
        <v>20120616</v>
      </c>
    </row>
    <row r="9" spans="1:5" hidden="1" x14ac:dyDescent="0.25">
      <c r="A9" s="37"/>
      <c r="B9" s="37" t="s">
        <v>809</v>
      </c>
      <c r="C9" s="50">
        <f>IF(MONTH($C$1)=4,DAY($C$1),0)+IF(MONTH($C$1)=5,30-DAY($C$1),0)</f>
        <v>0</v>
      </c>
    </row>
    <row r="10" spans="1:5" hidden="1" x14ac:dyDescent="0.25">
      <c r="A10" s="37"/>
      <c r="B10" s="37" t="s">
        <v>810</v>
      </c>
      <c r="C10" s="50">
        <f>IF(MONTH($C$1)=5,DAY($C$1),0)+IF(MONTH($C$1)=6,30-DAY($C$1),0)</f>
        <v>15</v>
      </c>
    </row>
    <row r="11" spans="1:5" hidden="1" x14ac:dyDescent="0.25">
      <c r="A11" s="37"/>
      <c r="B11" s="37" t="s">
        <v>811</v>
      </c>
      <c r="C11" s="50">
        <f>IF(MONTH($C$1)=6,DAY($C$1),0)+IF(MONTH($C$1)=7,30-DAY($C$1),0)</f>
        <v>15</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f>(VLOOKUP($C$2,temp!$A$1:$O$369,2,FALSE)*$C$9+VLOOKUP($C$2,temp!$A$1:$O$369,4,FALSE)*$C$10+VLOOKUP($C$2,temp!$A$1:$O$369,6,FALSE)*$C$11+VLOOKUP($C$2,temp!$A$1:$O$369,8,FALSE)*$C$12+VLOOKUP($C$2,temp!$A$1:$O$369,10,FALSE)*$C$13+VLOOKUP($C$2,temp!$A$1:$O$369,12,FALSE)*$C$14+VLOOKUP($C$2,temp!$A$1:$O$369,14,FALSE)*$C$15)/30</f>
        <v>14.17384</v>
      </c>
    </row>
    <row r="19" spans="1:3" x14ac:dyDescent="0.25">
      <c r="A19" s="213"/>
      <c r="B19" s="58" t="s">
        <v>819</v>
      </c>
      <c r="C19" s="56">
        <f>(VLOOKUP($C$2,temp!$A$1:$O$369,3,FALSE)*$C$9+VLOOKUP($C$2,temp!$A$1:$O$369,5,FALSE)*$C$10+VLOOKUP($C$2,temp!$A$1:$O$369,7,FALSE)*$C$11+VLOOKUP($C$2,temp!$A$1:$O$369,9,FALSE)*$C$12+VLOOKUP($C$2,temp!$A$1:$O$369,11,FALSE)*$C$13+VLOOKUP($C$2,temp!$A$1:$O$369,13,FALSE)*$C$14+VLOOKUP($C$2,temp!$A$1:$O$369,15,FALSE)*$C$15)/30</f>
        <v>18.229624999999999</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f>(VLOOKUP($C$2,prcp!$A$1:$O$369,2,FALSE)*$C$9+VLOOKUP($C$2,prcp!$A$1:$O$369,4,FALSE)*$C$10+VLOOKUP($C$2,prcp!$A$1:$O$369,6,FALSE)*$C$11+VLOOKUP($C$2,prcp!$A$1:$O$369,8,FALSE)*$C$12+VLOOKUP($C$2,prcp!$A$1:$O$369,10,FALSE)*$C$13+VLOOKUP($C$2,prcp!$A$1:$O$369,12,FALSE)*$C$14+VLOOKUP($C$2,prcp!$A$1:$O$369,14,FALSE)*$C$15)/30</f>
        <v>1.6820455000000001</v>
      </c>
    </row>
    <row r="28" spans="1:3" x14ac:dyDescent="0.25">
      <c r="A28" s="213"/>
      <c r="B28" s="58" t="s">
        <v>828</v>
      </c>
      <c r="C28" s="56">
        <f>(VLOOKUP($C$2,prcp!$A$1:$O$369,3,FALSE)*$C$9+VLOOKUP($C$2,prcp!$A$1:$O$369,5,FALSE)*$C$10+VLOOKUP($C$2,prcp!$A$1:$O$369,7,FALSE)*$C$11+VLOOKUP($C$2,prcp!$A$1:$O$369,9,FALSE)*$C$12+VLOOKUP($C$2,prcp!$A$1:$O$369,11,FALSE)*$C$13+VLOOKUP($C$2,prcp!$A$1:$O$369,13,FALSE)*$C$14+VLOOKUP($C$2,prcp!$A$1:$O$369,15,FALSE)*$C$15)/30</f>
        <v>3.4550339999999995</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1" t="s">
        <v>920</v>
      </c>
    </row>
    <row r="4" spans="1:12" x14ac:dyDescent="0.25">
      <c r="A4" s="215"/>
      <c r="B4" s="5" t="s">
        <v>62</v>
      </c>
      <c r="C4" s="5" t="s">
        <v>63</v>
      </c>
      <c r="D4" s="5" t="s">
        <v>62</v>
      </c>
      <c r="E4" s="5" t="s">
        <v>63</v>
      </c>
      <c r="F4" s="5" t="s">
        <v>62</v>
      </c>
      <c r="G4" s="5" t="s">
        <v>63</v>
      </c>
      <c r="J4" s="215"/>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2017-05-31T16:42:40Z</dcterms:modified>
</cp:coreProperties>
</file>