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9" i="1" l="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P30" i="1" s="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Q29" i="1"/>
  <c r="G29" i="1"/>
  <c r="K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J35" i="1" s="1"/>
  <c r="N33" i="1"/>
  <c r="L33" i="1"/>
  <c r="G33" i="1"/>
  <c r="J33" i="1" s="1"/>
  <c r="N27" i="1"/>
  <c r="L27" i="1"/>
  <c r="N25" i="1"/>
  <c r="Q52" i="1"/>
  <c r="P52" i="1"/>
  <c r="O52" i="1"/>
  <c r="Q50" i="1"/>
  <c r="P50" i="1"/>
  <c r="O50" i="1"/>
  <c r="Q48" i="1"/>
  <c r="P48" i="1"/>
  <c r="O48" i="1"/>
  <c r="Q46" i="1"/>
  <c r="P46" i="1"/>
  <c r="O46" i="1"/>
  <c r="Q44" i="1"/>
  <c r="P44" i="1"/>
  <c r="O44" i="1"/>
  <c r="Q42" i="1"/>
  <c r="P42" i="1"/>
  <c r="O42" i="1"/>
  <c r="Q40" i="1"/>
  <c r="P40" i="1"/>
  <c r="O40"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P37" i="1" s="1"/>
  <c r="J37" i="1"/>
  <c r="I37" i="1"/>
  <c r="H37" i="1"/>
  <c r="L36" i="1"/>
  <c r="K36" i="1"/>
  <c r="G22" i="1"/>
  <c r="I22" i="1" s="1"/>
  <c r="G52" i="1"/>
  <c r="G48" i="1"/>
  <c r="G44" i="1"/>
  <c r="G40" i="1"/>
  <c r="G36" i="1"/>
  <c r="N36" i="1" s="1"/>
  <c r="G32" i="1"/>
  <c r="J32" i="1" s="1"/>
  <c r="G25" i="1"/>
  <c r="L25" i="1" s="1"/>
  <c r="H21" i="1"/>
  <c r="H50" i="1"/>
  <c r="H46" i="1"/>
  <c r="N23" i="1"/>
  <c r="L23" i="1"/>
  <c r="K23" i="1"/>
  <c r="K32" i="1" l="1"/>
  <c r="J36" i="1"/>
  <c r="Q35" i="1"/>
  <c r="L31" i="1"/>
  <c r="I32" i="1"/>
  <c r="P36" i="1"/>
  <c r="K33" i="1"/>
  <c r="L35" i="1"/>
  <c r="N30" i="1"/>
  <c r="Q31" i="1"/>
  <c r="K26" i="1"/>
  <c r="Q26" i="1"/>
  <c r="I26"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<sst xmlns="http://schemas.openxmlformats.org/spreadsheetml/2006/main" count="2055" uniqueCount="943">
  <si>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</si>
  <si>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</si>
  <si>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</si>
  <si>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</si>
  <si>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</si>
  <si>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</si>
  <si>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</si>
  <si>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</si>
  <si>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</si>
  <si>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</si>
  <si>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</si>
  <si>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</si>
  <si>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</si>
  <si>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</si>
  <si>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</si>
  <si>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</si>
  <si>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</si>
  <si>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</si>
  <si>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</si>
  <si>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</si>
  <si>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</si>
  <si>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</si>
  <si>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</si>
  <si>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</si>
  <si>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</si>
  <si>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</si>
  <si>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</si>
  <si>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</si>
  <si>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</si>
  <si>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</si>
  <si>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</si>
  <si>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</si>
  <si>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</si>
  <si>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</si>
  <si>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</si>
  <si>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</si>
  <si>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</si>
  <si>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</si>
  <si>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</si>
  <si>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</si>
  <si>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</si>
  <si>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</si>
  <si>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</si>
  <si>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</si>
  <si>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</si>
  <si>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</si>
  <si>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</si>
  <si>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</si>
  <si>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</si>
  <si>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</si>
  <si>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</si>
  <si>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</si>
  <si>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</si>
  <si>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</si>
  <si>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</si>
  <si>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</si>
  <si>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</si>
  <si>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</si>
  <si>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</si>
  <si>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</si>
  <si>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</si>
  <si>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</si>
  <si>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</si>
  <si>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</si>
  <si>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</si>
  <si>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</si>
  <si>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</si>
  <si>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</si>
  <si>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</si>
  <si>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</si>
  <si>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</si>
  <si>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</si>
  <si>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</si>
  <si>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</si>
  <si>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</si>
  <si>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</si>
  <si>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</si>
  <si>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</si>
  <si>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</si>
  <si>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</si>
  <si>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</si>
  <si>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</si>
  <si>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</si>
  <si>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</si>
  <si>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</si>
  <si>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</si>
  <si>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</si>
  <si>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</si>
  <si>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</si>
  <si>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</si>
  <si>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</si>
  <si>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</si>
  <si>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</si>
  <si>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</si>
  <si>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</si>
  <si>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</si>
  <si>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</si>
  <si>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</si>
  <si>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</si>
  <si>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</si>
  <si>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</si>
  <si>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</si>
  <si>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</si>
  <si>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</si>
  <si>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</si>
  <si>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</si>
  <si>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</si>
  <si>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</si>
  <si>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</si>
  <si>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</si>
  <si>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</si>
  <si>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</si>
  <si>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</si>
  <si>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</si>
  <si>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</si>
  <si>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</si>
  <si>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</si>
  <si>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</si>
  <si>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</si>
  <si>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</si>
  <si>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</si>
  <si>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</si>
  <si>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</si>
  <si>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</si>
  <si>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</si>
  <si>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</si>
  <si>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</si>
  <si>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</si>
  <si>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</si>
  <si>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</si>
  <si>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</si>
  <si>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</si>
  <si>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</si>
  <si>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</si>
  <si>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</si>
  <si>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</si>
  <si>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</si>
  <si>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</si>
  <si>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</si>
  <si>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</si>
  <si>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</si>
  <si>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</si>
  <si>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</si>
  <si>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</si>
  <si>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</si>
  <si>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</si>
  <si>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</si>
  <si>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</si>
  <si>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</si>
  <si>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</si>
  <si>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</si>
  <si>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</si>
  <si>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</si>
  <si>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</si>
  <si>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</si>
  <si>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</si>
  <si>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</si>
  <si>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</si>
  <si>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</si>
  <si>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</si>
  <si>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</si>
  <si>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</si>
  <si>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</si>
  <si>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</si>
  <si>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</si>
  <si>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</si>
  <si>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</si>
  <si>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</si>
  <si>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</si>
  <si>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</si>
  <si>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</si>
  <si>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</si>
  <si>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</si>
  <si>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</si>
  <si>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</si>
  <si>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</si>
  <si>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</si>
  <si>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</si>
  <si>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</si>
  <si>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</si>
  <si>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</si>
  <si>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</si>
  <si>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</si>
  <si>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</si>
  <si>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</si>
  <si>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</si>
  <si>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</si>
  <si>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</si>
  <si>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</si>
  <si>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</si>
  <si>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</si>
  <si>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</si>
  <si>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</si>
  <si>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</si>
  <si>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</si>
  <si>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</si>
  <si>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</si>
  <si>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</si>
  <si>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</si>
  <si>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</si>
  <si>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</si>
  <si>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</si>
  <si>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</si>
  <si>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</si>
  <si>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</si>
  <si>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</si>
  <si>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</si>
  <si>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</si>
  <si>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</si>
  <si>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</si>
  <si>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</si>
  <si>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</si>
  <si>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</si>
  <si>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</si>
  <si>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</si>
  <si>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</si>
  <si>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</si>
  <si>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</si>
  <si>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</si>
  <si>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</si>
  <si>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</si>
  <si>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</si>
  <si>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</si>
  <si>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</si>
  <si>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</si>
  <si>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</si>
  <si>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</si>
  <si>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</si>
  <si>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</si>
  <si>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</si>
  <si>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</si>
  <si>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</si>
  <si>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</si>
  <si>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</si>
  <si>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</si>
  <si>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</si>
  <si>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</si>
  <si>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</si>
  <si>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</si>
  <si>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</si>
  <si>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</si>
  <si>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</si>
  <si>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</si>
  <si>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</si>
  <si>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</si>
  <si>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</si>
  <si>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</si>
  <si>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</si>
  <si>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</si>
  <si>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</si>
  <si>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</si>
  <si>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</si>
  <si>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</si>
  <si>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</si>
  <si>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</si>
  <si>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</si>
  <si>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</si>
  <si>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</si>
  <si>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</si>
  <si>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</si>
  <si>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</si>
  <si>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</si>
  <si>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</si>
  <si>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</si>
  <si>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</si>
  <si>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</si>
  <si>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</si>
  <si>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</si>
  <si>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</si>
  <si>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</si>
  <si>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</si>
  <si>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</si>
  <si>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</si>
  <si>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</si>
  <si>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</si>
  <si>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</si>
  <si>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</si>
  <si>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</si>
  <si>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</si>
  <si>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</si>
  <si>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</si>
  <si>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</si>
  <si>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</si>
  <si>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</si>
  <si>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</si>
  <si>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</si>
  <si>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</si>
  <si>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</si>
  <si>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</si>
  <si>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</si>
  <si>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</si>
  <si>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</si>
  <si>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</si>
  <si>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</si>
  <si>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</si>
  <si>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</si>
  <si>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</si>
  <si>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</si>
  <si>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</si>
  <si>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</si>
  <si>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</si>
  <si>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</si>
  <si>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</si>
  <si>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</si>
  <si>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</si>
  <si>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</si>
  <si>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</si>
  <si>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</si>
  <si>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</si>
  <si>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</si>
  <si>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</si>
  <si>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</si>
  <si>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</si>
  <si>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</si>
  <si>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</si>
  <si>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</si>
  <si>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</si>
  <si>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</si>
  <si>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</si>
  <si>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</si>
  <si>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</si>
  <si>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</si>
  <si>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</si>
  <si>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</si>
  <si>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</si>
  <si>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</si>
  <si>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</si>
  <si>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</si>
  <si>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</si>
  <si>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</si>
  <si>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</si>
  <si>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</si>
  <si>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</si>
  <si>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</si>
  <si>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</si>
  <si>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</si>
  <si>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</si>
  <si>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</si>
  <si>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</si>
  <si>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</si>
  <si>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</si>
  <si>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</si>
  <si>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</si>
  <si>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</si>
  <si>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</si>
  <si>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</si>
  <si>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</si>
  <si>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</si>
  <si>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</si>
  <si>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</si>
  <si>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</si>
  <si>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</si>
  <si>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</si>
  <si>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</si>
  <si>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</si>
  <si>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</si>
  <si>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</si>
  <si>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</si>
  <si>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</si>
  <si>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</si>
  <si>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</si>
  <si>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</si>
  <si>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</si>
  <si>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</si>
  <si>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</si>
  <si>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</si>
  <si>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</si>
  <si>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</si>
  <si>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</si>
  <si>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</si>
  <si>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</si>
  <si>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</si>
  <si>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</si>
  <si>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</si>
  <si>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</si>
  <si>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</si>
  <si>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</si>
  <si>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</si>
  <si>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</si>
  <si>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</si>
  <si>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</si>
  <si>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</si>
  <si>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</si>
  <si>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</si>
  <si>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</si>
  <si>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</si>
  <si>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</si>
  <si>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</si>
  <si>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</si>
  <si>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</si>
  <si>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</si>
  <si>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</si>
  <si>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</si>
  <si>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</si>
  <si>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</si>
  <si>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</si>
  <si>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</si>
  <si>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</si>
  <si>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</si>
  <si>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</si>
  <si>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</si>
  <si>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</si>
  <si>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</si>
  <si>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</si>
  <si>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</si>
  <si>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</si>
  <si>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</si>
  <si>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</si>
  <si>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</si>
  <si>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</si>
  <si>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</si>
  <si>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</si>
  <si>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</si>
  <si>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</si>
  <si>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</si>
  <si>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</si>
  <si>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</si>
  <si>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</si>
  <si>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</si>
  <si>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</si>
  <si>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</si>
  <si>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</si>
  <si>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</si>
  <si>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</si>
  <si>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</si>
  <si>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</si>
  <si>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</si>
  <si>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</si>
  <si>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</si>
  <si>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</si>
  <si>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</si>
  <si>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</si>
  <si>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</si>
  <si>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</si>
  <si>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</si>
  <si>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</si>
  <si>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</si>
  <si>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</si>
  <si>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</si>
  <si>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</si>
  <si>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</si>
  <si>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</si>
  <si>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</si>
  <si>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</si>
  <si>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</si>
  <si>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</si>
  <si>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</si>
  <si>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</si>
  <si>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</si>
  <si>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</si>
  <si>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</si>
  <si>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</si>
  <si>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</si>
  <si>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</si>
  <si>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</si>
  <si>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</si>
  <si>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</si>
  <si>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</si>
  <si>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</si>
  <si>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</si>
  <si>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</si>
  <si>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</si>
  <si>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</si>
  <si>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</si>
  <si>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</si>
  <si>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</si>
  <si>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</si>
  <si>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</si>
  <si>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</si>
  <si>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</si>
  <si>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</si>
  <si>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</si>
  <si>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</si>
  <si>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</si>
  <si>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</si>
  <si>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</si>
  <si>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</si>
  <si>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</si>
  <si>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</si>
  <si>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</si>
  <si>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</si>
  <si>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</si>
  <si>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</si>
  <si>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</si>
  <si>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</si>
  <si>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</si>
  <si>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</si>
  <si>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</si>
  <si>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</si>
  <si>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</si>
  <si>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</si>
  <si>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</si>
  <si>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</si>
  <si>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</si>
  <si>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</si>
  <si>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</si>
  <si>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</si>
  <si>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</si>
  <si>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</si>
  <si>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</si>
  <si>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</si>
  <si>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</si>
  <si>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</si>
  <si>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</si>
  <si>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</si>
  <si>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</si>
  <si>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</si>
  <si>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</si>
  <si>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</si>
  <si>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</si>
  <si>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</si>
  <si>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</si>
  <si>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</si>
  <si>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</si>
  <si>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</si>
  <si>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</si>
  <si>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</si>
  <si>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</si>
  <si>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</si>
  <si>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</si>
  <si>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</si>
  <si>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</si>
  <si>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</si>
  <si>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</si>
  <si>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</si>
  <si>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</si>
  <si>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</si>
  <si>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</si>
  <si>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</si>
  <si>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</si>
  <si>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</si>
  <si>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</si>
  <si>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</si>
  <si>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</si>
  <si>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</si>
  <si>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</si>
  <si>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</si>
  <si>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</si>
  <si>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</si>
  <si>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</si>
  <si>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</si>
  <si>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</si>
  <si>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</si>
  <si>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</si>
  <si>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</si>
  <si>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</si>
  <si>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</si>
  <si>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</si>
  <si>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</si>
  <si>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</si>
  <si>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</si>
  <si>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</si>
  <si>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</si>
  <si>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</si>
  <si>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</si>
  <si>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</si>
  <si>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</si>
  <si>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</si>
  <si>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</si>
  <si>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</si>
  <si>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</si>
  <si>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</si>
  <si>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</si>
  <si>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</si>
  <si>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</si>
  <si>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</si>
  <si>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</si>
  <si>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</si>
  <si>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</si>
  <si>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</si>
  <si>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</si>
  <si>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</si>
  <si>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</si>
  <si>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</si>
  <si>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</si>
  <si>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</si>
  <si>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</si>
  <si>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</si>
  <si>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</si>
  <si>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</si>
  <si>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</si>
  <si>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</si>
  <si>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</si>
  <si>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</si>
  <si>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</si>
  <si>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</si>
  <si>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</si>
  <si>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</si>
  <si>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</si>
  <si>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</si>
  <si>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</si>
  <si>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</si>
  <si>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</si>
  <si>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</si>
  <si>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</si>
  <si>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</si>
  <si>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</si>
  <si>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</si>
  <si>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</si>
  <si>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</si>
  <si>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</si>
  <si>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</si>
  <si>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</si>
  <si>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</si>
  <si>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</si>
  <si>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</si>
  <si>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</si>
  <si>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</si>
  <si>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</si>
  <si>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</si>
  <si>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</si>
  <si>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</si>
  <si>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</si>
  <si>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</si>
  <si>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</si>
  <si>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</si>
  <si>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</si>
  <si>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</si>
  <si>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</si>
  <si>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</si>
  <si>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</si>
  <si>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</si>
  <si>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</si>
  <si>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</si>
  <si>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</si>
  <si>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</si>
  <si>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</si>
  <si>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</si>
  <si>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</si>
  <si>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</si>
  <si>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</si>
  <si>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</si>
  <si>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</si>
  <si>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</si>
  <si>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</si>
  <si>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</si>
  <si>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</si>
  <si>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</si>
  <si>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</si>
  <si>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</si>
  <si>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</si>
  <si>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</si>
  <si>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</si>
  <si>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</si>
  <si>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</si>
  <si>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</si>
  <si>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</si>
  <si>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</si>
  <si>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</si>
  <si>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</si>
  <si>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</si>
  <si>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</si>
  <si>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</si>
  <si>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</si>
  <si>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</si>
  <si>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</si>
  <si>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</si>
  <si>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</si>
  <si>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</si>
  <si>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</si>
  <si>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</si>
  <si>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</si>
  <si>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</si>
  <si>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</si>
  <si>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</si>
  <si>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</si>
  <si>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</si>
  <si>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</si>
  <si>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</si>
  <si>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</si>
  <si>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</si>
  <si>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</si>
  <si>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</si>
  <si>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</si>
  <si>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</si>
  <si>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</si>
  <si>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</si>
  <si>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</si>
  <si>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</si>
  <si>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</si>
  <si>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</si>
  <si>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</si>
  <si>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</si>
  <si>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</si>
  <si>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</si>
  <si>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</si>
  <si>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</si>
  <si>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</si>
  <si>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</si>
  <si>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</si>
  <si>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</si>
  <si>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</si>
  <si>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</si>
  <si>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</si>
  <si>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</si>
  <si>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</si>
  <si>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</si>
  <si>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</si>
  <si>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</si>
  <si>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</si>
  <si>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</si>
  <si>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</si>
  <si>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</si>
  <si>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</si>
  <si>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</si>
  <si>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</si>
  <si>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</si>
  <si>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</si>
  <si>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</si>
  <si>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</si>
  <si>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</si>
  <si>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</si>
  <si>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</si>
  <si>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</si>
  <si>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</si>
  <si>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</si>
  <si>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</si>
  <si>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</si>
  <si>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</si>
  <si>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</si>
  <si>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</si>
  <si>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</si>
  <si>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</si>
  <si>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</si>
  <si>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</si>
  <si>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</si>
  <si>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</si>
  <si>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</si>
  <si>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</si>
  <si>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</si>
  <si>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</si>
  <si>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</si>
  <si>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</si>
  <si>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</si>
  <si>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</si>
  <si>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</si>
  <si>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</si>
  <si>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</si>
  <si>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</si>
  <si>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</si>
  <si>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</si>
  <si>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</si>
  <si>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</si>
  <si>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</si>
  <si>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</si>
  <si>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</si>
  <si>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</si>
  <si>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</si>
  <si>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</si>
  <si>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</si>
  <si>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</si>
  <si>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</si>
  <si>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</si>
  <si>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</si>
  <si>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</si>
  <si>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</si>
  <si>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</si>
  <si>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</si>
  <si>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</si>
  <si>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</si>
  <si>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</si>
  <si>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</si>
  <si>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</si>
  <si>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</si>
  <si>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</si>
  <si>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</si>
  <si>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</si>
  <si>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</si>
  <si>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</si>
  <si>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</si>
  <si>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</si>
  <si>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</si>
  <si>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</si>
  <si>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</si>
  <si>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</si>
  <si>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</si>
  <si>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</si>
  <si>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</si>
  <si>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</si>
  <si>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</si>
  <si>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</si>
  <si>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</si>
  <si>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</si>
  <si>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</si>
  <si>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</si>
  <si>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</si>
  <si>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</si>
  <si>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</si>
  <si>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</si>
  <si>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</si>
  <si>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</si>
  <si>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</si>
  <si>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</si>
  <si>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</si>
  <si>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</si>
  <si>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</si>
  <si>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</si>
  <si>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</si>
  <si>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</si>
  <si>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</si>
  <si>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</si>
  <si>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</si>
  <si>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</si>
  <si>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</si>
  <si>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</si>
  <si>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</si>
  <si>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</si>
  <si>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</si>
  <si>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</si>
  <si>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</si>
  <si>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</si>
  <si>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</si>
  <si>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</si>
  <si>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</si>
  <si>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</si>
  <si>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</si>
  <si>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</si>
  <si>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</si>
  <si>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</si>
  <si>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</si>
  <si>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</si>
  <si>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</si>
  <si>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</si>
  <si>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</si>
  <si>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</si>
  <si>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</si>
  <si>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</si>
  <si>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</si>
  <si>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</si>
  <si>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</si>
  <si>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</si>
  <si>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</si>
  <si>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</si>
  <si>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</si>
  <si>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</si>
  <si>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</si>
  <si>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</si>
  <si>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</si>
  <si>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</si>
  <si>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</si>
  <si>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</si>
  <si>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</si>
  <si>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</si>
  <si>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</si>
  <si>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</si>
  <si>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</si>
  <si>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</si>
  <si>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</si>
  <si>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</si>
  <si>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</si>
  <si>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</si>
  <si>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</si>
  <si>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</si>
  <si>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</si>
  <si>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</si>
  <si>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</si>
  <si>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</si>
  <si>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</si>
  <si>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</si>
  <si>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</si>
  <si>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</si>
  <si>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</si>
  <si>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</si>
  <si>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</si>
  <si>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</si>
  <si>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</si>
  <si>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</si>
  <si>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</si>
  <si>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</si>
  <si>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</si>
  <si>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</si>
  <si>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</si>
  <si>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</si>
  <si>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</si>
  <si>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</si>
  <si>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</si>
  <si>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</si>
  <si>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</si>
  <si>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</si>
  <si>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</si>
  <si>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</si>
  <si>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</si>
  <si>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</si>
  <si>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</si>
  <si>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</si>
  <si>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</si>
  <si>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</si>
  <si>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</si>
  <si>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</si>
  <si>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</si>
  <si>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</si>
  <si>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</si>
  <si>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</si>
  <si>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</si>
  <si>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</si>
  <si>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</si>
  <si>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</si>
  <si>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</si>
  <si>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</si>
  <si>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</si>
  <si>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</si>
  <si>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</si>
  <si>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</si>
  <si>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</si>
  <si>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</si>
  <si>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</si>
  <si>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</si>
  <si>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</si>
  <si>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</si>
  <si>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</si>
  <si>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</si>
  <si>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</si>
  <si>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</si>
  <si>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</si>
  <si>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</si>
  <si>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</si>
  <si>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</si>
  <si>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</si>
  <si>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</si>
  <si>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</si>
  <si>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</si>
  <si>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</si>
  <si>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</si>
  <si>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</si>
  <si>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</si>
  <si>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</si>
  <si>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</si>
  <si>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</si>
  <si>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</si>
  <si>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</si>
  <si>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</si>
  <si>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</si>
  <si>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Whiskey Creek</t>
  </si>
  <si>
    <t>Burnett</t>
  </si>
  <si>
    <t>central mudminnow</t>
  </si>
  <si>
    <t>northern pike</t>
  </si>
  <si>
    <t>northern redbelly dace</t>
  </si>
  <si>
    <t>fathead minnow</t>
  </si>
  <si>
    <t>northern pearl dace</t>
  </si>
  <si>
    <t>brook stickleback</t>
  </si>
  <si>
    <t>past survey data should be used. Survey in Aug 2014 was surveyed from further downstream.</t>
  </si>
  <si>
    <t>Whiskey Creek 110m DS CTH D</t>
  </si>
  <si>
    <t xml:space="preserve">size of creek more similar to a headwater than a mainstem creek.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</si>
</sst>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14" fontId="0" fillId="5" borderId="7" xfId="0" applyNumberFormat="1"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90" zoomScaleNormal="90" workbookViewId="0">
      <selection activeCell="A29" sqref="A2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0" t="s">
        <v>931</v>
      </c>
      <c r="C4" s="161"/>
      <c r="D4" s="162"/>
      <c r="F4" s="2" t="s">
        <v>836</v>
      </c>
    </row>
    <row r="5" spans="1:20" x14ac:dyDescent="0.25">
      <c r="A5" s="1" t="s">
        <v>832</v>
      </c>
      <c r="B5" s="163">
        <v>42506</v>
      </c>
      <c r="C5" s="161"/>
      <c r="D5" s="162"/>
      <c r="F5" s="82"/>
      <c r="G5" s="28"/>
      <c r="H5" s="28"/>
      <c r="I5" s="28"/>
      <c r="J5" s="28"/>
      <c r="K5" s="28"/>
      <c r="L5" s="28"/>
      <c r="M5" s="28"/>
      <c r="N5" s="28"/>
      <c r="O5" s="28"/>
      <c r="P5" s="28"/>
      <c r="Q5" s="28"/>
      <c r="R5" s="28" t="s">
        <v>866</v>
      </c>
    </row>
    <row r="6" spans="1:20" x14ac:dyDescent="0.25">
      <c r="A6" s="1" t="s">
        <v>830</v>
      </c>
      <c r="B6" s="167">
        <v>41836</v>
      </c>
      <c r="C6" s="165"/>
      <c r="D6" s="166"/>
      <c r="F6" s="26"/>
      <c r="G6" s="28"/>
      <c r="H6" s="28"/>
      <c r="I6" s="28"/>
      <c r="J6" s="28"/>
      <c r="K6" s="28"/>
      <c r="L6" s="28"/>
      <c r="M6" s="28"/>
      <c r="N6" s="28"/>
      <c r="O6" s="28"/>
      <c r="P6" s="28"/>
      <c r="Q6" s="28"/>
      <c r="R6" s="28" t="s">
        <v>378</v>
      </c>
    </row>
    <row r="7" spans="1:20" s="28" customFormat="1" x14ac:dyDescent="0.25">
      <c r="A7" s="28" t="s">
        <v>869</v>
      </c>
      <c r="B7" s="164">
        <v>10037789</v>
      </c>
      <c r="C7" s="165"/>
      <c r="D7" s="166"/>
      <c r="F7" s="27"/>
    </row>
    <row r="8" spans="1:20" s="28" customFormat="1" x14ac:dyDescent="0.25">
      <c r="A8" s="28" t="s">
        <v>872</v>
      </c>
      <c r="B8" s="164" t="s">
        <v>941</v>
      </c>
      <c r="C8" s="165"/>
      <c r="D8" s="166"/>
      <c r="F8" s="27"/>
    </row>
    <row r="9" spans="1:20" x14ac:dyDescent="0.25">
      <c r="A9" s="1" t="s">
        <v>49</v>
      </c>
      <c r="B9" s="175" t="s">
        <v>870</v>
      </c>
      <c r="C9" s="175"/>
      <c r="D9" s="175"/>
    </row>
    <row r="10" spans="1:20" x14ac:dyDescent="0.25">
      <c r="B10" s="86"/>
      <c r="C10" s="86"/>
      <c r="D10" s="86"/>
    </row>
    <row r="11" spans="1:20" x14ac:dyDescent="0.25">
      <c r="A11" s="1" t="s">
        <v>34</v>
      </c>
      <c r="B11" s="164" t="s">
        <v>932</v>
      </c>
      <c r="C11" s="165"/>
      <c r="D11" s="166"/>
      <c r="F11" s="27"/>
      <c r="G11" s="27"/>
      <c r="H11" s="27"/>
      <c r="I11" s="27"/>
      <c r="J11" s="27"/>
      <c r="K11" s="27"/>
      <c r="L11" s="27"/>
      <c r="M11" s="27"/>
      <c r="N11" s="27"/>
      <c r="O11" s="27"/>
      <c r="P11" s="27"/>
      <c r="Q11" s="27"/>
      <c r="R11" s="27"/>
    </row>
    <row r="12" spans="1:20" x14ac:dyDescent="0.25">
      <c r="A12" s="1" t="s">
        <v>37</v>
      </c>
      <c r="B12" s="175" t="s">
        <v>933</v>
      </c>
      <c r="C12" s="175"/>
      <c r="D12" s="175"/>
    </row>
    <row r="13" spans="1:20" x14ac:dyDescent="0.25">
      <c r="A13" s="1" t="s">
        <v>35</v>
      </c>
      <c r="B13" s="175"/>
      <c r="C13" s="175"/>
      <c r="D13" s="175"/>
      <c r="F13" s="27"/>
      <c r="G13" s="27"/>
      <c r="H13" s="27"/>
      <c r="I13" s="27"/>
      <c r="J13" s="27"/>
      <c r="K13" s="27"/>
      <c r="L13" s="27"/>
      <c r="M13" s="27"/>
      <c r="N13" s="27"/>
      <c r="O13" s="27"/>
      <c r="P13" s="27"/>
      <c r="Q13" s="27"/>
      <c r="R13" s="27"/>
    </row>
    <row r="14" spans="1:20" x14ac:dyDescent="0.25">
      <c r="A14" s="1" t="s">
        <v>36</v>
      </c>
      <c r="B14" s="175">
        <v>2646600</v>
      </c>
      <c r="C14" s="175"/>
      <c r="D14" s="175"/>
      <c r="F14" s="27"/>
      <c r="G14" s="27"/>
      <c r="H14" s="27"/>
      <c r="I14" s="27"/>
      <c r="J14" s="27"/>
      <c r="K14" s="27"/>
      <c r="L14" s="27"/>
      <c r="M14" s="27"/>
      <c r="N14" s="27"/>
      <c r="O14" s="27"/>
      <c r="P14" s="27"/>
      <c r="Q14" s="27"/>
      <c r="R14" s="27"/>
    </row>
    <row r="15" spans="1:20" s="28" customFormat="1" x14ac:dyDescent="0.25">
      <c r="A15" s="28" t="s">
        <v>835</v>
      </c>
      <c r="B15" s="176" t="s">
        <v>545</v>
      </c>
      <c r="C15" s="161"/>
      <c r="D15" s="162"/>
      <c r="E15" s="11" t="s">
        <v>868</v>
      </c>
      <c r="F15" s="27"/>
    </row>
    <row r="16" spans="1:20" x14ac:dyDescent="0.25">
      <c r="B16" s="130"/>
      <c r="C16" s="130"/>
      <c r="D16" s="130"/>
      <c r="T16" s="37"/>
    </row>
    <row r="17" spans="1:25" x14ac:dyDescent="0.25">
      <c r="A17" s="1" t="s">
        <v>33</v>
      </c>
      <c r="B17" s="160" t="s">
        <v>24</v>
      </c>
      <c r="C17" s="177"/>
      <c r="D17" s="178"/>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71" t="s">
        <v>377</v>
      </c>
      <c r="H19" s="168" t="s">
        <v>5</v>
      </c>
      <c r="I19" s="169"/>
      <c r="J19" s="170"/>
      <c r="K19" s="168" t="s">
        <v>64</v>
      </c>
      <c r="L19" s="169"/>
      <c r="M19" s="169"/>
      <c r="N19" s="170"/>
      <c r="O19" s="168" t="s">
        <v>1</v>
      </c>
      <c r="P19" s="169"/>
      <c r="Q19" s="170"/>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934</v>
      </c>
      <c r="B21" s="159">
        <v>22</v>
      </c>
      <c r="C21" s="26" t="str">
        <f>IFERROR(VLOOKUP($A21,'Species guilds'!$A$3:$F$301,3,FALSE),0)</f>
        <v>T</v>
      </c>
      <c r="D21" s="26" t="str">
        <f>IFERROR(VLOOKUP($A21,'Species guilds'!$A$3:$F$301,4,FALSE),0)</f>
        <v>S</v>
      </c>
      <c r="E21" s="26" t="str">
        <f>IFERROR(VLOOKUP($A21,'Species guilds'!$A$3:$F$301,5,FALSE),0)</f>
        <v>T</v>
      </c>
      <c r="F21" s="26">
        <f t="shared" ref="F21:F53" si="0">IF(AND(M21&gt;0,B21&gt;0)=FALSE,B21,0)</f>
        <v>22</v>
      </c>
      <c r="G21" s="26">
        <f>IF(D21="Lake",0,1)</f>
        <v>1</v>
      </c>
      <c r="H21" s="26">
        <f>IF($C21=H$20,$B21*G21,0)</f>
        <v>0</v>
      </c>
      <c r="I21" s="26">
        <f>IF($C21=I$20,$B21*G21,0)</f>
        <v>22</v>
      </c>
      <c r="J21" s="26">
        <f>IF($C21=J$20,$B21*G21,0)</f>
        <v>0</v>
      </c>
      <c r="K21" s="26">
        <f>IF($D21=K$20,$B21*G21,0)</f>
        <v>22</v>
      </c>
      <c r="L21" s="26">
        <f>IF($D21=L$20,$B21*G21,0)</f>
        <v>0</v>
      </c>
      <c r="M21" s="26">
        <f>IF($D21=M$20,$B21,0)</f>
        <v>0</v>
      </c>
      <c r="N21" s="26">
        <f>IF($D21=N$20,$B21*G21,0)</f>
        <v>0</v>
      </c>
      <c r="O21" s="26">
        <f>IF($E21=O$20,$B21*G21,0)</f>
        <v>0</v>
      </c>
      <c r="P21" s="26">
        <f>IF($E21=P$20,$B21*G21,0)</f>
        <v>0</v>
      </c>
      <c r="Q21" s="26">
        <f>IF($E21=Q$20,$B21*G21,0)</f>
        <v>22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935</v>
      </c>
      <c r="B22" s="159">
        <v>4</v>
      </c>
      <c r="C22" s="26" t="str">
        <f>IFERROR(VLOOKUP($A22,'Species guilds'!$A$3:$F$301,3,FALSE),0)</f>
        <v>T</v>
      </c>
      <c r="D22" s="26" t="str">
        <f>IFERROR(VLOOKUP($A22,'Species guilds'!$A$3:$F$301,4,FALSE),0)</f>
        <v>S</v>
      </c>
      <c r="E22" s="26" t="str">
        <f>IFERROR(VLOOKUP($A22,'Species guilds'!$A$3:$F$301,5,FALSE),0)</f>
        <v>IM</v>
      </c>
      <c r="F22" s="26">
        <f t="shared" si="0"/>
        <v>4</v>
      </c>
      <c r="G22" s="26">
        <f t="shared" ref="G22:G53" si="1">IF(D22="Lake",0,1)</f>
        <v>1</v>
      </c>
      <c r="H22" s="26">
        <f t="shared" ref="H22:H53" si="2">IF($C22=H$20,$B22*G22,0)</f>
        <v>0</v>
      </c>
      <c r="I22" s="26">
        <f t="shared" ref="I22:I53" si="3">IF($C22=I$20,$B22*G22,0)</f>
        <v>4</v>
      </c>
      <c r="J22" s="26">
        <f t="shared" ref="J22:J53" si="4">IF($C22=J$20,$B22*G22,0)</f>
        <v>0</v>
      </c>
      <c r="K22" s="26">
        <f t="shared" ref="K22:K53" si="5">IF($D22=K$20,$B22*G22,0)</f>
        <v>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4</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936</v>
      </c>
      <c r="B23" s="159">
        <v>5</v>
      </c>
      <c r="C23" s="26" t="str">
        <f>IFERROR(VLOOKUP($A23,'Species guilds'!$A$3:$F$301,3,FALSE),0)</f>
        <v>T</v>
      </c>
      <c r="D23" s="26" t="str">
        <f>IFERROR(VLOOKUP($A23,'Species guilds'!$A$3:$F$301,4,FALSE),0)</f>
        <v>S</v>
      </c>
      <c r="E23" s="26" t="str">
        <f>IFERROR(VLOOKUP($A23,'Species guilds'!$A$3:$F$301,5,FALSE),0)</f>
        <v>IM</v>
      </c>
      <c r="F23" s="26">
        <f t="shared" si="0"/>
        <v>5</v>
      </c>
      <c r="G23" s="26">
        <f t="shared" si="1"/>
        <v>1</v>
      </c>
      <c r="H23" s="26">
        <f t="shared" si="2"/>
        <v>0</v>
      </c>
      <c r="I23" s="26">
        <f t="shared" si="3"/>
        <v>5</v>
      </c>
      <c r="J23" s="26">
        <f t="shared" si="4"/>
        <v>0</v>
      </c>
      <c r="K23" s="26">
        <f t="shared" si="5"/>
        <v>5</v>
      </c>
      <c r="L23" s="26">
        <f t="shared" si="6"/>
        <v>0</v>
      </c>
      <c r="M23" s="26">
        <f t="shared" si="7"/>
        <v>0</v>
      </c>
      <c r="N23" s="26">
        <f t="shared" si="8"/>
        <v>0</v>
      </c>
      <c r="O23" s="26">
        <f t="shared" si="9"/>
        <v>0</v>
      </c>
      <c r="P23" s="26">
        <f t="shared" si="10"/>
        <v>5</v>
      </c>
      <c r="Q23" s="26">
        <f t="shared" si="11"/>
        <v>0</v>
      </c>
      <c r="R23" s="79" t="str">
        <f t="shared" si="12"/>
        <v/>
      </c>
      <c r="T23" s="43"/>
      <c r="U23" s="43"/>
      <c r="V23" s="43"/>
      <c r="W23" s="43"/>
      <c r="X23" s="43"/>
      <c r="Y23" s="43"/>
    </row>
    <row r="24" spans="1:25" x14ac:dyDescent="0.25">
      <c r="A24" s="158" t="s">
        <v>937</v>
      </c>
      <c r="B24" s="159">
        <v>23</v>
      </c>
      <c r="C24" s="26" t="str">
        <f>IFERROR(VLOOKUP($A24,'Species guilds'!$A$3:$F$301,3,FALSE),0)</f>
        <v>W</v>
      </c>
      <c r="D24" s="26" t="str">
        <f>IFERROR(VLOOKUP($A24,'Species guilds'!$A$3:$F$301,4,FALSE),0)</f>
        <v>S</v>
      </c>
      <c r="E24" s="26" t="str">
        <f>IFERROR(VLOOKUP($A24,'Species guilds'!$A$3:$F$301,5,FALSE),0)</f>
        <v>T</v>
      </c>
      <c r="F24" s="26">
        <f t="shared" si="0"/>
        <v>23</v>
      </c>
      <c r="G24" s="26">
        <f t="shared" si="1"/>
        <v>1</v>
      </c>
      <c r="H24" s="26">
        <f t="shared" si="2"/>
        <v>0</v>
      </c>
      <c r="I24" s="26">
        <f t="shared" si="3"/>
        <v>0</v>
      </c>
      <c r="J24" s="26">
        <f t="shared" si="4"/>
        <v>23</v>
      </c>
      <c r="K24" s="26">
        <f t="shared" si="5"/>
        <v>23</v>
      </c>
      <c r="L24" s="26">
        <f t="shared" si="6"/>
        <v>0</v>
      </c>
      <c r="M24" s="26">
        <f t="shared" si="7"/>
        <v>0</v>
      </c>
      <c r="N24" s="26">
        <f t="shared" si="8"/>
        <v>0</v>
      </c>
      <c r="O24" s="26">
        <f t="shared" si="9"/>
        <v>0</v>
      </c>
      <c r="P24" s="26">
        <f t="shared" si="10"/>
        <v>0</v>
      </c>
      <c r="Q24" s="26">
        <f t="shared" si="11"/>
        <v>23</v>
      </c>
      <c r="R24" s="79" t="str">
        <f t="shared" si="12"/>
        <v/>
      </c>
      <c r="T24" s="43"/>
      <c r="U24" s="43"/>
      <c r="V24" s="43"/>
      <c r="W24" s="43"/>
      <c r="X24" s="43"/>
      <c r="Y24" s="43"/>
    </row>
    <row r="25" spans="1:25" x14ac:dyDescent="0.25">
      <c r="A25" s="158" t="s">
        <v>938</v>
      </c>
      <c r="B25" s="159">
        <v>1</v>
      </c>
      <c r="C25" s="26" t="str">
        <f>IFERROR(VLOOKUP($A25,'Species guilds'!$A$3:$F$301,3,FALSE),0)</f>
        <v>T</v>
      </c>
      <c r="D25" s="26" t="str">
        <f>IFERROR(VLOOKUP($A25,'Species guilds'!$A$3:$F$301,4,FALSE),0)</f>
        <v>S</v>
      </c>
      <c r="E25" s="26" t="str">
        <f>IFERROR(VLOOKUP($A25,'Species guilds'!$A$3:$F$301,5,FALSE),0)</f>
        <v>IM</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1</v>
      </c>
      <c r="Q25" s="26">
        <f t="shared" si="11"/>
        <v>0</v>
      </c>
      <c r="R25" s="79" t="str">
        <f t="shared" si="12"/>
        <v/>
      </c>
      <c r="T25" s="43"/>
      <c r="U25" s="43"/>
      <c r="V25" s="43"/>
      <c r="W25" s="43"/>
      <c r="X25" s="43"/>
      <c r="Y25" s="43"/>
    </row>
    <row r="26" spans="1:25" x14ac:dyDescent="0.25">
      <c r="A26" s="157" t="s">
        <v>939</v>
      </c>
      <c r="B26" s="157">
        <v>48</v>
      </c>
      <c r="C26" s="26" t="str">
        <f>IFERROR(VLOOKUP($A26,'Species guilds'!$A$3:$F$301,3,FALSE),0)</f>
        <v>T</v>
      </c>
      <c r="D26" s="26" t="str">
        <f>IFERROR(VLOOKUP($A26,'Species guilds'!$A$3:$F$301,4,FALSE),0)</f>
        <v>S</v>
      </c>
      <c r="E26" s="26" t="str">
        <f>IFERROR(VLOOKUP($A26,'Species guilds'!$A$3:$F$301,5,FALSE),0)</f>
        <v>T</v>
      </c>
      <c r="F26" s="26">
        <f t="shared" si="0"/>
        <v>48</v>
      </c>
      <c r="G26" s="26">
        <f t="shared" si="1"/>
        <v>1</v>
      </c>
      <c r="H26" s="26">
        <f t="shared" si="2"/>
        <v>0</v>
      </c>
      <c r="I26" s="26">
        <f t="shared" si="3"/>
        <v>48</v>
      </c>
      <c r="J26" s="26">
        <f t="shared" si="4"/>
        <v>0</v>
      </c>
      <c r="K26" s="26">
        <f t="shared" si="5"/>
        <v>48</v>
      </c>
      <c r="L26" s="26">
        <f t="shared" si="6"/>
        <v>0</v>
      </c>
      <c r="M26" s="26">
        <f t="shared" si="7"/>
        <v>0</v>
      </c>
      <c r="N26" s="26">
        <f t="shared" si="8"/>
        <v>0</v>
      </c>
      <c r="O26" s="26">
        <f t="shared" si="9"/>
        <v>0</v>
      </c>
      <c r="P26" s="26">
        <f t="shared" si="10"/>
        <v>0</v>
      </c>
      <c r="Q26" s="26">
        <f t="shared" si="11"/>
        <v>48</v>
      </c>
      <c r="R26" s="79" t="str">
        <f t="shared" si="12"/>
        <v/>
      </c>
      <c r="T26" s="43"/>
      <c r="U26" s="43"/>
      <c r="V26" s="43"/>
      <c r="W26" s="43"/>
      <c r="X26" s="43"/>
      <c r="Y26" s="43"/>
    </row>
    <row r="27" spans="1:25" x14ac:dyDescent="0.25">
      <c r="A27" s="156"/>
      <c r="B27" s="156"/>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7"/>
      <c r="B29" s="157"/>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7"/>
      <c r="B30" s="157"/>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7"/>
      <c r="B31" s="157"/>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7"/>
      <c r="B32" s="157"/>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7"/>
      <c r="B33" s="157"/>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7"/>
      <c r="B34" s="157"/>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7"/>
      <c r="B35" s="157"/>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7"/>
      <c r="B36" s="157"/>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7"/>
      <c r="B37" s="157"/>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7"/>
      <c r="B38" s="157"/>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103</v>
      </c>
      <c r="F54" s="9">
        <f>SUM(F21:F53)</f>
        <v>103</v>
      </c>
      <c r="G54" s="2"/>
      <c r="H54" s="9">
        <f>SUM(H21:H53)</f>
        <v>0</v>
      </c>
      <c r="I54" s="9">
        <f t="shared" ref="I54:Q54" si="14">SUM(I21:I53)</f>
        <v>80</v>
      </c>
      <c r="J54" s="9">
        <f t="shared" si="14"/>
        <v>23</v>
      </c>
      <c r="K54" s="9">
        <f t="shared" si="14"/>
        <v>103</v>
      </c>
      <c r="L54" s="9">
        <f t="shared" si="14"/>
        <v>0</v>
      </c>
      <c r="M54" s="9">
        <f t="shared" si="14"/>
        <v>0</v>
      </c>
      <c r="N54" s="9">
        <f t="shared" si="14"/>
        <v>0</v>
      </c>
      <c r="O54" s="9">
        <f t="shared" si="14"/>
        <v>0</v>
      </c>
      <c r="P54" s="9">
        <f t="shared" si="14"/>
        <v>10</v>
      </c>
      <c r="Q54" s="9">
        <f t="shared" si="14"/>
        <v>93</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7:D7"/>
    <mergeCell ref="B8:D8"/>
    <mergeCell ref="B6:D6"/>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5" zoomScaleNormal="100" workbookViewId="0">
      <selection activeCell="A82" sqref="A82:G8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42506</v>
      </c>
      <c r="C5" s="211"/>
      <c r="D5" s="85"/>
      <c r="E5" s="65"/>
      <c r="F5" s="90"/>
      <c r="G5" s="83" t="s">
        <v>875</v>
      </c>
      <c r="H5" s="83"/>
      <c r="I5" s="83"/>
      <c r="J5" s="83"/>
      <c r="K5" s="83"/>
      <c r="L5" s="83"/>
      <c r="M5" s="83"/>
      <c r="N5" s="83"/>
      <c r="O5" s="83"/>
      <c r="P5" s="83"/>
    </row>
    <row r="6" spans="1:16" ht="15" x14ac:dyDescent="0.2">
      <c r="A6" s="65" t="s">
        <v>830</v>
      </c>
      <c r="B6" s="210">
        <f>'Enter field data'!B6</f>
        <v>41836</v>
      </c>
      <c r="C6" s="211"/>
      <c r="D6" s="85"/>
      <c r="E6" s="65"/>
      <c r="F6" s="91"/>
      <c r="G6" s="83" t="s">
        <v>876</v>
      </c>
      <c r="H6" s="83"/>
      <c r="I6" s="83"/>
      <c r="J6" s="83"/>
      <c r="K6" s="83"/>
      <c r="L6" s="83"/>
      <c r="M6" s="83"/>
      <c r="N6" s="83"/>
      <c r="O6" s="83"/>
      <c r="P6" s="83"/>
    </row>
    <row r="7" spans="1:16" x14ac:dyDescent="0.2">
      <c r="A7" s="65" t="s">
        <v>869</v>
      </c>
      <c r="B7" s="208">
        <f>'Enter field data'!B7</f>
        <v>10037789</v>
      </c>
      <c r="C7" s="212"/>
      <c r="D7" s="85"/>
      <c r="E7" s="65"/>
      <c r="F7" s="65"/>
    </row>
    <row r="8" spans="1:16" x14ac:dyDescent="0.2">
      <c r="A8" s="65" t="s">
        <v>872</v>
      </c>
      <c r="B8" s="208" t="str">
        <f>'Enter field data'!B8</f>
        <v>Whiskey Creek 110m DS CTH D</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Whiskey Creek</v>
      </c>
      <c r="C11" s="212"/>
      <c r="D11" s="85"/>
      <c r="E11" s="65"/>
      <c r="F11" s="92"/>
    </row>
    <row r="12" spans="1:16" x14ac:dyDescent="0.2">
      <c r="A12" s="65" t="s">
        <v>37</v>
      </c>
      <c r="B12" s="208" t="str">
        <f>'Enter field data'!B12</f>
        <v>Burnett</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2646600</v>
      </c>
      <c r="C14" s="212"/>
      <c r="D14" s="85"/>
      <c r="E14" s="65"/>
      <c r="F14" s="92"/>
    </row>
    <row r="15" spans="1:16" ht="15" x14ac:dyDescent="0.2">
      <c r="A15" s="65" t="s">
        <v>863</v>
      </c>
      <c r="B15" s="213" t="str">
        <f>'Enter field data'!B15</f>
        <v>0703000501</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Cool-Warm Mainstem</v>
      </c>
      <c r="E18" s="174"/>
      <c r="F18" s="68"/>
      <c r="I18" s="141"/>
      <c r="J18" s="68"/>
      <c r="K18" s="68"/>
      <c r="L18" s="68"/>
      <c r="M18" s="68"/>
      <c r="N18" s="68"/>
    </row>
    <row r="19" spans="1:30" ht="12.75" customHeight="1" x14ac:dyDescent="0.2">
      <c r="A19" s="198" t="s">
        <v>850</v>
      </c>
      <c r="B19" s="198"/>
      <c r="C19" s="199"/>
      <c r="D19" s="200" t="s">
        <v>919</v>
      </c>
      <c r="E19" s="201"/>
      <c r="F19" s="93"/>
      <c r="I19" s="193"/>
      <c r="J19" s="193"/>
      <c r="K19" s="193"/>
      <c r="L19" s="143"/>
      <c r="M19" s="143"/>
      <c r="N19" s="142"/>
    </row>
    <row r="20" spans="1:30" x14ac:dyDescent="0.2">
      <c r="A20" s="65" t="s">
        <v>851</v>
      </c>
      <c r="B20" s="65"/>
      <c r="C20" s="67"/>
      <c r="D20" s="194" t="s">
        <v>23</v>
      </c>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Cool-Warm Mainstem</v>
      </c>
      <c r="E29" s="174"/>
      <c r="H29" s="148"/>
      <c r="I29" s="100" t="s">
        <v>913</v>
      </c>
      <c r="L29" s="179" t="s">
        <v>23</v>
      </c>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103</v>
      </c>
      <c r="E36" s="111" t="s">
        <v>12</v>
      </c>
      <c r="F36" s="112">
        <f>'Enter field data'!$O$54</f>
        <v>0</v>
      </c>
      <c r="H36" s="148"/>
      <c r="I36" s="108" t="s">
        <v>6</v>
      </c>
      <c r="J36" s="81">
        <f>'Enter field data'!$H$54</f>
        <v>0</v>
      </c>
      <c r="K36" s="109" t="s">
        <v>9</v>
      </c>
      <c r="L36" s="110">
        <f>'Enter field data'!$K$54</f>
        <v>103</v>
      </c>
      <c r="M36" s="111" t="s">
        <v>12</v>
      </c>
      <c r="N36" s="112">
        <f>'Enter field data'!$O$54</f>
        <v>0</v>
      </c>
      <c r="P36" s="108" t="s">
        <v>6</v>
      </c>
      <c r="Q36" s="81">
        <f>'Enter field data'!$H$54</f>
        <v>0</v>
      </c>
      <c r="R36" s="109" t="s">
        <v>9</v>
      </c>
      <c r="S36" s="110">
        <f>'Enter field data'!$K$54</f>
        <v>103</v>
      </c>
      <c r="T36" s="111" t="s">
        <v>12</v>
      </c>
      <c r="U36" s="112">
        <f>'Enter field data'!$O$54</f>
        <v>0</v>
      </c>
      <c r="W36" s="108" t="s">
        <v>6</v>
      </c>
      <c r="X36" s="81">
        <f>'Enter field data'!$H$54</f>
        <v>0</v>
      </c>
      <c r="Y36" s="109" t="s">
        <v>9</v>
      </c>
      <c r="Z36" s="110">
        <f>'Enter field data'!$K$54</f>
        <v>103</v>
      </c>
      <c r="AA36" s="111" t="s">
        <v>12</v>
      </c>
      <c r="AB36" s="112">
        <f>'Enter field data'!$O$54</f>
        <v>0</v>
      </c>
    </row>
    <row r="37" spans="1:28" x14ac:dyDescent="0.2">
      <c r="A37" s="108" t="s">
        <v>7</v>
      </c>
      <c r="B37" s="81">
        <f>'Enter field data'!$I$54</f>
        <v>80</v>
      </c>
      <c r="C37" s="109" t="s">
        <v>10</v>
      </c>
      <c r="D37" s="110">
        <f>'Enter field data'!$L$54</f>
        <v>0</v>
      </c>
      <c r="E37" s="111" t="s">
        <v>13</v>
      </c>
      <c r="F37" s="112">
        <f>'Enter field data'!$P$54</f>
        <v>10</v>
      </c>
      <c r="H37" s="148"/>
      <c r="I37" s="108" t="s">
        <v>7</v>
      </c>
      <c r="J37" s="81">
        <f>'Enter field data'!$I$54</f>
        <v>80</v>
      </c>
      <c r="K37" s="109" t="s">
        <v>10</v>
      </c>
      <c r="L37" s="110">
        <f>'Enter field data'!$L$54</f>
        <v>0</v>
      </c>
      <c r="M37" s="111" t="s">
        <v>13</v>
      </c>
      <c r="N37" s="112">
        <f>'Enter field data'!$P$54</f>
        <v>10</v>
      </c>
      <c r="P37" s="108" t="s">
        <v>7</v>
      </c>
      <c r="Q37" s="81">
        <f>'Enter field data'!$I$54</f>
        <v>80</v>
      </c>
      <c r="R37" s="109" t="s">
        <v>10</v>
      </c>
      <c r="S37" s="110">
        <f>'Enter field data'!$L$54</f>
        <v>0</v>
      </c>
      <c r="T37" s="111" t="s">
        <v>13</v>
      </c>
      <c r="U37" s="112">
        <f>'Enter field data'!$P$54</f>
        <v>10</v>
      </c>
      <c r="W37" s="108" t="s">
        <v>7</v>
      </c>
      <c r="X37" s="81">
        <f>'Enter field data'!$I$54</f>
        <v>80</v>
      </c>
      <c r="Y37" s="109" t="s">
        <v>10</v>
      </c>
      <c r="Z37" s="110">
        <f>'Enter field data'!$L$54</f>
        <v>0</v>
      </c>
      <c r="AA37" s="111" t="s">
        <v>13</v>
      </c>
      <c r="AB37" s="112">
        <f>'Enter field data'!$P$54</f>
        <v>10</v>
      </c>
    </row>
    <row r="38" spans="1:28" x14ac:dyDescent="0.2">
      <c r="A38" s="108" t="s">
        <v>8</v>
      </c>
      <c r="B38" s="81">
        <f>'Enter field data'!$J$54</f>
        <v>23</v>
      </c>
      <c r="C38" s="109" t="s">
        <v>11</v>
      </c>
      <c r="D38" s="110">
        <f>'Enter field data'!$N$54</f>
        <v>0</v>
      </c>
      <c r="E38" s="111" t="s">
        <v>14</v>
      </c>
      <c r="F38" s="112">
        <f>'Enter field data'!$Q$54</f>
        <v>93</v>
      </c>
      <c r="H38" s="148"/>
      <c r="I38" s="108" t="s">
        <v>8</v>
      </c>
      <c r="J38" s="81">
        <f>'Enter field data'!$J$54</f>
        <v>23</v>
      </c>
      <c r="K38" s="109" t="s">
        <v>11</v>
      </c>
      <c r="L38" s="110">
        <f>'Enter field data'!$N$54</f>
        <v>0</v>
      </c>
      <c r="M38" s="111" t="s">
        <v>14</v>
      </c>
      <c r="N38" s="112">
        <f>'Enter field data'!$Q$54</f>
        <v>93</v>
      </c>
      <c r="P38" s="108" t="s">
        <v>8</v>
      </c>
      <c r="Q38" s="81">
        <f>'Enter field data'!$J$54</f>
        <v>23</v>
      </c>
      <c r="R38" s="109" t="s">
        <v>11</v>
      </c>
      <c r="S38" s="110">
        <f>'Enter field data'!$N$54</f>
        <v>0</v>
      </c>
      <c r="T38" s="111" t="s">
        <v>14</v>
      </c>
      <c r="U38" s="112">
        <f>'Enter field data'!$Q$54</f>
        <v>93</v>
      </c>
      <c r="W38" s="108" t="s">
        <v>8</v>
      </c>
      <c r="X38" s="81">
        <f>'Enter field data'!$J$54</f>
        <v>23</v>
      </c>
      <c r="Y38" s="109" t="s">
        <v>11</v>
      </c>
      <c r="Z38" s="110">
        <f>'Enter field data'!$N$54</f>
        <v>0</v>
      </c>
      <c r="AA38" s="111" t="s">
        <v>14</v>
      </c>
      <c r="AB38" s="112">
        <f>'Enter field data'!$Q$54</f>
        <v>93</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0.77669902912621358</v>
      </c>
      <c r="C45" s="118">
        <f>VLOOKUP($D$29,'Expected guild %'!$A$5:$G$13,4,FALSE)</f>
        <v>0.25</v>
      </c>
      <c r="D45" s="118">
        <f>VLOOKUP($D$29,'Expected guild %'!$A$5:$G$13,5,FALSE)</f>
        <v>1</v>
      </c>
      <c r="E45" s="119" t="str">
        <f>IF(AND(C45&lt;=B45,B45&lt;= D45)=TRUE,"Y","N")</f>
        <v>Y</v>
      </c>
      <c r="F45" s="65"/>
      <c r="H45" s="148"/>
      <c r="I45" s="108" t="s">
        <v>7</v>
      </c>
      <c r="J45" s="117">
        <f>($B$37/'Enter field data'!$F$54)</f>
        <v>0.77669902912621358</v>
      </c>
      <c r="K45" s="118">
        <f>VLOOKUP(L$29,'Expected guild %'!$A$5:$G$13,4,FALSE)</f>
        <v>0.25</v>
      </c>
      <c r="L45" s="118">
        <f>VLOOKUP(L$29,'Expected guild %'!$A$5:$G$13,5,FALSE)</f>
        <v>1</v>
      </c>
      <c r="M45" s="119" t="str">
        <f>IF(AND(K45&lt;=J45,J45&lt;= L45)=TRUE,"Y","N")</f>
        <v>Y</v>
      </c>
      <c r="N45" s="65"/>
      <c r="P45" s="108" t="s">
        <v>7</v>
      </c>
      <c r="Q45" s="117">
        <f>($B$37/'Enter field data'!$F$54)</f>
        <v>0.77669902912621358</v>
      </c>
      <c r="R45" s="118" t="e">
        <f>VLOOKUP(S$29,'Expected guild %'!$A$5:$G$13,4,FALSE)</f>
        <v>#N/A</v>
      </c>
      <c r="S45" s="118" t="e">
        <f>VLOOKUP(S$29,'Expected guild %'!$A$5:$G$13,5,FALSE)</f>
        <v>#N/A</v>
      </c>
      <c r="T45" s="119" t="e">
        <f>IF(AND(R45&lt;=Q45,Q45&lt;= S45)=TRUE,"Y","N")</f>
        <v>#N/A</v>
      </c>
      <c r="U45" s="65"/>
      <c r="W45" s="108" t="s">
        <v>7</v>
      </c>
      <c r="X45" s="117">
        <f>($B$37/'Enter field data'!$F$54)</f>
        <v>0.77669902912621358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0.22330097087378642</v>
      </c>
      <c r="C46" s="118">
        <f>VLOOKUP($D$29,'Expected guild %'!$A$5:$G$13,6,FALSE)</f>
        <v>0</v>
      </c>
      <c r="D46" s="118">
        <f>VLOOKUP($D$29,'Expected guild %'!$A$5:$G$13,7,FALSE)</f>
        <v>0.75</v>
      </c>
      <c r="E46" s="119" t="str">
        <f>IF(AND(C46&lt;=B46,B46&lt;= D46)=TRUE,"Y","N")</f>
        <v>Y</v>
      </c>
      <c r="F46" s="65"/>
      <c r="H46" s="148"/>
      <c r="I46" s="108" t="s">
        <v>8</v>
      </c>
      <c r="J46" s="117">
        <f>($B$38/'Enter field data'!$F$54)</f>
        <v>0.22330097087378642</v>
      </c>
      <c r="K46" s="118">
        <f>VLOOKUP(L$29,'Expected guild %'!$A$5:$G$13,6,FALSE)</f>
        <v>0</v>
      </c>
      <c r="L46" s="118">
        <f>VLOOKUP(L$29,'Expected guild %'!$A$5:$G$13,7,FALSE)</f>
        <v>0.75</v>
      </c>
      <c r="M46" s="119" t="str">
        <f>IF(AND(K46&lt;=J46,J46&lt;= L46)=TRUE,"Y","N")</f>
        <v>Y</v>
      </c>
      <c r="N46" s="65"/>
      <c r="P46" s="108" t="s">
        <v>8</v>
      </c>
      <c r="Q46" s="117">
        <f>($B$38/'Enter field data'!$F$54)</f>
        <v>0.22330097087378642</v>
      </c>
      <c r="R46" s="118" t="e">
        <f>VLOOKUP(S$29,'Expected guild %'!$A$5:$G$13,6,FALSE)</f>
        <v>#N/A</v>
      </c>
      <c r="S46" s="118" t="e">
        <f>VLOOKUP(S$29,'Expected guild %'!$A$5:$G$13,7,FALSE)</f>
        <v>#N/A</v>
      </c>
      <c r="T46" s="119" t="e">
        <f>IF(AND(R46&lt;=Q46,Q46&lt;= S46)=TRUE,"Y","N")</f>
        <v>#N/A</v>
      </c>
      <c r="U46" s="65"/>
      <c r="W46" s="108" t="s">
        <v>8</v>
      </c>
      <c r="X46" s="117">
        <f>($B$38/'Enter field data'!$F$54)</f>
        <v>0.22330097087378642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1</v>
      </c>
      <c r="C51" s="120">
        <f>VLOOKUP($D$29,'Expected guild %'!$A$19:$G$27,2,FALSE)</f>
        <v>0</v>
      </c>
      <c r="D51" s="118">
        <f>VLOOKUP($D$29,'Expected guild %'!$A$19:$G$27,3,FALSE)</f>
        <v>0.5</v>
      </c>
      <c r="E51" s="119" t="str">
        <f>IF(AND(C51&lt;=B51,B51&lt;= D51)=TRUE,"Y","N")</f>
        <v>N</v>
      </c>
      <c r="F51" s="65"/>
      <c r="H51" s="148"/>
      <c r="I51" s="108" t="s">
        <v>9</v>
      </c>
      <c r="J51" s="118">
        <f>($D$36/'Enter field data'!$F$54)</f>
        <v>1</v>
      </c>
      <c r="K51" s="120">
        <f>VLOOKUP(L$29,'Expected guild %'!$A$19:$G$27,2,FALSE)</f>
        <v>0.5</v>
      </c>
      <c r="L51" s="118">
        <f>VLOOKUP(L$29,'Expected guild %'!$A$19:$G$27,3,FALSE)</f>
        <v>1</v>
      </c>
      <c r="M51" s="119" t="str">
        <f>IF(AND(K51&lt;=J51,J51&lt;= L51)=TRUE,"Y","N")</f>
        <v>Y</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0.5</v>
      </c>
      <c r="D52" s="118">
        <f>VLOOKUP($D$29,'Expected guild %'!$A$19:$G$27,5,FALSE)</f>
        <v>1</v>
      </c>
      <c r="E52" s="119" t="str">
        <f>IF(AND(C52&lt;=B52,B52&lt;= D52)=TRUE,"Y","N")</f>
        <v>N</v>
      </c>
      <c r="F52" s="65"/>
      <c r="H52" s="148"/>
      <c r="I52" s="108" t="s">
        <v>10</v>
      </c>
      <c r="J52" s="118">
        <f>($D$37/'Enter field data'!$F$54)</f>
        <v>0</v>
      </c>
      <c r="K52" s="120">
        <f>VLOOKUP(L$29,'Expected guild %'!$A$19:$G$27,4,FALSE)</f>
        <v>0</v>
      </c>
      <c r="L52" s="118">
        <f>VLOOKUP(L$29,'Expected guild %'!$A$19:$G$27,5,FALSE)</f>
        <v>0.5</v>
      </c>
      <c r="M52" s="119" t="str">
        <f>IF(AND(K52&lt;=J52,J52&lt;= L52)=TRUE,"Y","N")</f>
        <v>Y</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0.5</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t="s">
        <v>940</v>
      </c>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9.7087378640776698E-2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0.90291262135922334</v>
      </c>
      <c r="C76" s="127">
        <f>VLOOKUP($D$29,'Expected guild %'!$A$33:$G$41,6,FALSE)</f>
        <v>0</v>
      </c>
      <c r="D76" s="118">
        <f>VLOOKUP($D$29,'Expected guild %'!$A$33:$G$41,7,FALSE)</f>
        <v>0.6</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t="s">
        <v>942</v>
      </c>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18.146202000000002</v>
      </c>
      <c r="H89" s="148"/>
    </row>
    <row r="90" spans="1:23" x14ac:dyDescent="0.2">
      <c r="A90" s="207"/>
      <c r="B90" s="71" t="s">
        <v>819</v>
      </c>
      <c r="C90" s="72"/>
      <c r="D90" s="73">
        <f>'Weather Results'!$C$19</f>
        <v>21.798018666666668</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1.9099122000000002</v>
      </c>
      <c r="H98" s="148"/>
    </row>
    <row r="99" spans="1:8" x14ac:dyDescent="0.2">
      <c r="A99" s="206"/>
      <c r="B99" s="71" t="s">
        <v>828</v>
      </c>
      <c r="C99" s="72"/>
      <c r="D99" s="73">
        <f>'Weather Results'!$C$28</f>
        <v>3.7017674</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41836</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20140716</v>
      </c>
    </row>
    <row r="5" spans="1:5" hidden="1" x14ac:dyDescent="0.25">
      <c r="A5" s="37"/>
      <c r="B5" s="37" t="s">
        <v>805</v>
      </c>
      <c r="C5" s="50" t="str">
        <f>CONCATENATE(YEAR(C1-30),IF(MONTH(C1-30)&lt;10,"0"&amp;MONTH(C1-30),MONTH(C1-30)),IF(DAY(C1-30)&lt;10,"0"&amp;DAY(C1-30),DAY(C1-30)))</f>
        <v>20140616</v>
      </c>
    </row>
    <row r="6" spans="1:5" hidden="1" x14ac:dyDescent="0.25">
      <c r="A6" s="37"/>
      <c r="B6" s="37" t="s">
        <v>806</v>
      </c>
      <c r="C6" s="50" t="str">
        <f>CONCATENATE(YEAR(C1-90),IF(MONTH(C1-90)&lt;10,"0"&amp;MONTH(C1-90),MONTH(C1-90)),IF(DAY(C1-90)&lt;10,"0"&amp;DAY(C1-90),DAY(C1-90)))</f>
        <v>20140417</v>
      </c>
    </row>
    <row r="7" spans="1:5" hidden="1" x14ac:dyDescent="0.25">
      <c r="A7" s="37"/>
      <c r="B7" s="37" t="s">
        <v>807</v>
      </c>
      <c r="C7" s="50" t="str">
        <f>CONCATENATE(YEAR(C1-365),IF(MONTH(C1-365)&lt;10,"0"&amp;MONTH(C1-365),MONTH(C1-365)),IF(DAY(C1-365)&lt;10,"0"&amp;DAY(C1-365),DAY(C1-365)))</f>
        <v>20130716</v>
      </c>
    </row>
    <row r="8" spans="1:5" hidden="1" x14ac:dyDescent="0.25">
      <c r="A8" s="37"/>
      <c r="B8" s="37" t="s">
        <v>808</v>
      </c>
      <c r="C8" s="50" t="str">
        <f>CONCATENATE(YEAR(C1-1460),IF(MONTH(C1-1460)&lt;10,"0"&amp;MONTH(C1-1460),MONTH(C1-1460)),IF(DAY(C1-1460)&lt;10,"0"&amp;DAY(C1-1460),DAY(C1-1460)))</f>
        <v>20100717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14</v>
      </c>
    </row>
    <row r="12" spans="1:5" hidden="1" x14ac:dyDescent="0.25">
      <c r="A12" s="37"/>
      <c r="B12" s="37" t="s">
        <v>812</v>
      </c>
      <c r="C12" s="50">
        <f>IF(MONTH($C$1)=7,DAY($C$1),0)+IF(MONTH($C$1)=8,30-DAY($C$1),0)</f>
        <v>16</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18.146202000000002</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21.798018666666668</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1.9099122000000002</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3.7017674</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2017-05-23T14:17:00Z</dcterms:modified>
</cp:coreProperties>
</file>