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75" yWindow="180"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<sst xmlns="http://schemas.openxmlformats.org/spreadsheetml/2006/main" count="2047" uniqueCount="937">
  <si>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</si>
  <si>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</si>
  <si>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</si>
  <si>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</si>
  <si>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</si>
  <si>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</si>
  <si>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</si>
  <si>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</si>
  <si>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</si>
  <si>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</si>
  <si>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</si>
  <si>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</si>
  <si>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</si>
  <si>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</si>
  <si>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</si>
  <si>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</si>
  <si>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</si>
  <si>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</si>
  <si>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</si>
  <si>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</si>
  <si>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</si>
  <si>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</si>
  <si>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</si>
  <si>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</si>
  <si>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</si>
  <si>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</si>
  <si>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</si>
  <si>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</si>
  <si>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</si>
  <si>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</si>
  <si>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</si>
  <si>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</si>
  <si>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</si>
  <si>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</si>
  <si>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</si>
  <si>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</si>
  <si>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</si>
  <si>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</si>
  <si>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</si>
  <si>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</si>
  <si>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</si>
  <si>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</si>
  <si>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</si>
  <si>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</si>
  <si>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</si>
  <si>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</si>
  <si>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</si>
  <si>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</si>
  <si>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</si>
  <si>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</si>
  <si>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</si>
  <si>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</si>
  <si>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</si>
  <si>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</si>
  <si>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</si>
  <si>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</si>
  <si>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</si>
  <si>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</si>
  <si>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</si>
  <si>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</si>
  <si>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</si>
  <si>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</si>
  <si>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</si>
  <si>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</si>
  <si>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</si>
  <si>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</si>
  <si>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</si>
  <si>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</si>
  <si>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</si>
  <si>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</si>
  <si>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</si>
  <si>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</si>
  <si>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</si>
  <si>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</si>
  <si>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</si>
  <si>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</si>
  <si>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</si>
  <si>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</si>
  <si>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</si>
  <si>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</si>
  <si>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</si>
  <si>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</si>
  <si>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</si>
  <si>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</si>
  <si>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</si>
  <si>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</si>
  <si>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</si>
  <si>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</si>
  <si>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</si>
  <si>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</si>
  <si>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</si>
  <si>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</si>
  <si>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</si>
  <si>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</si>
  <si>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</si>
  <si>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</si>
  <si>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</si>
  <si>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</si>
  <si>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</si>
  <si>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</si>
  <si>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</si>
  <si>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</si>
  <si>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</si>
  <si>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</si>
  <si>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</si>
  <si>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</si>
  <si>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</si>
  <si>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</si>
  <si>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</si>
  <si>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</si>
  <si>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</si>
  <si>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</si>
  <si>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</si>
  <si>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</si>
  <si>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</si>
  <si>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</si>
  <si>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</si>
  <si>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</si>
  <si>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</si>
  <si>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</si>
  <si>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</si>
  <si>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</si>
  <si>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</si>
  <si>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</si>
  <si>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</si>
  <si>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</si>
  <si>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</si>
  <si>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</si>
  <si>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</si>
  <si>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</si>
  <si>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</si>
  <si>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</si>
  <si>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</si>
  <si>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</si>
  <si>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</si>
  <si>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</si>
  <si>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</si>
  <si>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</si>
  <si>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</si>
  <si>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</si>
  <si>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</si>
  <si>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</si>
  <si>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</si>
  <si>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</si>
  <si>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</si>
  <si>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</si>
  <si>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</si>
  <si>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</si>
  <si>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</si>
  <si>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</si>
  <si>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</si>
  <si>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</si>
  <si>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</si>
  <si>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</si>
  <si>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</si>
  <si>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</si>
  <si>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</si>
  <si>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</si>
  <si>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</si>
  <si>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</si>
  <si>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</si>
  <si>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</si>
  <si>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</si>
  <si>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</si>
  <si>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</si>
  <si>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</si>
  <si>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</si>
  <si>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</si>
  <si>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</si>
  <si>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</si>
  <si>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</si>
  <si>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</si>
  <si>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</si>
  <si>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</si>
  <si>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</si>
  <si>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</si>
  <si>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</si>
  <si>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</si>
  <si>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</si>
  <si>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</si>
  <si>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</si>
  <si>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</si>
  <si>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</si>
  <si>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</si>
  <si>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</si>
  <si>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</si>
  <si>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</si>
  <si>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</si>
  <si>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</si>
  <si>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</si>
  <si>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</si>
  <si>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</si>
  <si>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</si>
  <si>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</si>
  <si>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</si>
  <si>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</si>
  <si>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</si>
  <si>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</si>
  <si>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</si>
  <si>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</si>
  <si>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</si>
  <si>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</si>
  <si>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</si>
  <si>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</si>
  <si>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</si>
  <si>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</si>
  <si>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</si>
  <si>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</si>
  <si>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</si>
  <si>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</si>
  <si>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</si>
  <si>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</si>
  <si>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</si>
  <si>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</si>
  <si>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</si>
  <si>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</si>
  <si>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</si>
  <si>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</si>
  <si>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</si>
  <si>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</si>
  <si>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</si>
  <si>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</si>
  <si>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</si>
  <si>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</si>
  <si>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</si>
  <si>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</si>
  <si>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</si>
  <si>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</si>
  <si>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</si>
  <si>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</si>
  <si>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</si>
  <si>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</si>
  <si>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</si>
  <si>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</si>
  <si>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</si>
  <si>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</si>
  <si>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</si>
  <si>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</si>
  <si>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</si>
  <si>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</si>
  <si>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</si>
  <si>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</si>
  <si>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</si>
  <si>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</si>
  <si>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</si>
  <si>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</si>
  <si>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</si>
  <si>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</si>
  <si>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</si>
  <si>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</si>
  <si>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</si>
  <si>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</si>
  <si>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</si>
  <si>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</si>
  <si>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</si>
  <si>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</si>
  <si>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</si>
  <si>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</si>
  <si>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</si>
  <si>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</si>
  <si>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</si>
  <si>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</si>
  <si>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</si>
  <si>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</si>
  <si>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</si>
  <si>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</si>
  <si>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</si>
  <si>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</si>
  <si>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</si>
  <si>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</si>
  <si>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</si>
  <si>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</si>
  <si>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</si>
  <si>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</si>
  <si>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</si>
  <si>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</si>
  <si>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</si>
  <si>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</si>
  <si>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</si>
  <si>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</si>
  <si>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</si>
  <si>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</si>
  <si>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</si>
  <si>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</si>
  <si>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</si>
  <si>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</si>
  <si>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</si>
  <si>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</si>
  <si>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</si>
  <si>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</si>
  <si>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</si>
  <si>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</si>
  <si>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</si>
  <si>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</si>
  <si>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</si>
  <si>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</si>
  <si>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</si>
  <si>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</si>
  <si>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</si>
  <si>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</si>
  <si>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</si>
  <si>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</si>
  <si>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</si>
  <si>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</si>
  <si>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</si>
  <si>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</si>
  <si>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</si>
  <si>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</si>
  <si>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</si>
  <si>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</si>
  <si>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</si>
  <si>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</si>
  <si>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</si>
  <si>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</si>
  <si>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</si>
  <si>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</si>
  <si>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</si>
  <si>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</si>
  <si>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</si>
  <si>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</si>
  <si>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</si>
  <si>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</si>
  <si>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</si>
  <si>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</si>
  <si>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</si>
  <si>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</si>
  <si>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</si>
  <si>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</si>
  <si>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</si>
  <si>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</si>
  <si>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</si>
  <si>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</si>
  <si>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</si>
  <si>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</si>
  <si>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</si>
  <si>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</si>
  <si>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</si>
  <si>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</si>
  <si>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</si>
  <si>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</si>
  <si>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</si>
  <si>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</si>
  <si>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</si>
  <si>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</si>
  <si>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</si>
  <si>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</si>
  <si>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</si>
  <si>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</si>
  <si>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</si>
  <si>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</si>
  <si>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</si>
  <si>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</si>
  <si>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</si>
  <si>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</si>
  <si>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</si>
  <si>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</si>
  <si>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</si>
  <si>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</si>
  <si>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</si>
  <si>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</si>
  <si>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</si>
  <si>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</si>
  <si>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</si>
  <si>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</si>
  <si>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</si>
  <si>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</si>
  <si>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</si>
  <si>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</si>
  <si>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</si>
  <si>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</si>
  <si>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</si>
  <si>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</si>
  <si>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</si>
  <si>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</si>
  <si>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</si>
  <si>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</si>
  <si>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</si>
  <si>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</si>
  <si>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</si>
  <si>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</si>
  <si>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</si>
  <si>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</si>
  <si>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</si>
  <si>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</si>
  <si>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</si>
  <si>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</si>
  <si>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</si>
  <si>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</si>
  <si>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</si>
  <si>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</si>
  <si>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</si>
  <si>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</si>
  <si>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</si>
  <si>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</si>
  <si>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</si>
  <si>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</si>
  <si>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</si>
  <si>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</si>
  <si>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</si>
  <si>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</si>
  <si>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</si>
  <si>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</si>
  <si>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</si>
  <si>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</si>
  <si>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</si>
  <si>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</si>
  <si>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</si>
  <si>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</si>
  <si>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</si>
  <si>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</si>
  <si>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</si>
  <si>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</si>
  <si>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</si>
  <si>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</si>
  <si>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</si>
  <si>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</si>
  <si>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</si>
  <si>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</si>
  <si>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</si>
  <si>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</si>
  <si>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</si>
  <si>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</si>
  <si>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</si>
  <si>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</si>
  <si>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</si>
  <si>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</si>
  <si>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</si>
  <si>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</si>
  <si>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</si>
  <si>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</si>
  <si>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</si>
  <si>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</si>
  <si>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</si>
  <si>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</si>
  <si>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</si>
  <si>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</si>
  <si>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</si>
  <si>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</si>
  <si>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</si>
  <si>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</si>
  <si>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</si>
  <si>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</si>
  <si>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</si>
  <si>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</si>
  <si>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</si>
  <si>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</si>
  <si>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</si>
  <si>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</si>
  <si>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</si>
  <si>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</si>
  <si>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</si>
  <si>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</si>
  <si>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</si>
  <si>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</si>
  <si>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</si>
  <si>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</si>
  <si>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</si>
  <si>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</si>
  <si>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</si>
  <si>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</si>
  <si>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</si>
  <si>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</si>
  <si>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</si>
  <si>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</si>
  <si>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</si>
  <si>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</si>
  <si>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</si>
  <si>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</si>
  <si>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</si>
  <si>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</si>
  <si>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</si>
  <si>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</si>
  <si>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</si>
  <si>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</si>
  <si>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</si>
  <si>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</si>
  <si>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</si>
  <si>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</si>
  <si>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</si>
  <si>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</si>
  <si>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</si>
  <si>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</si>
  <si>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</si>
  <si>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</si>
  <si>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</si>
  <si>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</si>
  <si>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</si>
  <si>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</si>
  <si>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</si>
  <si>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</si>
  <si>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</si>
  <si>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</si>
  <si>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</si>
  <si>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</si>
  <si>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</si>
  <si>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</si>
  <si>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</si>
  <si>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</si>
  <si>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</si>
  <si>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</si>
  <si>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</si>
  <si>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</si>
  <si>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</si>
  <si>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</si>
  <si>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</si>
  <si>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</si>
  <si>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</si>
  <si>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</si>
  <si>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</si>
  <si>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</si>
  <si>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</si>
  <si>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</si>
  <si>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</si>
  <si>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</si>
  <si>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</si>
  <si>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</si>
  <si>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</si>
  <si>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</si>
  <si>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</si>
  <si>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</si>
  <si>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</si>
  <si>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</si>
  <si>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</si>
  <si>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</si>
  <si>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</si>
  <si>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</si>
  <si>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</si>
  <si>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</si>
  <si>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</si>
  <si>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</si>
  <si>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</si>
  <si>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</si>
  <si>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</si>
  <si>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</si>
  <si>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</si>
  <si>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</si>
  <si>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</si>
  <si>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</si>
  <si>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</si>
  <si>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</si>
  <si>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</si>
  <si>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</si>
  <si>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</si>
  <si>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</si>
  <si>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</si>
  <si>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</si>
  <si>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</si>
  <si>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</si>
  <si>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</si>
  <si>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</si>
  <si>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</si>
  <si>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</si>
  <si>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</si>
  <si>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</si>
  <si>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</si>
  <si>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</si>
  <si>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</si>
  <si>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</si>
  <si>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</si>
  <si>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</si>
  <si>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</si>
  <si>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</si>
  <si>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</si>
  <si>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</si>
  <si>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</si>
  <si>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</si>
  <si>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</si>
  <si>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</si>
  <si>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</si>
  <si>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</si>
  <si>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</si>
  <si>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</si>
  <si>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</si>
  <si>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</si>
  <si>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</si>
  <si>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</si>
  <si>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</si>
  <si>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</si>
  <si>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</si>
  <si>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</si>
  <si>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</si>
  <si>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</si>
  <si>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</si>
  <si>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</si>
  <si>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</si>
  <si>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</si>
  <si>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</si>
  <si>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</si>
  <si>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</si>
  <si>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</si>
  <si>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</si>
  <si>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</si>
  <si>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</si>
  <si>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</si>
  <si>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</si>
  <si>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</si>
  <si>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</si>
  <si>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</si>
  <si>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</si>
  <si>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</si>
  <si>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</si>
  <si>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</si>
  <si>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</si>
  <si>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</si>
  <si>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</si>
  <si>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</si>
  <si>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</si>
  <si>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</si>
  <si>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</si>
  <si>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</si>
  <si>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</si>
  <si>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</si>
  <si>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</si>
  <si>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</si>
  <si>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</si>
  <si>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</si>
  <si>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</si>
  <si>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</si>
  <si>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</si>
  <si>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</si>
  <si>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</si>
  <si>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</si>
  <si>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</si>
  <si>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</si>
  <si>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</si>
  <si>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</si>
  <si>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</si>
  <si>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</si>
  <si>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</si>
  <si>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</si>
  <si>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</si>
  <si>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</si>
  <si>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</si>
  <si>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</si>
  <si>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</si>
  <si>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</si>
  <si>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</si>
  <si>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</si>
  <si>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</si>
  <si>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</si>
  <si>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</si>
  <si>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</si>
  <si>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</si>
  <si>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</si>
  <si>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</si>
  <si>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</si>
  <si>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</si>
  <si>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</si>
  <si>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</si>
  <si>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</si>
  <si>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</si>
  <si>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</si>
  <si>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</si>
  <si>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</si>
  <si>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</si>
  <si>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</si>
  <si>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</si>
  <si>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</si>
  <si>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</si>
  <si>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</si>
  <si>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</si>
  <si>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</si>
  <si>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</si>
  <si>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</si>
  <si>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</si>
  <si>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</si>
  <si>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</si>
  <si>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</si>
  <si>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</si>
  <si>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</si>
  <si>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</si>
  <si>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</si>
  <si>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</si>
  <si>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</si>
  <si>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</si>
  <si>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</si>
  <si>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</si>
  <si>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</si>
  <si>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</si>
  <si>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</si>
  <si>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</si>
  <si>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</si>
  <si>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</si>
  <si>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</si>
  <si>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</si>
  <si>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</si>
  <si>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</si>
  <si>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</si>
  <si>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</si>
  <si>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</si>
  <si>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</si>
  <si>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</si>
  <si>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</si>
  <si>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</si>
  <si>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</si>
  <si>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</si>
  <si>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</si>
  <si>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</si>
  <si>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</si>
  <si>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</si>
  <si>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</si>
  <si>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</si>
  <si>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</si>
  <si>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</si>
  <si>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</si>
  <si>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</si>
  <si>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</si>
  <si>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</si>
  <si>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</si>
  <si>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</si>
  <si>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</si>
  <si>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</si>
  <si>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</si>
  <si>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</si>
  <si>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</si>
  <si>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</si>
  <si>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</si>
  <si>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</si>
  <si>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</si>
  <si>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</si>
  <si>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</si>
  <si>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</si>
  <si>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</si>
  <si>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</si>
  <si>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</si>
  <si>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</si>
  <si>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</si>
  <si>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</si>
  <si>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</si>
  <si>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</si>
  <si>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</si>
  <si>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</si>
  <si>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</si>
  <si>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</si>
  <si>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</si>
  <si>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</si>
  <si>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</si>
  <si>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</si>
  <si>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</si>
  <si>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</si>
  <si>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</si>
  <si>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</si>
  <si>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</si>
  <si>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</si>
  <si>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</si>
  <si>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</si>
  <si>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</si>
  <si>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</si>
  <si>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</si>
  <si>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</si>
  <si>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</si>
  <si>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</si>
  <si>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</si>
  <si>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</si>
  <si>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</si>
  <si>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</si>
  <si>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</si>
  <si>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</si>
  <si>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</si>
  <si>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</si>
  <si>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</si>
  <si>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</si>
  <si>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</si>
  <si>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</si>
  <si>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</si>
  <si>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</si>
  <si>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</si>
  <si>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</si>
  <si>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</si>
  <si>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</si>
  <si>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</si>
  <si>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</si>
  <si>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</si>
  <si>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</si>
  <si>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</si>
  <si>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</si>
  <si>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</si>
  <si>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</si>
  <si>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</si>
  <si>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</si>
  <si>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</si>
  <si>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</si>
  <si>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</si>
  <si>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</si>
  <si>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</si>
  <si>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</si>
  <si>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</si>
  <si>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</si>
  <si>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</si>
  <si>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</si>
  <si>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</si>
  <si>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</si>
  <si>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</si>
  <si>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</si>
  <si>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</si>
  <si>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</si>
  <si>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</si>
  <si>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</si>
  <si>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</si>
  <si>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</si>
  <si>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</si>
  <si>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</si>
  <si>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</si>
  <si>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</si>
  <si>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</si>
  <si>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</si>
  <si>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</si>
  <si>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</si>
  <si>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</si>
  <si>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</si>
  <si>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</si>
  <si>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</si>
  <si>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</si>
  <si>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</si>
  <si>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</si>
  <si>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</si>
  <si>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</si>
  <si>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</si>
  <si>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</si>
  <si>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</si>
  <si>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</si>
  <si>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</si>
  <si>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</si>
  <si>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</si>
  <si>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</si>
  <si>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</si>
  <si>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</si>
  <si>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</si>
  <si>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</si>
  <si>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</si>
  <si>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</si>
  <si>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</si>
  <si>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</si>
  <si>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</si>
  <si>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</si>
  <si>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</si>
  <si>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</si>
  <si>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</si>
  <si>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</si>
  <si>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</si>
  <si>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</si>
  <si>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</si>
  <si>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</si>
  <si>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</si>
  <si>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</si>
  <si>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</si>
  <si>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</si>
  <si>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</si>
  <si>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</si>
  <si>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</si>
  <si>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</si>
  <si>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</si>
  <si>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</si>
  <si>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</si>
  <si>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</si>
  <si>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</si>
  <si>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</si>
  <si>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</si>
  <si>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</si>
  <si>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</si>
  <si>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</si>
  <si>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</si>
  <si>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</si>
  <si>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</si>
  <si>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</si>
  <si>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</si>
  <si>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</si>
  <si>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</si>
  <si>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</si>
  <si>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</si>
  <si>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</si>
  <si>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</si>
  <si>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</si>
  <si>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</si>
  <si>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</si>
  <si>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</si>
  <si>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</si>
  <si>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</si>
  <si>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</si>
  <si>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</si>
  <si>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</si>
  <si>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</si>
  <si>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</si>
  <si>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</si>
  <si>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</si>
  <si>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</si>
  <si>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</si>
  <si>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</si>
  <si>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</si>
  <si>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</si>
  <si>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</si>
  <si>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</si>
  <si>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</si>
  <si>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</si>
  <si>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</si>
  <si>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</si>
  <si>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</si>
  <si>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</si>
  <si>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</si>
  <si>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</si>
  <si>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</si>
  <si>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</si>
  <si>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</si>
  <si>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</si>
  <si>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</si>
  <si>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</si>
  <si>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</si>
  <si>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</si>
  <si>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</si>
  <si>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</si>
  <si>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</si>
  <si>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</si>
  <si>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</si>
  <si>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</si>
  <si>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</si>
  <si>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</si>
  <si>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</si>
  <si>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</si>
  <si>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</si>
  <si>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</si>
  <si>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</si>
  <si>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</si>
  <si>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</si>
  <si>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</si>
  <si>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</si>
  <si>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</si>
  <si>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</si>
  <si>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</si>
  <si>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</si>
  <si>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</si>
  <si>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</si>
  <si>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Dorns Creek</t>
  </si>
  <si>
    <t>CENTRAL MUDMINNOW</t>
  </si>
  <si>
    <t>NORTHERN PIKE</t>
  </si>
  <si>
    <t>BURBOT</t>
  </si>
  <si>
    <t>BLACKSIDE DARTER</t>
  </si>
  <si>
    <t>Lisa Helmuth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</si>
</sst>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4" sqref="B4:D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936</v>
      </c>
      <c r="C4" s="162"/>
      <c r="D4" s="163"/>
      <c r="F4" s="2" t="s">
        <v>836</v>
      </c>
    </row>
    <row r="5" spans="1:20" x14ac:dyDescent="0.25">
      <c r="A5" s="1" t="s">
        <v>832</v>
      </c>
      <c r="B5" s="171">
        <v>42946</v>
      </c>
      <c r="C5" s="162"/>
      <c r="D5" s="163"/>
      <c r="F5" s="84"/>
      <c r="G5" s="28"/>
      <c r="H5" s="28"/>
      <c r="I5" s="28"/>
      <c r="J5" s="28"/>
      <c r="K5" s="28"/>
      <c r="L5" s="28"/>
      <c r="M5" s="28"/>
      <c r="N5" s="28"/>
      <c r="O5" s="28"/>
      <c r="P5" s="28"/>
      <c r="Q5" s="28"/>
      <c r="R5" s="28" t="s">
        <v>866</v>
      </c>
    </row>
    <row r="6" spans="1:20" x14ac:dyDescent="0.25">
      <c r="A6" s="1" t="s">
        <v>830</v>
      </c>
      <c r="B6" s="172">
        <v>42234</v>
      </c>
      <c r="C6" s="173"/>
      <c r="D6" s="174"/>
      <c r="F6" s="26"/>
      <c r="G6" s="28"/>
      <c r="H6" s="28"/>
      <c r="I6" s="28"/>
      <c r="J6" s="28"/>
      <c r="K6" s="28"/>
      <c r="L6" s="28"/>
      <c r="M6" s="28"/>
      <c r="N6" s="28"/>
      <c r="O6" s="28"/>
      <c r="P6" s="28"/>
      <c r="Q6" s="28"/>
      <c r="R6" s="28" t="s">
        <v>378</v>
      </c>
    </row>
    <row r="7" spans="1:20" s="28" customFormat="1" x14ac:dyDescent="0.25">
      <c r="A7" s="28" t="s">
        <v>869</v>
      </c>
      <c r="B7" s="175">
        <v>10044621</v>
      </c>
      <c r="C7" s="173"/>
      <c r="D7" s="174"/>
      <c r="F7" s="27"/>
    </row>
    <row r="8" spans="1:20" s="28" customFormat="1" x14ac:dyDescent="0.25">
      <c r="A8" s="28" t="s">
        <v>872</v>
      </c>
      <c r="B8" s="175"/>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931</v>
      </c>
      <c r="C11" s="173"/>
      <c r="D11" s="174"/>
      <c r="F11" s="27"/>
      <c r="G11" s="27"/>
      <c r="H11" s="27"/>
      <c r="I11" s="27"/>
      <c r="J11" s="27"/>
      <c r="K11" s="27"/>
      <c r="L11" s="27"/>
      <c r="M11" s="27"/>
      <c r="N11" s="27"/>
      <c r="O11" s="27"/>
      <c r="P11" s="27"/>
      <c r="Q11" s="27"/>
      <c r="R11" s="27"/>
    </row>
    <row r="12" spans="1:20" x14ac:dyDescent="0.25">
      <c r="A12" s="1" t="s">
        <v>37</v>
      </c>
      <c r="B12" s="164"/>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2410600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23</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932</v>
      </c>
      <c r="B21" s="40">
        <v>23</v>
      </c>
      <c r="C21" s="26" t="str">
        <f>IFERROR(VLOOKUP($A21,'Species guilds'!$A$3:$F$301,3,FALSE),0)</f>
        <v>T</v>
      </c>
      <c r="D21" s="26" t="str">
        <f>IFERROR(VLOOKUP($A21,'Species guilds'!$A$3:$F$301,4,FALSE),0)</f>
        <v>S</v>
      </c>
      <c r="E21" s="26" t="str">
        <f>IFERROR(VLOOKUP($A21,'Species guilds'!$A$3:$F$301,5,FALSE),0)</f>
        <v>T</v>
      </c>
      <c r="F21" s="26">
        <f t="shared" ref="F21:F53" si="0">IF(AND(M21&gt;0,B21&gt;0)=FALSE,B21,0)</f>
        <v>23</v>
      </c>
      <c r="G21" s="26">
        <f>IF(D21="Lake",0,1)</f>
        <v>1</v>
      </c>
      <c r="H21" s="26">
        <f>IF($C21=H$20,$B21*G21,0)</f>
        <v>0</v>
      </c>
      <c r="I21" s="26">
        <f>IF($C21=I$20,$B21*G21,0)</f>
        <v>23</v>
      </c>
      <c r="J21" s="26">
        <f>IF($C21=J$20,$B21*G21,0)</f>
        <v>0</v>
      </c>
      <c r="K21" s="26">
        <f>IF($D21=K$20,$B21*G21,0)</f>
        <v>23</v>
      </c>
      <c r="L21" s="26">
        <f>IF($D21=L$20,$B21*G21,0)</f>
        <v>0</v>
      </c>
      <c r="M21" s="26">
        <f>IF($D21=M$20,$B21,0)</f>
        <v>0</v>
      </c>
      <c r="N21" s="26">
        <f>IF($D21=N$20,$B21*G21,0)</f>
        <v>0</v>
      </c>
      <c r="O21" s="26">
        <f>IF($E21=O$20,$B21*G21,0)</f>
        <v>0</v>
      </c>
      <c r="P21" s="26">
        <f>IF($E21=P$20,$B21*G21,0)</f>
        <v>0</v>
      </c>
      <c r="Q21" s="26">
        <f>IF($E21=Q$20,$B21*G21,0)</f>
        <v>23</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933</v>
      </c>
      <c r="B22" s="40">
        <v>2</v>
      </c>
      <c r="C22" s="26" t="str">
        <f>IFERROR(VLOOKUP($A22,'Species guilds'!$A$3:$F$301,3,FALSE),0)</f>
        <v>T</v>
      </c>
      <c r="D22" s="26" t="str">
        <f>IFERROR(VLOOKUP($A22,'Species guilds'!$A$3:$F$301,4,FALSE),0)</f>
        <v>S</v>
      </c>
      <c r="E22" s="26" t="str">
        <f>IFERROR(VLOOKUP($A22,'Species guilds'!$A$3:$F$301,5,FALSE),0)</f>
        <v>IM</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2</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934</v>
      </c>
      <c r="B23" s="40">
        <v>8</v>
      </c>
      <c r="C23" s="26" t="str">
        <f>IFERROR(VLOOKUP($A23,'Species guilds'!$A$3:$F$301,3,FALSE),0)</f>
        <v>T</v>
      </c>
      <c r="D23" s="26" t="str">
        <f>IFERROR(VLOOKUP($A23,'Species guilds'!$A$3:$F$301,4,FALSE),0)</f>
        <v>L</v>
      </c>
      <c r="E23" s="26" t="str">
        <f>IFERROR(VLOOKUP($A23,'Species guilds'!$A$3:$F$301,5,FALSE),0)</f>
        <v>IM</v>
      </c>
      <c r="F23" s="26">
        <f t="shared" si="0"/>
        <v>8</v>
      </c>
      <c r="G23" s="26">
        <f t="shared" si="1"/>
        <v>1</v>
      </c>
      <c r="H23" s="26">
        <f t="shared" si="2"/>
        <v>0</v>
      </c>
      <c r="I23" s="26">
        <f t="shared" si="3"/>
        <v>8</v>
      </c>
      <c r="J23" s="26">
        <f t="shared" si="4"/>
        <v>0</v>
      </c>
      <c r="K23" s="26">
        <f t="shared" si="5"/>
        <v>0</v>
      </c>
      <c r="L23" s="26">
        <f t="shared" si="6"/>
        <v>0</v>
      </c>
      <c r="M23" s="26">
        <f t="shared" si="7"/>
        <v>0</v>
      </c>
      <c r="N23" s="26">
        <f t="shared" si="8"/>
        <v>8</v>
      </c>
      <c r="O23" s="26">
        <f t="shared" si="9"/>
        <v>0</v>
      </c>
      <c r="P23" s="26">
        <f t="shared" si="10"/>
        <v>8</v>
      </c>
      <c r="Q23" s="26">
        <f t="shared" si="11"/>
        <v>0</v>
      </c>
      <c r="R23" s="81" t="str">
        <f t="shared" si="12"/>
        <v/>
      </c>
      <c r="T23" s="43"/>
      <c r="U23" s="43"/>
      <c r="V23" s="43"/>
      <c r="W23" s="43"/>
      <c r="X23" s="43"/>
      <c r="Y23" s="43"/>
    </row>
    <row r="24" spans="1:25" x14ac:dyDescent="0.25">
      <c r="A24" s="40" t="s">
        <v>935</v>
      </c>
      <c r="B24" s="40">
        <v>2</v>
      </c>
      <c r="C24" s="26" t="str">
        <f>IFERROR(VLOOKUP($A24,'Species guilds'!$A$3:$F$301,3,FALSE),0)</f>
        <v>W</v>
      </c>
      <c r="D24" s="26" t="str">
        <f>IFERROR(VLOOKUP($A24,'Species guilds'!$A$3:$F$301,4,FALSE),0)</f>
        <v>L</v>
      </c>
      <c r="E24" s="26" t="str">
        <f>IFERROR(VLOOKUP($A24,'Species guilds'!$A$3:$F$301,5,FALSE),0)</f>
        <v>IM</v>
      </c>
      <c r="F24" s="26">
        <f t="shared" si="0"/>
        <v>2</v>
      </c>
      <c r="G24" s="26">
        <f t="shared" si="1"/>
        <v>1</v>
      </c>
      <c r="H24" s="26">
        <f t="shared" si="2"/>
        <v>0</v>
      </c>
      <c r="I24" s="26">
        <f t="shared" si="3"/>
        <v>0</v>
      </c>
      <c r="J24" s="26">
        <f t="shared" si="4"/>
        <v>2</v>
      </c>
      <c r="K24" s="26">
        <f t="shared" si="5"/>
        <v>0</v>
      </c>
      <c r="L24" s="26">
        <f t="shared" si="6"/>
        <v>0</v>
      </c>
      <c r="M24" s="26">
        <f t="shared" si="7"/>
        <v>0</v>
      </c>
      <c r="N24" s="26">
        <f t="shared" si="8"/>
        <v>2</v>
      </c>
      <c r="O24" s="26">
        <f t="shared" si="9"/>
        <v>0</v>
      </c>
      <c r="P24" s="26">
        <f t="shared" si="10"/>
        <v>2</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35</v>
      </c>
      <c r="F54" s="9">
        <f>SUM(F21:F53)</f>
        <v>35</v>
      </c>
      <c r="G54" s="2"/>
      <c r="H54" s="9">
        <f>SUM(H21:H53)</f>
        <v>0</v>
      </c>
      <c r="I54" s="9">
        <f t="shared" ref="I54:Q54" si="14">SUM(I21:I53)</f>
        <v>33</v>
      </c>
      <c r="J54" s="9">
        <f t="shared" si="14"/>
        <v>2</v>
      </c>
      <c r="K54" s="9">
        <f t="shared" si="14"/>
        <v>25</v>
      </c>
      <c r="L54" s="9">
        <f t="shared" si="14"/>
        <v>0</v>
      </c>
      <c r="M54" s="9">
        <f t="shared" si="14"/>
        <v>0</v>
      </c>
      <c r="N54" s="9">
        <f t="shared" si="14"/>
        <v>10</v>
      </c>
      <c r="O54" s="9">
        <f t="shared" si="14"/>
        <v>0</v>
      </c>
      <c r="P54" s="9">
        <f t="shared" si="14"/>
        <v>12</v>
      </c>
      <c r="Q54" s="9">
        <f t="shared" si="14"/>
        <v>23</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B4" sqref="B4:C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Lisa Helmuth</v>
      </c>
      <c r="C4" s="181"/>
      <c r="D4" s="87"/>
      <c r="E4" s="65"/>
      <c r="F4" s="91" t="s">
        <v>836</v>
      </c>
      <c r="G4" s="85"/>
      <c r="H4" s="85"/>
      <c r="I4" s="85"/>
      <c r="J4" s="85"/>
      <c r="K4" s="85"/>
      <c r="L4" s="85"/>
      <c r="M4" s="85"/>
      <c r="N4" s="85"/>
      <c r="O4" s="85"/>
      <c r="P4" s="85"/>
    </row>
    <row r="5" spans="1:16" ht="15" x14ac:dyDescent="0.2">
      <c r="A5" s="65" t="s">
        <v>831</v>
      </c>
      <c r="B5" s="182">
        <f>'Enter field data'!B5</f>
        <v>42946</v>
      </c>
      <c r="C5" s="183"/>
      <c r="D5" s="87"/>
      <c r="E5" s="65"/>
      <c r="F5" s="92"/>
      <c r="G5" s="85" t="s">
        <v>875</v>
      </c>
      <c r="H5" s="85"/>
      <c r="I5" s="85"/>
      <c r="J5" s="85"/>
      <c r="K5" s="85"/>
      <c r="L5" s="85"/>
      <c r="M5" s="85"/>
      <c r="N5" s="85"/>
      <c r="O5" s="85"/>
      <c r="P5" s="85"/>
    </row>
    <row r="6" spans="1:16" ht="15" x14ac:dyDescent="0.2">
      <c r="A6" s="65" t="s">
        <v>830</v>
      </c>
      <c r="B6" s="182">
        <f>'Enter field data'!B6</f>
        <v>42234</v>
      </c>
      <c r="C6" s="183"/>
      <c r="D6" s="87"/>
      <c r="E6" s="65"/>
      <c r="F6" s="93"/>
      <c r="G6" s="85" t="s">
        <v>876</v>
      </c>
      <c r="H6" s="85"/>
      <c r="I6" s="85"/>
      <c r="J6" s="85"/>
      <c r="K6" s="85"/>
      <c r="L6" s="85"/>
      <c r="M6" s="85"/>
      <c r="N6" s="85"/>
      <c r="O6" s="85"/>
      <c r="P6" s="85"/>
    </row>
    <row r="7" spans="1:16" x14ac:dyDescent="0.2">
      <c r="A7" s="65" t="s">
        <v>869</v>
      </c>
      <c r="B7" s="180">
        <f>'Enter field data'!B7</f>
        <v>10044621</v>
      </c>
      <c r="C7" s="184"/>
      <c r="D7" s="87"/>
      <c r="E7" s="65"/>
      <c r="F7" s="65"/>
    </row>
    <row r="8" spans="1:16" x14ac:dyDescent="0.2">
      <c r="A8" s="65" t="s">
        <v>872</v>
      </c>
      <c r="B8" s="180">
        <f>'Enter field data'!B8</f>
        <v>0</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Dorns Creek</v>
      </c>
      <c r="C11" s="184"/>
      <c r="D11" s="87"/>
      <c r="E11" s="65"/>
      <c r="F11" s="94"/>
    </row>
    <row r="12" spans="1:16" x14ac:dyDescent="0.2">
      <c r="A12" s="65" t="s">
        <v>37</v>
      </c>
      <c r="B12" s="180">
        <f>'Enter field data'!B12</f>
        <v>0</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2410600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Cool-Warm Headwater</v>
      </c>
      <c r="E18" s="170"/>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Cool-Warm Headwater</v>
      </c>
      <c r="E29" s="170"/>
      <c r="H29" s="150"/>
      <c r="I29" s="102" t="s">
        <v>913</v>
      </c>
      <c r="L29" s="211" t="s">
        <v>24</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25</v>
      </c>
      <c r="E36" s="113" t="s">
        <v>12</v>
      </c>
      <c r="F36" s="114">
        <f>'Enter field data'!$O$54</f>
        <v>0</v>
      </c>
      <c r="H36" s="150"/>
      <c r="I36" s="110" t="s">
        <v>6</v>
      </c>
      <c r="J36" s="83">
        <f>'Enter field data'!$H$54</f>
        <v>0</v>
      </c>
      <c r="K36" s="111" t="s">
        <v>9</v>
      </c>
      <c r="L36" s="112">
        <f>'Enter field data'!$K$54</f>
        <v>25</v>
      </c>
      <c r="M36" s="113" t="s">
        <v>12</v>
      </c>
      <c r="N36" s="114">
        <f>'Enter field data'!$O$54</f>
        <v>0</v>
      </c>
      <c r="P36" s="110" t="s">
        <v>6</v>
      </c>
      <c r="Q36" s="83">
        <f>'Enter field data'!$H$54</f>
        <v>0</v>
      </c>
      <c r="R36" s="111" t="s">
        <v>9</v>
      </c>
      <c r="S36" s="112">
        <f>'Enter field data'!$K$54</f>
        <v>25</v>
      </c>
      <c r="T36" s="113" t="s">
        <v>12</v>
      </c>
      <c r="U36" s="114">
        <f>'Enter field data'!$O$54</f>
        <v>0</v>
      </c>
      <c r="W36" s="110" t="s">
        <v>6</v>
      </c>
      <c r="X36" s="83">
        <f>'Enter field data'!$H$54</f>
        <v>0</v>
      </c>
      <c r="Y36" s="111" t="s">
        <v>9</v>
      </c>
      <c r="Z36" s="112">
        <f>'Enter field data'!$K$54</f>
        <v>25</v>
      </c>
      <c r="AA36" s="113" t="s">
        <v>12</v>
      </c>
      <c r="AB36" s="114">
        <f>'Enter field data'!$O$54</f>
        <v>0</v>
      </c>
    </row>
    <row r="37" spans="1:28" x14ac:dyDescent="0.2">
      <c r="A37" s="110" t="s">
        <v>7</v>
      </c>
      <c r="B37" s="83">
        <f>'Enter field data'!$I$54</f>
        <v>33</v>
      </c>
      <c r="C37" s="111" t="s">
        <v>10</v>
      </c>
      <c r="D37" s="112">
        <f>'Enter field data'!$L$54</f>
        <v>0</v>
      </c>
      <c r="E37" s="113" t="s">
        <v>13</v>
      </c>
      <c r="F37" s="114">
        <f>'Enter field data'!$P$54</f>
        <v>12</v>
      </c>
      <c r="H37" s="150"/>
      <c r="I37" s="110" t="s">
        <v>7</v>
      </c>
      <c r="J37" s="83">
        <f>'Enter field data'!$I$54</f>
        <v>33</v>
      </c>
      <c r="K37" s="111" t="s">
        <v>10</v>
      </c>
      <c r="L37" s="112">
        <f>'Enter field data'!$L$54</f>
        <v>0</v>
      </c>
      <c r="M37" s="113" t="s">
        <v>13</v>
      </c>
      <c r="N37" s="114">
        <f>'Enter field data'!$P$54</f>
        <v>12</v>
      </c>
      <c r="P37" s="110" t="s">
        <v>7</v>
      </c>
      <c r="Q37" s="83">
        <f>'Enter field data'!$I$54</f>
        <v>33</v>
      </c>
      <c r="R37" s="111" t="s">
        <v>10</v>
      </c>
      <c r="S37" s="112">
        <f>'Enter field data'!$L$54</f>
        <v>0</v>
      </c>
      <c r="T37" s="113" t="s">
        <v>13</v>
      </c>
      <c r="U37" s="114">
        <f>'Enter field data'!$P$54</f>
        <v>12</v>
      </c>
      <c r="W37" s="110" t="s">
        <v>7</v>
      </c>
      <c r="X37" s="83">
        <f>'Enter field data'!$I$54</f>
        <v>33</v>
      </c>
      <c r="Y37" s="111" t="s">
        <v>10</v>
      </c>
      <c r="Z37" s="112">
        <f>'Enter field data'!$L$54</f>
        <v>0</v>
      </c>
      <c r="AA37" s="113" t="s">
        <v>13</v>
      </c>
      <c r="AB37" s="114">
        <f>'Enter field data'!$P$54</f>
        <v>12</v>
      </c>
    </row>
    <row r="38" spans="1:28" x14ac:dyDescent="0.2">
      <c r="A38" s="110" t="s">
        <v>8</v>
      </c>
      <c r="B38" s="83">
        <f>'Enter field data'!$J$54</f>
        <v>2</v>
      </c>
      <c r="C38" s="111" t="s">
        <v>11</v>
      </c>
      <c r="D38" s="112">
        <f>'Enter field data'!$N$54</f>
        <v>10</v>
      </c>
      <c r="E38" s="113" t="s">
        <v>14</v>
      </c>
      <c r="F38" s="114">
        <f>'Enter field data'!$Q$54</f>
        <v>23</v>
      </c>
      <c r="H38" s="150"/>
      <c r="I38" s="110" t="s">
        <v>8</v>
      </c>
      <c r="J38" s="83">
        <f>'Enter field data'!$J$54</f>
        <v>2</v>
      </c>
      <c r="K38" s="111" t="s">
        <v>11</v>
      </c>
      <c r="L38" s="112">
        <f>'Enter field data'!$N$54</f>
        <v>10</v>
      </c>
      <c r="M38" s="113" t="s">
        <v>14</v>
      </c>
      <c r="N38" s="114">
        <f>'Enter field data'!$Q$54</f>
        <v>23</v>
      </c>
      <c r="P38" s="110" t="s">
        <v>8</v>
      </c>
      <c r="Q38" s="83">
        <f>'Enter field data'!$J$54</f>
        <v>2</v>
      </c>
      <c r="R38" s="111" t="s">
        <v>11</v>
      </c>
      <c r="S38" s="112">
        <f>'Enter field data'!$N$54</f>
        <v>10</v>
      </c>
      <c r="T38" s="113" t="s">
        <v>14</v>
      </c>
      <c r="U38" s="114">
        <f>'Enter field data'!$Q$54</f>
        <v>23</v>
      </c>
      <c r="W38" s="110" t="s">
        <v>8</v>
      </c>
      <c r="X38" s="83">
        <f>'Enter field data'!$J$54</f>
        <v>2</v>
      </c>
      <c r="Y38" s="111" t="s">
        <v>11</v>
      </c>
      <c r="Z38" s="112">
        <f>'Enter field data'!$N$54</f>
        <v>10</v>
      </c>
      <c r="AA38" s="113" t="s">
        <v>14</v>
      </c>
      <c r="AB38" s="114">
        <f>'Enter field data'!$Q$54</f>
        <v>23</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0.94285714285714284</v>
      </c>
      <c r="C45" s="120">
        <f>VLOOKUP($D$29,'Expected guild %'!$A$5:$G$13,4,FALSE)</f>
        <v>0.25</v>
      </c>
      <c r="D45" s="120">
        <f>VLOOKUP($D$29,'Expected guild %'!$A$5:$G$13,5,FALSE)</f>
        <v>1</v>
      </c>
      <c r="E45" s="121" t="str">
        <f>IF(AND(C45&lt;=B45,B45&lt;= D45)=TRUE,"Y","N")</f>
        <v>Y</v>
      </c>
      <c r="F45" s="65"/>
      <c r="H45" s="150"/>
      <c r="I45" s="110" t="s">
        <v>7</v>
      </c>
      <c r="J45" s="119">
        <f>($B$37/'Enter field data'!$F$54)</f>
        <v>0.94285714285714284</v>
      </c>
      <c r="K45" s="120">
        <f>VLOOKUP(L$29,'Expected guild %'!$A$5:$G$13,4,FALSE)</f>
        <v>0.25</v>
      </c>
      <c r="L45" s="120">
        <f>VLOOKUP(L$29,'Expected guild %'!$A$5:$G$13,5,FALSE)</f>
        <v>1</v>
      </c>
      <c r="M45" s="121" t="str">
        <f>IF(AND(K45&lt;=J45,J45&lt;= L45)=TRUE,"Y","N")</f>
        <v>Y</v>
      </c>
      <c r="N45" s="65"/>
      <c r="P45" s="110" t="s">
        <v>7</v>
      </c>
      <c r="Q45" s="119">
        <f>($B$37/'Enter field data'!$F$54)</f>
        <v>0.94285714285714284</v>
      </c>
      <c r="R45" s="120" t="e">
        <f>VLOOKUP(S$29,'Expected guild %'!$A$5:$G$13,4,FALSE)</f>
        <v>#N/A</v>
      </c>
      <c r="S45" s="120" t="e">
        <f>VLOOKUP(S$29,'Expected guild %'!$A$5:$G$13,5,FALSE)</f>
        <v>#N/A</v>
      </c>
      <c r="T45" s="121" t="e">
        <f>IF(AND(R45&lt;=Q45,Q45&lt;= S45)=TRUE,"Y","N")</f>
        <v>#N/A</v>
      </c>
      <c r="U45" s="65"/>
      <c r="W45" s="110" t="s">
        <v>7</v>
      </c>
      <c r="X45" s="119">
        <f>($B$37/'Enter field data'!$F$54)</f>
        <v>0.94285714285714284</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5.7142857142857141E-2</v>
      </c>
      <c r="C46" s="120">
        <f>VLOOKUP($D$29,'Expected guild %'!$A$5:$G$13,6,FALSE)</f>
        <v>0</v>
      </c>
      <c r="D46" s="120">
        <f>VLOOKUP($D$29,'Expected guild %'!$A$5:$G$13,7,FALSE)</f>
        <v>0.75</v>
      </c>
      <c r="E46" s="121" t="str">
        <f>IF(AND(C46&lt;=B46,B46&lt;= D46)=TRUE,"Y","N")</f>
        <v>Y</v>
      </c>
      <c r="F46" s="65"/>
      <c r="H46" s="150"/>
      <c r="I46" s="110" t="s">
        <v>8</v>
      </c>
      <c r="J46" s="119">
        <f>($B$38/'Enter field data'!$F$54)</f>
        <v>5.7142857142857141E-2</v>
      </c>
      <c r="K46" s="120">
        <f>VLOOKUP(L$29,'Expected guild %'!$A$5:$G$13,6,FALSE)</f>
        <v>0</v>
      </c>
      <c r="L46" s="120">
        <f>VLOOKUP(L$29,'Expected guild %'!$A$5:$G$13,7,FALSE)</f>
        <v>0.75</v>
      </c>
      <c r="M46" s="121" t="str">
        <f>IF(AND(K46&lt;=J46,J46&lt;= L46)=TRUE,"Y","N")</f>
        <v>Y</v>
      </c>
      <c r="N46" s="65"/>
      <c r="P46" s="110" t="s">
        <v>8</v>
      </c>
      <c r="Q46" s="119">
        <f>($B$38/'Enter field data'!$F$54)</f>
        <v>5.7142857142857141E-2</v>
      </c>
      <c r="R46" s="120" t="e">
        <f>VLOOKUP(S$29,'Expected guild %'!$A$5:$G$13,6,FALSE)</f>
        <v>#N/A</v>
      </c>
      <c r="S46" s="120" t="e">
        <f>VLOOKUP(S$29,'Expected guild %'!$A$5:$G$13,7,FALSE)</f>
        <v>#N/A</v>
      </c>
      <c r="T46" s="121" t="e">
        <f>IF(AND(R46&lt;=Q46,Q46&lt;= S46)=TRUE,"Y","N")</f>
        <v>#N/A</v>
      </c>
      <c r="U46" s="65"/>
      <c r="W46" s="110" t="s">
        <v>8</v>
      </c>
      <c r="X46" s="119">
        <f>($B$38/'Enter field data'!$F$54)</f>
        <v>5.7142857142857141E-2</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0.7142857142857143</v>
      </c>
      <c r="C51" s="122">
        <f>VLOOKUP($D$29,'Expected guild %'!$A$19:$G$27,2,FALSE)</f>
        <v>0.5</v>
      </c>
      <c r="D51" s="120">
        <f>VLOOKUP($D$29,'Expected guild %'!$A$19:$G$27,3,FALSE)</f>
        <v>1</v>
      </c>
      <c r="E51" s="121" t="str">
        <f>IF(AND(C51&lt;=B51,B51&lt;= D51)=TRUE,"Y","N")</f>
        <v>Y</v>
      </c>
      <c r="F51" s="65"/>
      <c r="H51" s="150"/>
      <c r="I51" s="110" t="s">
        <v>9</v>
      </c>
      <c r="J51" s="120">
        <f>($D$36/'Enter field data'!$F$54)</f>
        <v>0.7142857142857143</v>
      </c>
      <c r="K51" s="122">
        <f>VLOOKUP(L$29,'Expected guild %'!$A$19:$G$27,2,FALSE)</f>
        <v>0</v>
      </c>
      <c r="L51" s="120">
        <f>VLOOKUP(L$29,'Expected guild %'!$A$19:$G$27,3,FALSE)</f>
        <v>0.5</v>
      </c>
      <c r="M51" s="121" t="str">
        <f>IF(AND(K51&lt;=J51,J51&lt;= L51)=TRUE,"Y","N")</f>
        <v>N</v>
      </c>
      <c r="N51" s="65"/>
      <c r="P51" s="110" t="s">
        <v>9</v>
      </c>
      <c r="Q51" s="120">
        <f>($D$36/'Enter field data'!$F$54)</f>
        <v>0.7142857142857143</v>
      </c>
      <c r="R51" s="122" t="e">
        <f>VLOOKUP(S$29,'Expected guild %'!$A$19:$G$27,2,FALSE)</f>
        <v>#N/A</v>
      </c>
      <c r="S51" s="120" t="e">
        <f>VLOOKUP(S$29,'Expected guild %'!$A$19:$G$27,3,FALSE)</f>
        <v>#N/A</v>
      </c>
      <c r="T51" s="121" t="e">
        <f>IF(AND(R51&lt;=Q51,Q51&lt;= S51)=TRUE,"Y","N")</f>
        <v>#N/A</v>
      </c>
      <c r="U51" s="65"/>
      <c r="W51" s="110" t="s">
        <v>9</v>
      </c>
      <c r="X51" s="120">
        <f>($D$36/'Enter field data'!$F$54)</f>
        <v>0.7142857142857143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0.5</v>
      </c>
      <c r="L52" s="120">
        <f>VLOOKUP(L$29,'Expected guild %'!$A$19:$G$27,5,FALSE)</f>
        <v>1</v>
      </c>
      <c r="M52" s="121" t="str">
        <f>IF(AND(K52&lt;=J52,J52&lt;= L52)=TRUE,"Y","N")</f>
        <v>N</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0.2857142857142857</v>
      </c>
      <c r="C53" s="122">
        <f>VLOOKUP($D$29,'Expected guild %'!$A$19:$G$27,6,FALSE)</f>
        <v>0</v>
      </c>
      <c r="D53" s="120">
        <f>VLOOKUP($D$29,'Expected guild %'!$A$19:$G$27,7,FALSE)</f>
        <v>0.1</v>
      </c>
      <c r="E53" s="121" t="str">
        <f>IF(AND(C53&lt;=B53,B53&lt;= D53)=TRUE,"Y","N")</f>
        <v>N</v>
      </c>
      <c r="F53" s="65"/>
      <c r="H53" s="150"/>
      <c r="I53" s="110" t="s">
        <v>11</v>
      </c>
      <c r="J53" s="120">
        <f>($D$38/'Enter field data'!$F$54)</f>
        <v>0.2857142857142857</v>
      </c>
      <c r="K53" s="122">
        <f>VLOOKUP(L$29,'Expected guild %'!$A$19:$G$27,6,FALSE)</f>
        <v>0</v>
      </c>
      <c r="L53" s="120">
        <f>VLOOKUP(L$29,'Expected guild %'!$A$19:$G$27,7,FALSE)</f>
        <v>0.5</v>
      </c>
      <c r="M53" s="121" t="str">
        <f>IF(AND(K53&lt;=J53,J53&lt;= L53)=TRUE,"Y","N")</f>
        <v>Y</v>
      </c>
      <c r="N53" s="65"/>
      <c r="P53" s="110" t="s">
        <v>11</v>
      </c>
      <c r="Q53" s="120">
        <f>($D$38/'Enter field data'!$F$54)</f>
        <v>0.2857142857142857</v>
      </c>
      <c r="R53" s="122" t="e">
        <f>VLOOKUP(S$29,'Expected guild %'!$A$19:$G$27,6,FALSE)</f>
        <v>#N/A</v>
      </c>
      <c r="S53" s="120" t="e">
        <f>VLOOKUP(S$29,'Expected guild %'!$A$19:$G$27,7,FALSE)</f>
        <v>#N/A</v>
      </c>
      <c r="T53" s="121" t="e">
        <f>IF(AND(R53&lt;=Q53,Q53&lt;= S53)=TRUE,"Y","N")</f>
        <v>#N/A</v>
      </c>
      <c r="U53" s="65"/>
      <c r="W53" s="110" t="s">
        <v>11</v>
      </c>
      <c r="X53" s="120">
        <f>($D$38/'Enter field data'!$F$54)</f>
        <v>0.2857142857142857</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0.34285714285714286</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0.65714285714285714</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42234</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20150818</v>
      </c>
    </row>
    <row r="5" spans="1:5" hidden="1" x14ac:dyDescent="0.25">
      <c r="A5" s="37"/>
      <c r="B5" s="37" t="s">
        <v>805</v>
      </c>
      <c r="C5" s="50" t="str">
        <f>CONCATENATE(YEAR(C1-30),IF(MONTH(C1-30)&lt;10,"0"&amp;MONTH(C1-30),MONTH(C1-30)),IF(DAY(C1-30)&lt;10,"0"&amp;DAY(C1-30),DAY(C1-30)))</f>
        <v>20150719</v>
      </c>
    </row>
    <row r="6" spans="1:5" hidden="1" x14ac:dyDescent="0.25">
      <c r="A6" s="37"/>
      <c r="B6" s="37" t="s">
        <v>806</v>
      </c>
      <c r="C6" s="50" t="str">
        <f>CONCATENATE(YEAR(C1-90),IF(MONTH(C1-90)&lt;10,"0"&amp;MONTH(C1-90),MONTH(C1-90)),IF(DAY(C1-90)&lt;10,"0"&amp;DAY(C1-90),DAY(C1-90)))</f>
        <v>20150520</v>
      </c>
    </row>
    <row r="7" spans="1:5" hidden="1" x14ac:dyDescent="0.25">
      <c r="A7" s="37"/>
      <c r="B7" s="37" t="s">
        <v>807</v>
      </c>
      <c r="C7" s="50" t="str">
        <f>CONCATENATE(YEAR(C1-365),IF(MONTH(C1-365)&lt;10,"0"&amp;MONTH(C1-365),MONTH(C1-365)),IF(DAY(C1-365)&lt;10,"0"&amp;DAY(C1-365),DAY(C1-365)))</f>
        <v>20140818</v>
      </c>
    </row>
    <row r="8" spans="1:5" hidden="1" x14ac:dyDescent="0.25">
      <c r="A8" s="37"/>
      <c r="B8" s="37" t="s">
        <v>808</v>
      </c>
      <c r="C8" s="50" t="str">
        <f>CONCATENATE(YEAR(C1-1460),IF(MONTH(C1-1460)&lt;10,"0"&amp;MONTH(C1-1460),MONTH(C1-1460)),IF(DAY(C1-1460)&lt;10,"0"&amp;DAY(C1-1460),DAY(C1-1460)))</f>
        <v>20110819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12</v>
      </c>
    </row>
    <row r="13" spans="1:5" hidden="1" x14ac:dyDescent="0.25">
      <c r="A13" s="37"/>
      <c r="B13" s="37" t="s">
        <v>813</v>
      </c>
      <c r="C13" s="50">
        <f>IF(MONTH($C$1)=8,DAY($C$1),0)+IF(MONTH($C$1)=9,30-DAY($C$1),0)</f>
        <v>18</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2017-07-30T14:53:54Z</dcterms:modified>
</cp:coreProperties>
</file>