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0995" windowHeight="6240" activeTab="3"/>
  </bookViews>
  <sheets>
    <sheet name="1st_Year" sheetId="1" r:id="rId1"/>
    <sheet name="2nd_Year" sheetId="2" r:id="rId2"/>
    <sheet name="3rd_Year" sheetId="3" r:id="rId3"/>
    <sheet name="4th_Year" sheetId="4" r:id="rId4"/>
    <sheet name="5th_Year" sheetId="5" r:id="rId5"/>
    <sheet name="6th_Year" sheetId="6" r:id="rId6"/>
    <sheet name="Grant_Total" sheetId="7" r:id="rId7"/>
  </sheets>
  <definedNames>
    <definedName name="_Order1" hidden="1">255</definedName>
    <definedName name="_Order2" hidden="1">255</definedName>
    <definedName name="_xlnm.Print_Area" localSheetId="0">'1st_Year'!$A$1:$S$51</definedName>
    <definedName name="_xlnm.Print_Area" localSheetId="2">'3rd_Year'!$A$1:$S$51</definedName>
    <definedName name="Print_Area_MI" localSheetId="0">'1st_Year'!$A$1:$S$51</definedName>
  </definedNames>
  <calcPr fullCalcOnLoad="1"/>
</workbook>
</file>

<file path=xl/sharedStrings.xml><?xml version="1.0" encoding="utf-8"?>
<sst xmlns="http://schemas.openxmlformats.org/spreadsheetml/2006/main" count="342" uniqueCount="115">
  <si>
    <t>Lake Name:</t>
  </si>
  <si>
    <t xml:space="preserve"> </t>
  </si>
  <si>
    <t>Review Period:</t>
  </si>
  <si>
    <t/>
  </si>
  <si>
    <t>County:</t>
  </si>
  <si>
    <t>Application Period:</t>
  </si>
  <si>
    <t>Applicant Name:</t>
  </si>
  <si>
    <t>Will the Lab be doing filtation for dissolved parameters? (Y/N)</t>
  </si>
  <si>
    <t>N</t>
  </si>
  <si>
    <t>Will field tests be recorded on the Lab Slip?</t>
  </si>
  <si>
    <t>Analyses/</t>
  </si>
  <si>
    <t>Price/</t>
  </si>
  <si>
    <t>Annual Cost</t>
  </si>
  <si>
    <t>Test ID</t>
  </si>
  <si>
    <t>Parameter</t>
  </si>
  <si>
    <t>RVU for Test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</si>
  <si>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</si>
  <si>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</si>
  <si>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</si>
  <si>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</si>
  <si>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</si>
  <si>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</si>
  <si>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</si>
  <si>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</si>
  <si>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</si>
  <si>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</si>
  <si>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</si>
  <si>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</si>
  <si>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Year</t>
  </si>
  <si>
    <t>Analysis</t>
  </si>
  <si>
    <t>For Parameter</t>
  </si>
  <si>
    <t>NUTRIENTS</t>
  </si>
  <si>
    <t>DISSOLVED REACTIVE P (ORTHO)</t>
  </si>
  <si>
    <t>TOTAL KJELDAHL NITROGEN</t>
  </si>
  <si>
    <t>OTHER WET CHEMISTRY</t>
  </si>
  <si>
    <t>AUTOMATED CONDUCTIVITY, PH &amp; ALKALINITY</t>
  </si>
  <si>
    <t>I120ALT</t>
  </si>
  <si>
    <t>ALKALINITY, GRAN TECHNIQUE</t>
  </si>
  <si>
    <t>COLOR, TRUE, PT-CO</t>
  </si>
  <si>
    <t>HARDNESS, CALCULATION METHOD (When Metals Done)</t>
  </si>
  <si>
    <t>HARDNESS, CALCULATION METHOD (When Metals not Done)</t>
  </si>
  <si>
    <t>SUSPENDED SOLIDS</t>
  </si>
  <si>
    <t>TOTAL DISSOLVED SOLIDS, 180 C</t>
  </si>
  <si>
    <t>TOTAL VOLATILE SOLIDS</t>
  </si>
  <si>
    <t>TURBIDITY</t>
  </si>
  <si>
    <t>FIELD TESTS (For each labslip with Field Testing Recorded)</t>
  </si>
  <si>
    <t>TOTAL METALS</t>
  </si>
  <si>
    <t>CALCIUM, TOTAL RECOVERABLE, ICP</t>
  </si>
  <si>
    <t>IRON,  TOTAL RECOVERABLE, ICP</t>
  </si>
  <si>
    <t>MAGNESIUM,  TOTAL RECOVERABLE, ICP</t>
  </si>
  <si>
    <t>MANGANESE,  TOTAL RECOVERABLE, ICP</t>
  </si>
  <si>
    <t>POTASSIUM,  TOTAL RECOVERABLE, ICP</t>
  </si>
  <si>
    <t>SODIUM,  TOTAL RECOVERABLE, ICP</t>
  </si>
  <si>
    <t>DIGESTION, TOT. RECOV. LOW LEVEL, ICP + ICP SETUP</t>
  </si>
  <si>
    <t>WATER BACTI</t>
  </si>
  <si>
    <t>Fecal Coliform (MFFCC)</t>
  </si>
  <si>
    <t>Grand Total =</t>
  </si>
  <si>
    <t>Number of Inorganic Lab Slips (Machine Determined)</t>
  </si>
  <si>
    <t>=Total Inorganic Lab Slips for Fiscal Year</t>
  </si>
  <si>
    <t>Number of Bacti Lab Slips (Machine Determined)</t>
  </si>
  <si>
    <t>=Total Bacti Lab Slips for Fiscal Year</t>
  </si>
  <si>
    <t>Number of Inorganic Lab Slips (from workplans)</t>
  </si>
  <si>
    <t>Grand Total</t>
  </si>
  <si>
    <t>Analyses</t>
  </si>
  <si>
    <t>Grant Cost</t>
  </si>
  <si>
    <t>For Grant</t>
  </si>
  <si>
    <t xml:space="preserve">First Year FY </t>
  </si>
  <si>
    <t>Second Year FY</t>
  </si>
  <si>
    <t>Thrid Year FY</t>
  </si>
  <si>
    <t>Fourth Year FY</t>
  </si>
  <si>
    <t>Fifth Year FY</t>
  </si>
  <si>
    <t>Sixth Year FY</t>
  </si>
  <si>
    <t>Waterbody ID#:</t>
  </si>
  <si>
    <t>LAKE/RIVER PLANNING GRANTS PROJECTED LAB COSTS</t>
  </si>
  <si>
    <t>E COLI ENZYMATIC SUBTRATE QUANTITRAY MPN</t>
  </si>
  <si>
    <t xml:space="preserve">CHLOROPHYLL A, FLUORESCENCE, FIELD FILTERED </t>
  </si>
  <si>
    <t>CHLOROPHYLL A, FLUORESCENCE LAB FILTERED</t>
  </si>
  <si>
    <t>Samples/Month</t>
  </si>
  <si>
    <t>Fiscal Year</t>
  </si>
  <si>
    <t>I530CLD</t>
  </si>
  <si>
    <t>TOTAL PHOSPHORUS</t>
  </si>
  <si>
    <t>I470DLT</t>
  </si>
  <si>
    <t>I440NLD</t>
  </si>
  <si>
    <t>AMMONIA-N, DISSOLVED</t>
  </si>
  <si>
    <t>I305ALT</t>
  </si>
  <si>
    <t>I240FLT</t>
  </si>
  <si>
    <t>CHLORIDE</t>
  </si>
  <si>
    <t>I290ALT</t>
  </si>
  <si>
    <t>I340IR1</t>
  </si>
  <si>
    <t>I600ELT</t>
  </si>
  <si>
    <t>I650JLT</t>
  </si>
  <si>
    <t>I640ILD</t>
  </si>
  <si>
    <t>I650JLV</t>
  </si>
  <si>
    <t>I660NLT</t>
  </si>
  <si>
    <t>I720BLT</t>
  </si>
  <si>
    <t>I230IR1</t>
  </si>
  <si>
    <t>I370IR1</t>
  </si>
  <si>
    <t>I390IR1</t>
  </si>
  <si>
    <t>I400IR1</t>
  </si>
  <si>
    <t>I540IR1</t>
  </si>
  <si>
    <t>I580IR1</t>
  </si>
  <si>
    <t>I322IR1</t>
  </si>
  <si>
    <t>B152ALT</t>
  </si>
  <si>
    <t>B200ALT</t>
  </si>
  <si>
    <t>I520PLT</t>
  </si>
  <si>
    <t>I251UNF</t>
  </si>
  <si>
    <t>I251UNL</t>
  </si>
  <si>
    <t>I460MLD</t>
  </si>
  <si>
    <t>NITRATE+NITRITE (AS N), DISS (EPA 353.2)</t>
  </si>
  <si>
    <t>SULFATE (EPA 375.2)</t>
  </si>
  <si>
    <t>I520PLD</t>
  </si>
  <si>
    <t>TOTAL DISS PHOSPHORUS (AS P), (EPA 365.1)</t>
  </si>
  <si>
    <t>Big Blake Lake</t>
  </si>
  <si>
    <t>Polk</t>
  </si>
  <si>
    <t>Polk County LWRD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</si>
</sst>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</numFmts>
  <fonts count="41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Helv"/>
      <family val="0"/>
    </font>
    <font>
      <b/>
      <sz val="10"/>
      <color indexed="10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gray125">
        <fgColor indexed="8"/>
      </patternFill>
    </fill>
    <fill>
      <patternFill patternType="lightGray">
        <fgColor indexed="8"/>
        <bgColor indexed="26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0" borderId="0">
      <alignment/>
      <protection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7" fontId="0" fillId="0" borderId="0" xfId="44" applyNumberForma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7" fontId="5" fillId="0" borderId="0" xfId="0" applyNumberFormat="1" applyFont="1" applyAlignment="1" applyProtection="1">
      <alignment horizontal="right"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7" fontId="0" fillId="34" borderId="0" xfId="0" applyNumberFormat="1" applyFill="1" applyAlignment="1" applyProtection="1">
      <alignment/>
      <protection/>
    </xf>
    <xf numFmtId="7" fontId="0" fillId="33" borderId="0" xfId="0" applyNumberFormat="1" applyFill="1" applyAlignment="1" applyProtection="1">
      <alignment/>
      <protection/>
    </xf>
    <xf numFmtId="7" fontId="5" fillId="0" borderId="0" xfId="0" applyNumberFormat="1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5" fontId="0" fillId="36" borderId="0" xfId="0" applyNumberFormat="1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7" fontId="0" fillId="34" borderId="10" xfId="0" applyNumberFormat="1" applyFill="1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/>
    </xf>
    <xf numFmtId="7" fontId="0" fillId="0" borderId="0" xfId="0" applyNumberFormat="1" applyAlignment="1">
      <alignment/>
    </xf>
    <xf numFmtId="9" fontId="0" fillId="0" borderId="0" xfId="58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 - Style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70"/>
  <sheetViews>
    <sheetView showGridLines="0" zoomScalePageLayoutView="0" workbookViewId="0" topLeftCell="A1">
      <selection activeCell="O12" sqref="O12"/>
    </sheetView>
  </sheetViews>
  <sheetFormatPr defaultColWidth="9.7109375" defaultRowHeight="12.75"/>
  <cols>
    <col min="1" max="1" width="13.7109375" style="0" customWidth="1"/>
    <col min="2" max="2" width="13.57421875" style="0" customWidth="1"/>
    <col min="3" max="3" width="39.28125" style="0" customWidth="1"/>
    <col min="4" max="4" width="6.7109375" style="0" customWidth="1"/>
    <col min="5" max="10" width="5.7109375" style="0" customWidth="1"/>
    <col min="11" max="11" width="7.7109375" style="0" customWidth="1"/>
    <col min="12" max="12" width="6.7109375" style="0" customWidth="1"/>
    <col min="13" max="15" width="5.7109375" style="0" customWidth="1"/>
    <col min="16" max="16" width="11.7109375" style="0" customWidth="1"/>
    <col min="17" max="17" width="9.7109375" style="0" customWidth="1"/>
    <col min="18" max="18" width="17.7109375" style="0" customWidth="1"/>
    <col min="19" max="21" width="9.7109375" style="0" customWidth="1"/>
    <col min="22" max="22" width="11.7109375" style="0" customWidth="1"/>
  </cols>
  <sheetData>
    <row r="1" spans="2:18" ht="12.75">
      <c r="B1" s="4" t="s">
        <v>73</v>
      </c>
      <c r="C1" s="2"/>
      <c r="F1" t="s">
        <v>66</v>
      </c>
      <c r="H1">
        <f>N7</f>
        <v>2013</v>
      </c>
      <c r="Q1" s="5"/>
      <c r="R1" s="5"/>
    </row>
    <row r="2" spans="3:18" ht="12.75">
      <c r="C2" s="2"/>
      <c r="K2" s="5"/>
      <c r="P2" s="18"/>
      <c r="Q2" s="5"/>
      <c r="R2" s="5"/>
    </row>
    <row r="3" spans="2:18" ht="12.75">
      <c r="B3" t="s">
        <v>0</v>
      </c>
      <c r="C3" s="17" t="s">
        <v>112</v>
      </c>
      <c r="G3" t="s">
        <v>2</v>
      </c>
      <c r="J3" s="17" t="s">
        <v>3</v>
      </c>
      <c r="Q3" s="5"/>
      <c r="R3" s="5"/>
    </row>
    <row r="4" spans="2:18" ht="12.75">
      <c r="B4" t="s">
        <v>72</v>
      </c>
      <c r="C4" s="17" t="s">
        <v>1</v>
      </c>
      <c r="G4" t="s">
        <v>5</v>
      </c>
      <c r="J4" s="17" t="s">
        <v>3</v>
      </c>
      <c r="Q4" s="5"/>
      <c r="R4" s="5"/>
    </row>
    <row r="5" spans="2:18" ht="12.75">
      <c r="B5" t="s">
        <v>4</v>
      </c>
      <c r="C5" s="17" t="s">
        <v>113</v>
      </c>
      <c r="Q5" s="5"/>
      <c r="R5" s="5"/>
    </row>
    <row r="6" spans="2:18" ht="12.75">
      <c r="B6" t="s">
        <v>6</v>
      </c>
      <c r="C6" s="17" t="s">
        <v>114</v>
      </c>
      <c r="Q6" s="5"/>
      <c r="R6" s="5"/>
    </row>
    <row r="7" spans="2:18" ht="12.75">
      <c r="B7" t="s">
        <v>7</v>
      </c>
      <c r="C7" s="2"/>
      <c r="D7" s="16" t="s">
        <v>8</v>
      </c>
      <c r="E7" s="19">
        <v>2012</v>
      </c>
      <c r="N7" s="19">
        <f>E7+1</f>
        <v>2013</v>
      </c>
      <c r="Q7" s="5"/>
      <c r="R7" s="5"/>
    </row>
    <row r="8" spans="2:18" ht="12.75">
      <c r="B8" t="s">
        <v>9</v>
      </c>
      <c r="C8" s="2"/>
      <c r="D8" s="17" t="s">
        <v>8</v>
      </c>
      <c r="Q8" s="5"/>
      <c r="R8" s="5"/>
    </row>
    <row r="9" spans="2:18" ht="12.75">
      <c r="B9" s="4"/>
      <c r="C9" s="6"/>
      <c r="D9" s="4"/>
      <c r="E9" s="4"/>
      <c r="F9" s="4"/>
      <c r="G9" s="4" t="s">
        <v>77</v>
      </c>
      <c r="I9" s="4"/>
      <c r="J9" s="4"/>
      <c r="K9" s="4"/>
      <c r="L9" s="4"/>
      <c r="M9" s="4"/>
      <c r="N9" s="4"/>
      <c r="O9" s="4"/>
      <c r="P9" s="8" t="s">
        <v>10</v>
      </c>
      <c r="Q9" s="9" t="s">
        <v>11</v>
      </c>
      <c r="R9" s="9" t="s">
        <v>12</v>
      </c>
    </row>
    <row r="10" spans="1:21" ht="12.75">
      <c r="A10" t="s">
        <v>13</v>
      </c>
      <c r="B10" s="4" t="s">
        <v>14</v>
      </c>
      <c r="C10" s="6"/>
      <c r="D10" s="4" t="s">
        <v>16</v>
      </c>
      <c r="E10" s="4" t="s">
        <v>17</v>
      </c>
      <c r="F10" s="4" t="s">
        <v>18</v>
      </c>
      <c r="G10" s="4" t="s">
        <v>19</v>
      </c>
      <c r="H10" s="4" t="s">
        <v>20</v>
      </c>
      <c r="I10" s="4" t="s">
        <v>21</v>
      </c>
      <c r="J10" s="4" t="s">
        <v>22</v>
      </c>
      <c r="K10" s="4" t="s">
        <v>23</v>
      </c>
      <c r="L10" s="4" t="s">
        <v>24</v>
      </c>
      <c r="M10" s="4" t="s">
        <v>25</v>
      </c>
      <c r="N10" s="4" t="s">
        <v>26</v>
      </c>
      <c r="O10" s="4" t="s">
        <v>27</v>
      </c>
      <c r="P10" s="8" t="s">
        <v>78</v>
      </c>
      <c r="Q10" s="9" t="s">
        <v>29</v>
      </c>
      <c r="R10" s="9" t="s">
        <v>30</v>
      </c>
      <c r="U10" s="4"/>
    </row>
    <row r="11" spans="2:18" ht="12.75">
      <c r="B11" s="4" t="s">
        <v>31</v>
      </c>
      <c r="C11" s="2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22" ht="12.75">
      <c r="A12" s="20" t="s">
        <v>79</v>
      </c>
      <c r="B12" s="20" t="s">
        <v>32</v>
      </c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>
        <v>1</v>
      </c>
      <c r="N12" s="21">
        <v>5</v>
      </c>
      <c r="O12" s="21">
        <v>5</v>
      </c>
      <c r="P12" s="22">
        <f aca="true" t="shared" si="0" ref="P12:P17">(SUM(D12:O12))</f>
        <v>11</v>
      </c>
      <c r="Q12" s="23">
        <v>16.67</v>
      </c>
      <c r="R12" s="23">
        <f aca="true" t="shared" si="1" ref="R12:R17">P12*Q12</f>
        <v>183.37</v>
      </c>
      <c r="U12" s="26"/>
      <c r="V12" s="27"/>
    </row>
    <row r="13" spans="1:22" ht="12.75">
      <c r="A13" s="20" t="s">
        <v>104</v>
      </c>
      <c r="B13" s="20" t="s">
        <v>80</v>
      </c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>
        <v>1</v>
      </c>
      <c r="N13" s="21">
        <v>5</v>
      </c>
      <c r="O13" s="21">
        <v>5</v>
      </c>
      <c r="P13" s="22">
        <f t="shared" si="0"/>
        <v>11</v>
      </c>
      <c r="Q13" s="23">
        <v>23.6</v>
      </c>
      <c r="R13" s="23">
        <f t="shared" si="1"/>
        <v>259.6</v>
      </c>
      <c r="U13" s="26"/>
      <c r="V13" s="27"/>
    </row>
    <row r="14" spans="1:22" ht="12.75">
      <c r="A14" t="s">
        <v>110</v>
      </c>
      <c r="B14" t="s">
        <v>111</v>
      </c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2">
        <f t="shared" si="0"/>
        <v>0</v>
      </c>
      <c r="Q14" s="23">
        <v>23.6</v>
      </c>
      <c r="R14" s="23">
        <f t="shared" si="1"/>
        <v>0</v>
      </c>
      <c r="U14" s="26"/>
      <c r="V14" s="27"/>
    </row>
    <row r="15" spans="1:22" ht="12.75">
      <c r="A15" s="20" t="s">
        <v>81</v>
      </c>
      <c r="B15" s="20" t="s">
        <v>33</v>
      </c>
      <c r="C15" s="24"/>
      <c r="D15" s="21"/>
      <c r="E15" s="21"/>
      <c r="F15" s="21"/>
      <c r="G15" s="21"/>
      <c r="H15" s="21"/>
      <c r="I15" s="21"/>
      <c r="J15" s="21"/>
      <c r="K15" s="21"/>
      <c r="L15" s="21"/>
      <c r="M15" s="21">
        <v>1</v>
      </c>
      <c r="N15" s="21">
        <v>4</v>
      </c>
      <c r="O15" s="21">
        <v>4</v>
      </c>
      <c r="P15" s="22">
        <f t="shared" si="0"/>
        <v>9</v>
      </c>
      <c r="Q15" s="23">
        <v>32.99</v>
      </c>
      <c r="R15" s="23">
        <f t="shared" si="1"/>
        <v>296.91</v>
      </c>
      <c r="U15" s="26"/>
      <c r="V15" s="27"/>
    </row>
    <row r="16" spans="1:22" ht="12.75">
      <c r="A16" t="s">
        <v>107</v>
      </c>
      <c r="B16" t="s">
        <v>108</v>
      </c>
      <c r="C16" s="24"/>
      <c r="D16" s="21"/>
      <c r="E16" s="21"/>
      <c r="F16" s="21"/>
      <c r="G16" s="21"/>
      <c r="H16" s="21"/>
      <c r="I16" s="21"/>
      <c r="J16" s="21"/>
      <c r="K16" s="21"/>
      <c r="L16" s="21"/>
      <c r="M16" s="21">
        <v>1</v>
      </c>
      <c r="N16" s="21">
        <v>4</v>
      </c>
      <c r="O16" s="21">
        <v>4</v>
      </c>
      <c r="P16" s="22">
        <f t="shared" si="0"/>
        <v>9</v>
      </c>
      <c r="Q16" s="23">
        <v>27</v>
      </c>
      <c r="R16" s="23">
        <f t="shared" si="1"/>
        <v>243</v>
      </c>
      <c r="U16" s="26"/>
      <c r="V16" s="27"/>
    </row>
    <row r="17" spans="1:22" ht="12.75">
      <c r="A17" s="20" t="s">
        <v>82</v>
      </c>
      <c r="B17" s="20" t="s">
        <v>83</v>
      </c>
      <c r="C17" s="24"/>
      <c r="D17" s="21"/>
      <c r="E17" s="21"/>
      <c r="F17" s="21"/>
      <c r="G17" s="21"/>
      <c r="H17" s="21"/>
      <c r="I17" s="21"/>
      <c r="J17" s="21"/>
      <c r="K17" s="21"/>
      <c r="L17" s="21"/>
      <c r="M17" s="21">
        <v>1</v>
      </c>
      <c r="N17" s="21">
        <v>4</v>
      </c>
      <c r="O17" s="21">
        <v>4</v>
      </c>
      <c r="P17" s="22">
        <f t="shared" si="0"/>
        <v>9</v>
      </c>
      <c r="Q17" s="23">
        <v>25.89</v>
      </c>
      <c r="R17" s="23">
        <f t="shared" si="1"/>
        <v>233.01</v>
      </c>
      <c r="U17" s="26"/>
      <c r="V17" s="27"/>
    </row>
    <row r="18" spans="1:22" ht="12.75">
      <c r="A18" s="20"/>
      <c r="B18" s="4" t="s">
        <v>34</v>
      </c>
      <c r="C18" s="2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U18" s="26"/>
      <c r="V18" s="27"/>
    </row>
    <row r="19" spans="1:22" ht="12.75">
      <c r="A19" s="20" t="s">
        <v>84</v>
      </c>
      <c r="B19" s="20" t="s">
        <v>35</v>
      </c>
      <c r="C19" s="24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>
        <f aca="true" t="shared" si="2" ref="P19:P32">(SUM(D19:O19))</f>
        <v>0</v>
      </c>
      <c r="Q19" s="23">
        <v>22</v>
      </c>
      <c r="R19" s="23">
        <f aca="true" t="shared" si="3" ref="R19:R32">P19*Q19</f>
        <v>0</v>
      </c>
      <c r="U19" s="26"/>
      <c r="V19" s="27"/>
    </row>
    <row r="20" spans="1:22" ht="12.75">
      <c r="A20" s="20" t="s">
        <v>36</v>
      </c>
      <c r="B20" s="20" t="s">
        <v>37</v>
      </c>
      <c r="C20" s="24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2">
        <f t="shared" si="2"/>
        <v>0</v>
      </c>
      <c r="Q20" s="23">
        <v>54</v>
      </c>
      <c r="R20" s="23">
        <f t="shared" si="3"/>
        <v>0</v>
      </c>
      <c r="U20" s="26"/>
      <c r="V20" s="27"/>
    </row>
    <row r="21" spans="1:22" ht="12.75">
      <c r="A21" s="20" t="s">
        <v>85</v>
      </c>
      <c r="B21" s="28" t="s">
        <v>86</v>
      </c>
      <c r="C21" s="29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2">
        <f t="shared" si="2"/>
        <v>0</v>
      </c>
      <c r="Q21" s="23">
        <v>20</v>
      </c>
      <c r="R21" s="23">
        <f t="shared" si="3"/>
        <v>0</v>
      </c>
      <c r="U21" s="26"/>
      <c r="V21" s="27"/>
    </row>
    <row r="22" spans="1:22" ht="12.75">
      <c r="A22" s="20" t="s">
        <v>105</v>
      </c>
      <c r="B22" s="20" t="s">
        <v>75</v>
      </c>
      <c r="C22" s="24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2">
        <f t="shared" si="2"/>
        <v>0</v>
      </c>
      <c r="Q22" s="23">
        <v>23.28</v>
      </c>
      <c r="R22" s="23">
        <f t="shared" si="3"/>
        <v>0</v>
      </c>
      <c r="U22" s="26"/>
      <c r="V22" s="27"/>
    </row>
    <row r="23" spans="1:22" ht="12.75">
      <c r="A23" s="20" t="s">
        <v>106</v>
      </c>
      <c r="B23" s="20" t="s">
        <v>76</v>
      </c>
      <c r="C23" s="24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>
        <v>1</v>
      </c>
      <c r="O23" s="21">
        <v>1</v>
      </c>
      <c r="P23" s="22">
        <f t="shared" si="2"/>
        <v>2</v>
      </c>
      <c r="Q23" s="23">
        <v>24.52</v>
      </c>
      <c r="R23" s="23">
        <f t="shared" si="3"/>
        <v>49.04</v>
      </c>
      <c r="U23" s="26"/>
      <c r="V23" s="27"/>
    </row>
    <row r="24" spans="1:22" ht="12.75">
      <c r="A24" s="20" t="s">
        <v>87</v>
      </c>
      <c r="B24" s="20" t="s">
        <v>38</v>
      </c>
      <c r="C24" s="24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2">
        <f t="shared" si="2"/>
        <v>0</v>
      </c>
      <c r="Q24" s="23">
        <v>25</v>
      </c>
      <c r="R24" s="23">
        <f t="shared" si="3"/>
        <v>0</v>
      </c>
      <c r="U24" s="26"/>
      <c r="V24" s="27"/>
    </row>
    <row r="25" spans="1:22" ht="12.75">
      <c r="A25" s="20" t="s">
        <v>88</v>
      </c>
      <c r="B25" s="20" t="s">
        <v>39</v>
      </c>
      <c r="C25" s="24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2">
        <f t="shared" si="2"/>
        <v>0</v>
      </c>
      <c r="Q25" s="23">
        <v>5.37</v>
      </c>
      <c r="R25" s="23">
        <f t="shared" si="3"/>
        <v>0</v>
      </c>
      <c r="U25" s="26"/>
      <c r="V25" s="27"/>
    </row>
    <row r="26" spans="1:22" ht="12.75">
      <c r="A26" s="20"/>
      <c r="B26" s="20" t="s">
        <v>40</v>
      </c>
      <c r="C26" s="2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2">
        <f t="shared" si="2"/>
        <v>0</v>
      </c>
      <c r="Q26" s="23">
        <v>52.82</v>
      </c>
      <c r="R26" s="23">
        <f t="shared" si="3"/>
        <v>0</v>
      </c>
      <c r="U26" s="26"/>
      <c r="V26" s="27"/>
    </row>
    <row r="27" spans="1:22" ht="12.75">
      <c r="A27" t="s">
        <v>89</v>
      </c>
      <c r="B27" t="s">
        <v>109</v>
      </c>
      <c r="C27" s="24"/>
      <c r="D27" s="21" t="s">
        <v>1</v>
      </c>
      <c r="E27" s="21"/>
      <c r="F27" s="21" t="s">
        <v>1</v>
      </c>
      <c r="G27" s="21"/>
      <c r="H27" s="21"/>
      <c r="I27" s="21"/>
      <c r="J27" s="21"/>
      <c r="K27" s="21"/>
      <c r="L27" s="21"/>
      <c r="M27" s="21">
        <v>1</v>
      </c>
      <c r="N27" s="21">
        <v>1</v>
      </c>
      <c r="O27" s="21">
        <v>1</v>
      </c>
      <c r="P27" s="22">
        <f t="shared" si="2"/>
        <v>3</v>
      </c>
      <c r="Q27" s="23">
        <v>26</v>
      </c>
      <c r="R27" s="23">
        <f t="shared" si="3"/>
        <v>78</v>
      </c>
      <c r="U27" s="26"/>
      <c r="V27" s="27"/>
    </row>
    <row r="28" spans="1:22" ht="12.75">
      <c r="A28" s="20" t="s">
        <v>90</v>
      </c>
      <c r="B28" s="20" t="s">
        <v>41</v>
      </c>
      <c r="C28" s="24"/>
      <c r="D28" s="21"/>
      <c r="E28" s="21"/>
      <c r="F28" s="21"/>
      <c r="G28" s="21"/>
      <c r="H28" s="21"/>
      <c r="I28" s="21"/>
      <c r="J28" s="21"/>
      <c r="K28" s="21"/>
      <c r="L28" s="21"/>
      <c r="M28" s="21">
        <v>1</v>
      </c>
      <c r="N28" s="21">
        <v>4</v>
      </c>
      <c r="O28" s="21">
        <v>4</v>
      </c>
      <c r="P28" s="22">
        <f t="shared" si="2"/>
        <v>9</v>
      </c>
      <c r="Q28" s="23">
        <v>18.8</v>
      </c>
      <c r="R28" s="23">
        <f t="shared" si="3"/>
        <v>169.20000000000002</v>
      </c>
      <c r="U28" s="26"/>
      <c r="V28" s="27"/>
    </row>
    <row r="29" spans="1:22" ht="12.75">
      <c r="A29" s="20" t="s">
        <v>91</v>
      </c>
      <c r="B29" s="20" t="s">
        <v>42</v>
      </c>
      <c r="C29" s="24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2">
        <f t="shared" si="2"/>
        <v>0</v>
      </c>
      <c r="Q29" s="23">
        <v>17.13</v>
      </c>
      <c r="R29" s="23">
        <f t="shared" si="3"/>
        <v>0</v>
      </c>
      <c r="U29" s="26"/>
      <c r="V29" s="27"/>
    </row>
    <row r="30" spans="1:22" ht="12.75">
      <c r="A30" s="20" t="s">
        <v>92</v>
      </c>
      <c r="B30" s="20" t="s">
        <v>43</v>
      </c>
      <c r="C30" s="24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2">
        <f t="shared" si="2"/>
        <v>0</v>
      </c>
      <c r="Q30" s="23">
        <v>10.03</v>
      </c>
      <c r="R30" s="23">
        <f t="shared" si="3"/>
        <v>0</v>
      </c>
      <c r="U30" s="26"/>
      <c r="V30" s="27"/>
    </row>
    <row r="31" spans="1:22" ht="12.75">
      <c r="A31" s="20" t="s">
        <v>93</v>
      </c>
      <c r="B31" s="28" t="s">
        <v>44</v>
      </c>
      <c r="C31" s="29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2">
        <f t="shared" si="2"/>
        <v>0</v>
      </c>
      <c r="Q31" s="23">
        <v>10</v>
      </c>
      <c r="R31" s="23">
        <f t="shared" si="3"/>
        <v>0</v>
      </c>
      <c r="U31" s="26"/>
      <c r="V31" s="27"/>
    </row>
    <row r="32" spans="1:22" ht="12.75">
      <c r="A32" s="20" t="s">
        <v>94</v>
      </c>
      <c r="B32" s="20" t="s">
        <v>45</v>
      </c>
      <c r="C32" s="24"/>
      <c r="D32" s="22">
        <f aca="true" t="shared" si="4" ref="D32:O32">IF($D$8="Y",MAXA(D12:D31),"")</f>
      </c>
      <c r="E32" s="22">
        <f t="shared" si="4"/>
      </c>
      <c r="F32" s="22">
        <f t="shared" si="4"/>
      </c>
      <c r="G32" s="22">
        <f t="shared" si="4"/>
      </c>
      <c r="H32" s="22">
        <f t="shared" si="4"/>
      </c>
      <c r="I32" s="22">
        <f t="shared" si="4"/>
      </c>
      <c r="J32" s="22">
        <f t="shared" si="4"/>
      </c>
      <c r="K32" s="22">
        <f t="shared" si="4"/>
      </c>
      <c r="L32" s="22">
        <f t="shared" si="4"/>
      </c>
      <c r="M32" s="22">
        <f t="shared" si="4"/>
      </c>
      <c r="N32" s="22">
        <f t="shared" si="4"/>
      </c>
      <c r="O32" s="22">
        <f t="shared" si="4"/>
      </c>
      <c r="P32" s="22">
        <f t="shared" si="2"/>
        <v>0</v>
      </c>
      <c r="Q32" s="23">
        <v>6.36</v>
      </c>
      <c r="R32" s="23">
        <f t="shared" si="3"/>
        <v>0</v>
      </c>
      <c r="U32" s="26"/>
      <c r="V32" s="27"/>
    </row>
    <row r="33" spans="1:22" ht="12.75">
      <c r="A33" s="20"/>
      <c r="B33" s="4" t="s">
        <v>46</v>
      </c>
      <c r="C33" s="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U33" s="26"/>
      <c r="V33" s="27"/>
    </row>
    <row r="34" spans="1:22" ht="12.75">
      <c r="A34" s="20" t="s">
        <v>95</v>
      </c>
      <c r="B34" s="20" t="s">
        <v>47</v>
      </c>
      <c r="C34" s="24"/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2">
        <f aca="true" t="shared" si="5" ref="P34:P40">(SUM(D34:O34))</f>
        <v>0</v>
      </c>
      <c r="Q34" s="23">
        <v>13</v>
      </c>
      <c r="R34" s="23">
        <f aca="true" t="shared" si="6" ref="R34:R40">P34*Q34</f>
        <v>0</v>
      </c>
      <c r="U34" s="26"/>
      <c r="V34" s="27"/>
    </row>
    <row r="35" spans="1:22" ht="12.75">
      <c r="A35" s="20" t="s">
        <v>96</v>
      </c>
      <c r="B35" s="20" t="s">
        <v>48</v>
      </c>
      <c r="C35" s="24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2">
        <f t="shared" si="5"/>
        <v>0</v>
      </c>
      <c r="Q35" s="23">
        <v>13</v>
      </c>
      <c r="R35" s="23">
        <f t="shared" si="6"/>
        <v>0</v>
      </c>
      <c r="U35" s="26"/>
      <c r="V35" s="27"/>
    </row>
    <row r="36" spans="1:22" ht="12.75">
      <c r="A36" s="20" t="s">
        <v>97</v>
      </c>
      <c r="B36" s="20" t="s">
        <v>49</v>
      </c>
      <c r="C36" s="24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2">
        <f t="shared" si="5"/>
        <v>0</v>
      </c>
      <c r="Q36" s="23">
        <v>13</v>
      </c>
      <c r="R36" s="23">
        <f t="shared" si="6"/>
        <v>0</v>
      </c>
      <c r="U36" s="26"/>
      <c r="V36" s="27"/>
    </row>
    <row r="37" spans="1:22" ht="12.75">
      <c r="A37" s="20" t="s">
        <v>98</v>
      </c>
      <c r="B37" s="20" t="s">
        <v>50</v>
      </c>
      <c r="C37" s="24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2">
        <f t="shared" si="5"/>
        <v>0</v>
      </c>
      <c r="Q37" s="23">
        <v>13</v>
      </c>
      <c r="R37" s="23">
        <f t="shared" si="6"/>
        <v>0</v>
      </c>
      <c r="U37" s="26"/>
      <c r="V37" s="27"/>
    </row>
    <row r="38" spans="1:22" ht="12.75">
      <c r="A38" s="20" t="s">
        <v>99</v>
      </c>
      <c r="B38" s="20" t="s">
        <v>51</v>
      </c>
      <c r="C38" s="24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2">
        <f t="shared" si="5"/>
        <v>0</v>
      </c>
      <c r="Q38" s="23">
        <v>13</v>
      </c>
      <c r="R38" s="23">
        <f t="shared" si="6"/>
        <v>0</v>
      </c>
      <c r="U38" s="26"/>
      <c r="V38" s="27"/>
    </row>
    <row r="39" spans="1:22" ht="12.75">
      <c r="A39" s="20" t="s">
        <v>100</v>
      </c>
      <c r="B39" s="20" t="s">
        <v>52</v>
      </c>
      <c r="C39" s="24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2">
        <f t="shared" si="5"/>
        <v>0</v>
      </c>
      <c r="Q39" s="23">
        <v>13</v>
      </c>
      <c r="R39" s="23">
        <f t="shared" si="6"/>
        <v>0</v>
      </c>
      <c r="U39" s="26"/>
      <c r="V39" s="27"/>
    </row>
    <row r="40" spans="1:22" ht="12.75">
      <c r="A40" s="20" t="s">
        <v>101</v>
      </c>
      <c r="B40" s="20" t="s">
        <v>53</v>
      </c>
      <c r="C40" s="24"/>
      <c r="D40" s="22">
        <f aca="true" t="shared" si="7" ref="D40:O40">MAXA(D34:D39)</f>
        <v>0</v>
      </c>
      <c r="E40" s="22">
        <f t="shared" si="7"/>
        <v>0</v>
      </c>
      <c r="F40" s="22">
        <f t="shared" si="7"/>
        <v>0</v>
      </c>
      <c r="G40" s="22">
        <f t="shared" si="7"/>
        <v>0</v>
      </c>
      <c r="H40" s="22">
        <f t="shared" si="7"/>
        <v>0</v>
      </c>
      <c r="I40" s="22">
        <f t="shared" si="7"/>
        <v>0</v>
      </c>
      <c r="J40" s="22">
        <f t="shared" si="7"/>
        <v>0</v>
      </c>
      <c r="K40" s="22">
        <f t="shared" si="7"/>
        <v>0</v>
      </c>
      <c r="L40" s="22">
        <f t="shared" si="7"/>
        <v>0</v>
      </c>
      <c r="M40" s="22">
        <f t="shared" si="7"/>
        <v>0</v>
      </c>
      <c r="N40" s="22">
        <f t="shared" si="7"/>
        <v>0</v>
      </c>
      <c r="O40" s="22">
        <f t="shared" si="7"/>
        <v>0</v>
      </c>
      <c r="P40" s="22">
        <f t="shared" si="5"/>
        <v>0</v>
      </c>
      <c r="Q40" s="23">
        <v>21.45</v>
      </c>
      <c r="R40" s="23">
        <f t="shared" si="6"/>
        <v>0</v>
      </c>
      <c r="U40" s="26"/>
      <c r="V40" s="27"/>
    </row>
    <row r="41" spans="1:22" ht="12.75">
      <c r="A41" s="20"/>
      <c r="B41" s="4" t="s">
        <v>54</v>
      </c>
      <c r="C41" s="2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3"/>
      <c r="R41" s="13"/>
      <c r="U41" s="26"/>
      <c r="V41" s="27"/>
    </row>
    <row r="42" spans="1:22" ht="12.75">
      <c r="A42" s="20" t="s">
        <v>102</v>
      </c>
      <c r="B42" s="20" t="s">
        <v>74</v>
      </c>
      <c r="C42" s="24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2">
        <f>(SUM(D42:O42))</f>
        <v>0</v>
      </c>
      <c r="Q42" s="23">
        <v>37</v>
      </c>
      <c r="R42" s="23">
        <f>P42*Q42</f>
        <v>0</v>
      </c>
      <c r="U42" s="26"/>
      <c r="V42" s="27"/>
    </row>
    <row r="43" spans="1:22" ht="12.75">
      <c r="A43" s="20" t="s">
        <v>103</v>
      </c>
      <c r="B43" s="20" t="s">
        <v>55</v>
      </c>
      <c r="C43" s="24"/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2">
        <f>(SUM(D43:O43))</f>
        <v>0</v>
      </c>
      <c r="Q43" s="23">
        <v>37</v>
      </c>
      <c r="R43" s="23">
        <f>P43*Q43</f>
        <v>0</v>
      </c>
      <c r="U43" s="26"/>
      <c r="V43" s="27"/>
    </row>
    <row r="44" spans="3:18" ht="12.75">
      <c r="C44" s="2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3"/>
      <c r="R44" s="13"/>
    </row>
    <row r="45" spans="3:18" ht="12.75">
      <c r="C45" s="2"/>
      <c r="P45" s="4" t="s">
        <v>56</v>
      </c>
      <c r="Q45" s="5"/>
      <c r="R45" s="12">
        <f>SUM(R12:R43)</f>
        <v>1512.13</v>
      </c>
    </row>
    <row r="46" spans="3:18" ht="12.75">
      <c r="C46" s="2"/>
      <c r="Q46" s="5"/>
      <c r="R46" s="5"/>
    </row>
    <row r="47" spans="2:18" ht="12.75">
      <c r="B47" t="s">
        <v>57</v>
      </c>
      <c r="C47" s="2"/>
      <c r="D47" s="11">
        <f aca="true" t="shared" si="8" ref="D47:O47">MAXA(D12:D40)</f>
        <v>0</v>
      </c>
      <c r="E47" s="11">
        <f t="shared" si="8"/>
        <v>0</v>
      </c>
      <c r="F47" s="11">
        <f t="shared" si="8"/>
        <v>0</v>
      </c>
      <c r="G47" s="11">
        <f t="shared" si="8"/>
        <v>0</v>
      </c>
      <c r="H47" s="11">
        <f t="shared" si="8"/>
        <v>0</v>
      </c>
      <c r="I47" s="11">
        <f t="shared" si="8"/>
        <v>0</v>
      </c>
      <c r="J47" s="11">
        <f t="shared" si="8"/>
        <v>0</v>
      </c>
      <c r="K47" s="11">
        <f t="shared" si="8"/>
        <v>0</v>
      </c>
      <c r="L47" s="11">
        <f t="shared" si="8"/>
        <v>0</v>
      </c>
      <c r="M47" s="11">
        <f t="shared" si="8"/>
        <v>1</v>
      </c>
      <c r="N47" s="11">
        <f t="shared" si="8"/>
        <v>5</v>
      </c>
      <c r="O47" s="11">
        <f t="shared" si="8"/>
        <v>5</v>
      </c>
      <c r="P47" s="11">
        <f>(SUM(D47:O47))</f>
        <v>11</v>
      </c>
      <c r="Q47" s="14" t="s">
        <v>58</v>
      </c>
      <c r="R47" s="5"/>
    </row>
    <row r="48" spans="2:18" ht="12.75">
      <c r="B48" t="s">
        <v>59</v>
      </c>
      <c r="C48" s="2"/>
      <c r="D48" s="11">
        <f aca="true" t="shared" si="9" ref="D48:O48">MAXA(D42:D43)</f>
        <v>0</v>
      </c>
      <c r="E48" s="11">
        <f t="shared" si="9"/>
        <v>0</v>
      </c>
      <c r="F48" s="11">
        <f t="shared" si="9"/>
        <v>0</v>
      </c>
      <c r="G48" s="11">
        <f t="shared" si="9"/>
        <v>0</v>
      </c>
      <c r="H48" s="11">
        <f t="shared" si="9"/>
        <v>0</v>
      </c>
      <c r="I48" s="11">
        <f t="shared" si="9"/>
        <v>0</v>
      </c>
      <c r="J48" s="11">
        <f t="shared" si="9"/>
        <v>0</v>
      </c>
      <c r="K48" s="11">
        <f t="shared" si="9"/>
        <v>0</v>
      </c>
      <c r="L48" s="11">
        <f t="shared" si="9"/>
        <v>0</v>
      </c>
      <c r="M48" s="11">
        <f t="shared" si="9"/>
        <v>0</v>
      </c>
      <c r="N48" s="11">
        <f t="shared" si="9"/>
        <v>0</v>
      </c>
      <c r="O48" s="11">
        <f t="shared" si="9"/>
        <v>0</v>
      </c>
      <c r="P48" s="11">
        <f>(SUM(D48:O48))</f>
        <v>0</v>
      </c>
      <c r="Q48" s="14" t="s">
        <v>60</v>
      </c>
      <c r="R48" s="5"/>
    </row>
    <row r="49" spans="2:18" ht="12.75">
      <c r="B49" t="s">
        <v>61</v>
      </c>
      <c r="C49" s="2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5"/>
      <c r="R49" s="5"/>
    </row>
    <row r="50" spans="3:18" ht="12.75">
      <c r="C50" s="2"/>
      <c r="Q50" s="5"/>
      <c r="R50" s="5"/>
    </row>
    <row r="51" spans="3:18" ht="12.75">
      <c r="C51" s="2"/>
      <c r="Q51" s="5"/>
      <c r="R51" s="5"/>
    </row>
    <row r="52" spans="3:18" ht="12.75">
      <c r="C52" s="2"/>
      <c r="Q52" s="5"/>
      <c r="R52" s="5"/>
    </row>
    <row r="53" spans="3:18" ht="12.75">
      <c r="C53" s="2"/>
      <c r="Q53" s="5"/>
      <c r="R53" s="5"/>
    </row>
    <row r="54" spans="3:18" ht="12.75">
      <c r="C54" s="2"/>
      <c r="Q54" s="5"/>
      <c r="R54" s="5"/>
    </row>
    <row r="55" spans="3:18" ht="12.75">
      <c r="C55" s="2"/>
      <c r="Q55" s="5"/>
      <c r="R55" s="5"/>
    </row>
    <row r="56" spans="3:18" ht="12.75">
      <c r="C56" s="2"/>
      <c r="Q56" s="5"/>
      <c r="R56" s="5"/>
    </row>
    <row r="57" spans="3:18" ht="12.75">
      <c r="C57" s="2"/>
      <c r="Q57" s="5"/>
      <c r="R57" s="5"/>
    </row>
    <row r="58" spans="3:18" ht="12.75">
      <c r="C58" s="2"/>
      <c r="Q58" s="5"/>
      <c r="R58" s="5"/>
    </row>
    <row r="59" spans="3:18" ht="12.75">
      <c r="C59" s="2"/>
      <c r="Q59" s="5"/>
      <c r="R59" s="5"/>
    </row>
    <row r="60" spans="3:18" ht="12.75">
      <c r="C60" s="2"/>
      <c r="Q60" s="5"/>
      <c r="R60" s="5"/>
    </row>
    <row r="61" spans="3:18" ht="12.75">
      <c r="C61" s="2"/>
      <c r="Q61" s="5"/>
      <c r="R61" s="5"/>
    </row>
    <row r="62" spans="3:18" ht="12.75">
      <c r="C62" s="2"/>
      <c r="Q62" s="5"/>
      <c r="R62" s="5"/>
    </row>
    <row r="63" spans="3:18" ht="12.75">
      <c r="C63" s="2"/>
      <c r="Q63" s="5"/>
      <c r="R63" s="5"/>
    </row>
    <row r="64" spans="3:18" ht="12.75">
      <c r="C64" s="2"/>
      <c r="Q64" s="5"/>
      <c r="R64" s="5"/>
    </row>
    <row r="65" spans="3:18" ht="12.75">
      <c r="C65" s="2"/>
      <c r="Q65" s="5"/>
      <c r="R65" s="5"/>
    </row>
    <row r="66" spans="3:18" ht="12.75">
      <c r="C66" s="2"/>
      <c r="Q66" s="5"/>
      <c r="R66" s="5"/>
    </row>
    <row r="67" spans="3:18" ht="12.75">
      <c r="C67" s="2"/>
      <c r="Q67" s="5"/>
      <c r="R67" s="5"/>
    </row>
    <row r="68" spans="3:18" ht="12.75">
      <c r="C68" s="2"/>
      <c r="Q68" s="5"/>
      <c r="R68" s="5"/>
    </row>
    <row r="69" spans="3:18" ht="12.75">
      <c r="C69" s="2"/>
      <c r="Q69" s="5"/>
      <c r="R69" s="5"/>
    </row>
    <row r="70" spans="3:18" ht="12.75">
      <c r="C70" s="2"/>
      <c r="Q70" s="5"/>
      <c r="R70" s="5"/>
    </row>
  </sheetData>
  <sheetProtection/>
  <mergeCells count="2">
    <mergeCell ref="B21:C21"/>
    <mergeCell ref="B31:C31"/>
  </mergeCells>
  <printOptions/>
  <pageMargins left="0.4" right="0.4" top="0.333" bottom="0.333" header="0.5" footer="0.5"/>
  <pageSetup horizontalDpi="600" verticalDpi="600" orientation="landscape" scale="70" r:id="rId1"/>
  <ignoredErrors>
    <ignoredError sqref="P15:P17 P42:P43 P34:P39 P19:P31 P12:P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49"/>
  <sheetViews>
    <sheetView showGridLines="0" zoomScalePageLayoutView="0" workbookViewId="0" topLeftCell="A1">
      <selection activeCell="M12" sqref="M12"/>
    </sheetView>
  </sheetViews>
  <sheetFormatPr defaultColWidth="9.7109375" defaultRowHeight="12.75"/>
  <cols>
    <col min="1" max="1" width="16.7109375" style="0" customWidth="1"/>
    <col min="2" max="2" width="45.7109375" style="0" customWidth="1"/>
    <col min="3" max="3" width="6.7109375" style="0" customWidth="1"/>
    <col min="4" max="9" width="5.7109375" style="0" customWidth="1"/>
    <col min="10" max="10" width="7.7109375" style="0" customWidth="1"/>
    <col min="11" max="11" width="6.7109375" style="0" customWidth="1"/>
    <col min="12" max="14" width="5.7109375" style="0" customWidth="1"/>
    <col min="15" max="15" width="11.7109375" style="0" customWidth="1"/>
    <col min="16" max="16" width="9.7109375" style="0" customWidth="1"/>
    <col min="17" max="17" width="17.7109375" style="0" customWidth="1"/>
  </cols>
  <sheetData>
    <row r="1" spans="1:17" ht="12.75">
      <c r="A1" s="4" t="s">
        <v>73</v>
      </c>
      <c r="G1" s="18" t="s">
        <v>67</v>
      </c>
      <c r="H1">
        <f>1st_Year!H1+1</f>
        <v>2014</v>
      </c>
      <c r="P1" s="5"/>
      <c r="Q1" s="5"/>
    </row>
    <row r="2" spans="10:17" ht="12.75">
      <c r="J2" s="5"/>
      <c r="O2" s="18"/>
      <c r="P2" s="5"/>
      <c r="Q2" s="5"/>
    </row>
    <row r="3" spans="1:17" ht="12.75">
      <c r="A3" t="s">
        <v>0</v>
      </c>
      <c r="B3" s="1" t="str">
        <f>1st_Year!C3</f>
        <v>Big Blake Lake</v>
      </c>
      <c r="F3" t="s">
        <v>2</v>
      </c>
      <c r="I3" s="1">
        <f>1st_Year!J3</f>
      </c>
      <c r="P3" s="5"/>
      <c r="Q3" s="5"/>
    </row>
    <row r="4" spans="1:17" ht="12.75">
      <c r="A4" t="s">
        <v>72</v>
      </c>
      <c r="B4" t="str">
        <f>1st_Year!C4</f>
        <v> </v>
      </c>
      <c r="F4" t="s">
        <v>5</v>
      </c>
      <c r="I4" s="1">
        <f>1st_Year!J4</f>
      </c>
      <c r="P4" s="5"/>
      <c r="Q4" s="5"/>
    </row>
    <row r="5" spans="1:17" ht="12.75">
      <c r="A5" t="s">
        <v>4</v>
      </c>
      <c r="B5" s="1" t="str">
        <f>1st_Year!C5</f>
        <v>Polk</v>
      </c>
      <c r="P5" s="5"/>
      <c r="Q5" s="5"/>
    </row>
    <row r="6" spans="1:17" ht="12.75">
      <c r="A6" t="s">
        <v>6</v>
      </c>
      <c r="B6" s="1" t="str">
        <f>1st_Year!C6</f>
        <v>Polk County LWRD</v>
      </c>
      <c r="P6" s="5"/>
      <c r="Q6" s="5"/>
    </row>
    <row r="7" spans="1:17" ht="12.75">
      <c r="A7" t="s">
        <v>7</v>
      </c>
      <c r="C7" s="16" t="s">
        <v>8</v>
      </c>
      <c r="D7" s="19">
        <f>1st_Year!E7+1</f>
        <v>2013</v>
      </c>
      <c r="M7" s="19">
        <f>1st_Year!N7+1</f>
        <v>2014</v>
      </c>
      <c r="P7" s="5"/>
      <c r="Q7" s="5"/>
    </row>
    <row r="8" spans="1:17" ht="12.75">
      <c r="A8" t="s">
        <v>9</v>
      </c>
      <c r="B8" s="1"/>
      <c r="C8" s="17" t="s">
        <v>8</v>
      </c>
      <c r="P8" s="5"/>
      <c r="Q8" s="5"/>
    </row>
    <row r="9" spans="1:17" ht="12.75">
      <c r="A9" s="4"/>
      <c r="B9" s="4"/>
      <c r="C9" s="4"/>
      <c r="D9" s="4"/>
      <c r="E9" s="4"/>
      <c r="F9" s="4" t="s">
        <v>77</v>
      </c>
      <c r="H9" s="4"/>
      <c r="I9" s="4"/>
      <c r="J9" s="4"/>
      <c r="K9" s="4"/>
      <c r="L9" s="4"/>
      <c r="M9" s="4"/>
      <c r="N9" s="4"/>
      <c r="O9" s="8" t="s">
        <v>10</v>
      </c>
      <c r="P9" s="9" t="s">
        <v>11</v>
      </c>
      <c r="Q9" s="9" t="s">
        <v>12</v>
      </c>
    </row>
    <row r="10" spans="1:17" ht="12.75">
      <c r="A10" s="4" t="s">
        <v>14</v>
      </c>
      <c r="B10" s="4"/>
      <c r="C10" s="4" t="s">
        <v>16</v>
      </c>
      <c r="D10" s="4" t="s">
        <v>17</v>
      </c>
      <c r="E10" s="4" t="s">
        <v>18</v>
      </c>
      <c r="F10" s="4" t="s">
        <v>19</v>
      </c>
      <c r="G10" s="4" t="s">
        <v>20</v>
      </c>
      <c r="H10" s="4" t="s">
        <v>21</v>
      </c>
      <c r="I10" s="4" t="s">
        <v>22</v>
      </c>
      <c r="J10" s="4" t="s">
        <v>23</v>
      </c>
      <c r="K10" s="4" t="s">
        <v>24</v>
      </c>
      <c r="L10" s="4" t="s">
        <v>25</v>
      </c>
      <c r="M10" s="4" t="s">
        <v>26</v>
      </c>
      <c r="N10" s="4" t="s">
        <v>27</v>
      </c>
      <c r="O10" s="8" t="s">
        <v>78</v>
      </c>
      <c r="P10" s="9" t="s">
        <v>29</v>
      </c>
      <c r="Q10" s="9" t="s">
        <v>30</v>
      </c>
    </row>
    <row r="11" spans="1:17" ht="12.75">
      <c r="A11" s="4" t="s">
        <v>31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20" t="str">
        <f>1st_Year!B12</f>
        <v>DISSOLVED REACTIVE P (ORTHO)</v>
      </c>
      <c r="B12" s="20"/>
      <c r="C12" s="21">
        <v>5</v>
      </c>
      <c r="D12" s="21">
        <v>5</v>
      </c>
      <c r="E12" s="21">
        <v>5</v>
      </c>
      <c r="F12" s="21">
        <v>1</v>
      </c>
      <c r="G12" s="21"/>
      <c r="H12" s="21"/>
      <c r="I12" s="21"/>
      <c r="J12" s="21"/>
      <c r="K12" s="21"/>
      <c r="L12" s="21">
        <v>1</v>
      </c>
      <c r="M12" s="21">
        <v>5</v>
      </c>
      <c r="N12" s="21">
        <v>5</v>
      </c>
      <c r="O12" s="22">
        <f aca="true" t="shared" si="0" ref="O12:O17">(SUM(C12:N12))</f>
        <v>27</v>
      </c>
      <c r="P12" s="23">
        <f>1st_Year!Q12*1.03</f>
        <v>17.1701</v>
      </c>
      <c r="Q12" s="23">
        <f aca="true" t="shared" si="1" ref="Q12:Q17">O12*P12</f>
        <v>463.59270000000004</v>
      </c>
    </row>
    <row r="13" spans="1:17" ht="12.75">
      <c r="A13" s="20" t="str">
        <f>1st_Year!B13</f>
        <v>TOTAL PHOSPHORUS</v>
      </c>
      <c r="B13" s="20"/>
      <c r="C13" s="21">
        <v>5</v>
      </c>
      <c r="D13" s="21">
        <v>5</v>
      </c>
      <c r="E13" s="21">
        <v>5</v>
      </c>
      <c r="F13" s="21">
        <v>1</v>
      </c>
      <c r="G13" s="21"/>
      <c r="H13" s="21"/>
      <c r="I13" s="21"/>
      <c r="J13" s="21"/>
      <c r="K13" s="21"/>
      <c r="L13" s="21">
        <v>1</v>
      </c>
      <c r="M13" s="21">
        <v>5</v>
      </c>
      <c r="N13" s="21">
        <v>5</v>
      </c>
      <c r="O13" s="22">
        <f t="shared" si="0"/>
        <v>27</v>
      </c>
      <c r="P13" s="23">
        <f>1st_Year!Q13*1.03</f>
        <v>24.308000000000003</v>
      </c>
      <c r="Q13" s="23">
        <f t="shared" si="1"/>
        <v>656.3160000000001</v>
      </c>
    </row>
    <row r="14" spans="1:17" ht="12.75">
      <c r="A14" s="20" t="str">
        <f>1st_Year!B14</f>
        <v>TOTAL DISS PHOSPHORUS (AS P), (EPA 365.1)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>
        <f t="shared" si="0"/>
        <v>0</v>
      </c>
      <c r="P14" s="23">
        <f>1st_Year!Q14*1.03</f>
        <v>24.308000000000003</v>
      </c>
      <c r="Q14" s="23">
        <f t="shared" si="1"/>
        <v>0</v>
      </c>
    </row>
    <row r="15" spans="1:17" ht="12.75">
      <c r="A15" s="20" t="str">
        <f>1st_Year!B15</f>
        <v>TOTAL KJELDAHL NITROGEN</v>
      </c>
      <c r="B15" s="20"/>
      <c r="C15" s="21">
        <v>4</v>
      </c>
      <c r="D15" s="21">
        <v>4</v>
      </c>
      <c r="E15" s="21">
        <v>4</v>
      </c>
      <c r="F15" s="21">
        <v>1</v>
      </c>
      <c r="G15" s="21"/>
      <c r="H15" s="21"/>
      <c r="I15" s="21"/>
      <c r="J15" s="21"/>
      <c r="K15" s="21"/>
      <c r="L15" s="21">
        <v>1</v>
      </c>
      <c r="M15" s="21">
        <v>4</v>
      </c>
      <c r="N15" s="21">
        <v>4</v>
      </c>
      <c r="O15" s="22">
        <f t="shared" si="0"/>
        <v>22</v>
      </c>
      <c r="P15" s="23">
        <f>1st_Year!Q15*1.03</f>
        <v>33.9797</v>
      </c>
      <c r="Q15" s="23">
        <f t="shared" si="1"/>
        <v>747.5534</v>
      </c>
    </row>
    <row r="16" spans="1:17" ht="12.75">
      <c r="A16" s="20" t="str">
        <f>1st_Year!B16</f>
        <v>NITRATE+NITRITE (AS N), DISS (EPA 353.2)</v>
      </c>
      <c r="B16" s="20"/>
      <c r="C16" s="21">
        <v>4</v>
      </c>
      <c r="D16" s="21">
        <v>4</v>
      </c>
      <c r="E16" s="21">
        <v>4</v>
      </c>
      <c r="F16" s="21">
        <v>1</v>
      </c>
      <c r="G16" s="21"/>
      <c r="H16" s="21"/>
      <c r="I16" s="21"/>
      <c r="J16" s="21"/>
      <c r="K16" s="21"/>
      <c r="L16" s="21">
        <v>1</v>
      </c>
      <c r="M16" s="21">
        <v>4</v>
      </c>
      <c r="N16" s="21">
        <v>4</v>
      </c>
      <c r="O16" s="22">
        <f t="shared" si="0"/>
        <v>22</v>
      </c>
      <c r="P16" s="23">
        <f>1st_Year!Q16*1.03</f>
        <v>27.810000000000002</v>
      </c>
      <c r="Q16" s="23">
        <f t="shared" si="1"/>
        <v>611.82</v>
      </c>
    </row>
    <row r="17" spans="1:17" ht="12.75">
      <c r="A17" s="20" t="str">
        <f>1st_Year!B17</f>
        <v>AMMONIA-N, DISSOLVED</v>
      </c>
      <c r="B17" s="20"/>
      <c r="C17" s="21">
        <v>4</v>
      </c>
      <c r="D17" s="21">
        <v>4</v>
      </c>
      <c r="E17" s="21">
        <v>4</v>
      </c>
      <c r="F17" s="21">
        <v>1</v>
      </c>
      <c r="G17" s="21"/>
      <c r="H17" s="21"/>
      <c r="I17" s="21"/>
      <c r="J17" s="21"/>
      <c r="K17" s="21"/>
      <c r="L17" s="21">
        <v>1</v>
      </c>
      <c r="M17" s="21">
        <v>4</v>
      </c>
      <c r="N17" s="21">
        <v>4</v>
      </c>
      <c r="O17" s="22">
        <f t="shared" si="0"/>
        <v>22</v>
      </c>
      <c r="P17" s="23">
        <f>1st_Year!Q17*1.03</f>
        <v>26.666700000000002</v>
      </c>
      <c r="Q17" s="23">
        <f t="shared" si="1"/>
        <v>586.6674</v>
      </c>
    </row>
    <row r="18" spans="1:17" ht="12.75">
      <c r="A18" s="4" t="s">
        <v>34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20" t="str">
        <f>1st_Year!B19</f>
        <v>AUTOMATED CONDUCTIVITY, PH &amp; ALKALINITY</v>
      </c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>
        <f aca="true" t="shared" si="2" ref="O19:O32">(SUM(C19:N19))</f>
        <v>0</v>
      </c>
      <c r="P19" s="23">
        <f>1st_Year!Q19*1.03</f>
        <v>22.66</v>
      </c>
      <c r="Q19" s="23">
        <f aca="true" t="shared" si="3" ref="Q19:Q32">O19*P19</f>
        <v>0</v>
      </c>
    </row>
    <row r="20" spans="1:17" ht="12.75">
      <c r="A20" s="20" t="str">
        <f>1st_Year!B20</f>
        <v>ALKALINITY, GRAN TECHNIQUE</v>
      </c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>
        <f t="shared" si="2"/>
        <v>0</v>
      </c>
      <c r="P20" s="23">
        <f>1st_Year!Q20*1.03</f>
        <v>55.620000000000005</v>
      </c>
      <c r="Q20" s="23">
        <f t="shared" si="3"/>
        <v>0</v>
      </c>
    </row>
    <row r="21" spans="1:17" ht="12.75">
      <c r="A21" s="28" t="str">
        <f>1st_Year!B21</f>
        <v>CHLORIDE</v>
      </c>
      <c r="B21" s="29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>
        <f t="shared" si="2"/>
        <v>0</v>
      </c>
      <c r="P21" s="23">
        <f>1st_Year!Q21*1.03</f>
        <v>20.6</v>
      </c>
      <c r="Q21" s="23">
        <f t="shared" si="3"/>
        <v>0</v>
      </c>
    </row>
    <row r="22" spans="1:17" ht="12.75">
      <c r="A22" s="20" t="str">
        <f>1st_Year!B22</f>
        <v>CHLOROPHYLL A, FLUORESCENCE, FIELD FILTERED </v>
      </c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>
        <f t="shared" si="2"/>
        <v>0</v>
      </c>
      <c r="P22" s="23">
        <f>1st_Year!Q22*1.03</f>
        <v>23.9784</v>
      </c>
      <c r="Q22" s="23">
        <f t="shared" si="3"/>
        <v>0</v>
      </c>
    </row>
    <row r="23" spans="1:17" ht="12.75">
      <c r="A23" s="20" t="str">
        <f>1st_Year!B23</f>
        <v>CHLOROPHYLL A, FLUORESCENCE LAB FILTERED</v>
      </c>
      <c r="B23" s="20"/>
      <c r="C23" s="21">
        <v>1</v>
      </c>
      <c r="D23" s="21">
        <v>1</v>
      </c>
      <c r="E23" s="21">
        <v>1</v>
      </c>
      <c r="F23" s="21"/>
      <c r="G23" s="21"/>
      <c r="H23" s="21"/>
      <c r="I23" s="21"/>
      <c r="J23" s="21"/>
      <c r="K23" s="21"/>
      <c r="L23" s="21"/>
      <c r="M23" s="21">
        <v>1</v>
      </c>
      <c r="N23" s="21">
        <v>1</v>
      </c>
      <c r="O23" s="22">
        <f t="shared" si="2"/>
        <v>5</v>
      </c>
      <c r="P23" s="23">
        <f>1st_Year!Q23*1.03</f>
        <v>25.2556</v>
      </c>
      <c r="Q23" s="23">
        <f t="shared" si="3"/>
        <v>126.278</v>
      </c>
    </row>
    <row r="24" spans="1:17" ht="12.75">
      <c r="A24" s="20" t="str">
        <f>1st_Year!B24</f>
        <v>COLOR, TRUE, PT-CO</v>
      </c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>
        <f t="shared" si="2"/>
        <v>0</v>
      </c>
      <c r="P24" s="23">
        <f>1st_Year!Q24*1.03</f>
        <v>25.75</v>
      </c>
      <c r="Q24" s="23">
        <f t="shared" si="3"/>
        <v>0</v>
      </c>
    </row>
    <row r="25" spans="1:17" ht="12.75">
      <c r="A25" s="20" t="str">
        <f>1st_Year!B25</f>
        <v>HARDNESS, CALCULATION METHOD (When Metals Done)</v>
      </c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>
        <f t="shared" si="2"/>
        <v>0</v>
      </c>
      <c r="P25" s="23">
        <f>1st_Year!Q25*1.03</f>
        <v>5.5311</v>
      </c>
      <c r="Q25" s="23">
        <f t="shared" si="3"/>
        <v>0</v>
      </c>
    </row>
    <row r="26" spans="1:17" ht="12.75">
      <c r="A26" s="20" t="str">
        <f>1st_Year!B26</f>
        <v>HARDNESS, CALCULATION METHOD (When Metals not Done)</v>
      </c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2">
        <f t="shared" si="2"/>
        <v>0</v>
      </c>
      <c r="P26" s="23">
        <f>1st_Year!Q26*1.03</f>
        <v>54.4046</v>
      </c>
      <c r="Q26" s="23">
        <f t="shared" si="3"/>
        <v>0</v>
      </c>
    </row>
    <row r="27" spans="1:17" ht="12.75">
      <c r="A27" s="20" t="str">
        <f>1st_Year!B27</f>
        <v>SULFATE (EPA 375.2)</v>
      </c>
      <c r="B27" s="20"/>
      <c r="C27" s="21">
        <v>1</v>
      </c>
      <c r="D27" s="21">
        <v>1</v>
      </c>
      <c r="E27" s="21">
        <v>1</v>
      </c>
      <c r="F27" s="21">
        <v>1</v>
      </c>
      <c r="G27" s="21"/>
      <c r="H27" s="21"/>
      <c r="I27" s="21"/>
      <c r="J27" s="21"/>
      <c r="K27" s="21"/>
      <c r="L27" s="21">
        <v>1</v>
      </c>
      <c r="M27" s="21">
        <v>1</v>
      </c>
      <c r="N27" s="21">
        <v>1</v>
      </c>
      <c r="O27" s="22">
        <f t="shared" si="2"/>
        <v>7</v>
      </c>
      <c r="P27" s="23">
        <f>1st_Year!Q27*1.03</f>
        <v>26.78</v>
      </c>
      <c r="Q27" s="23">
        <f t="shared" si="3"/>
        <v>187.46</v>
      </c>
    </row>
    <row r="28" spans="1:17" ht="12.75">
      <c r="A28" s="20" t="str">
        <f>1st_Year!B28</f>
        <v>SUSPENDED SOLIDS</v>
      </c>
      <c r="B28" s="20"/>
      <c r="C28" s="21">
        <v>4</v>
      </c>
      <c r="D28" s="21">
        <v>4</v>
      </c>
      <c r="E28" s="21">
        <v>4</v>
      </c>
      <c r="F28" s="21">
        <v>1</v>
      </c>
      <c r="G28" s="21"/>
      <c r="H28" s="21"/>
      <c r="I28" s="21"/>
      <c r="J28" s="21"/>
      <c r="K28" s="21"/>
      <c r="L28" s="21">
        <v>1</v>
      </c>
      <c r="M28" s="21">
        <v>4</v>
      </c>
      <c r="N28" s="21">
        <v>4</v>
      </c>
      <c r="O28" s="22">
        <f t="shared" si="2"/>
        <v>22</v>
      </c>
      <c r="P28" s="23">
        <f>1st_Year!Q28*1.03</f>
        <v>19.364</v>
      </c>
      <c r="Q28" s="23">
        <f t="shared" si="3"/>
        <v>426.00800000000004</v>
      </c>
    </row>
    <row r="29" spans="1:17" ht="12.75">
      <c r="A29" s="20" t="str">
        <f>1st_Year!B29</f>
        <v>TOTAL DISSOLVED SOLIDS, 180 C</v>
      </c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2">
        <f t="shared" si="2"/>
        <v>0</v>
      </c>
      <c r="P29" s="23">
        <f>1st_Year!Q29*1.03</f>
        <v>17.6439</v>
      </c>
      <c r="Q29" s="23">
        <f t="shared" si="3"/>
        <v>0</v>
      </c>
    </row>
    <row r="30" spans="1:17" ht="12.75">
      <c r="A30" s="20" t="str">
        <f>1st_Year!B30</f>
        <v>TOTAL VOLATILE SOLIDS</v>
      </c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>
        <f t="shared" si="2"/>
        <v>0</v>
      </c>
      <c r="P30" s="23">
        <f>1st_Year!Q30*1.03</f>
        <v>10.3309</v>
      </c>
      <c r="Q30" s="23">
        <f t="shared" si="3"/>
        <v>0</v>
      </c>
    </row>
    <row r="31" spans="1:17" ht="12.75">
      <c r="A31" s="28" t="str">
        <f>1st_Year!B31</f>
        <v>TURBIDITY</v>
      </c>
      <c r="B31" s="2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>
        <f t="shared" si="2"/>
        <v>0</v>
      </c>
      <c r="P31" s="23">
        <f>1st_Year!Q31*1.03</f>
        <v>10.3</v>
      </c>
      <c r="Q31" s="23">
        <f t="shared" si="3"/>
        <v>0</v>
      </c>
    </row>
    <row r="32" spans="1:17" ht="12.75">
      <c r="A32" s="20" t="str">
        <f>1st_Year!B32</f>
        <v>FIELD TESTS (For each labslip with Field Testing Recorded)</v>
      </c>
      <c r="B32" s="20"/>
      <c r="C32" s="22">
        <f aca="true" t="shared" si="4" ref="C32:N32">IF($C$8="Y",MAXA(C12:C31),"")</f>
      </c>
      <c r="D32" s="22">
        <f t="shared" si="4"/>
      </c>
      <c r="E32" s="22">
        <f t="shared" si="4"/>
      </c>
      <c r="F32" s="22">
        <f t="shared" si="4"/>
      </c>
      <c r="G32" s="22">
        <f t="shared" si="4"/>
      </c>
      <c r="H32" s="22">
        <f t="shared" si="4"/>
      </c>
      <c r="I32" s="22">
        <f t="shared" si="4"/>
      </c>
      <c r="J32" s="22">
        <f t="shared" si="4"/>
      </c>
      <c r="K32" s="22">
        <f t="shared" si="4"/>
      </c>
      <c r="L32" s="22">
        <f t="shared" si="4"/>
      </c>
      <c r="M32" s="22">
        <f t="shared" si="4"/>
      </c>
      <c r="N32" s="22">
        <f t="shared" si="4"/>
      </c>
      <c r="O32" s="22">
        <f t="shared" si="2"/>
        <v>0</v>
      </c>
      <c r="P32" s="23">
        <f>1st_Year!Q32*1.03</f>
        <v>6.550800000000001</v>
      </c>
      <c r="Q32" s="23">
        <f t="shared" si="3"/>
        <v>0</v>
      </c>
    </row>
    <row r="33" spans="1:17" ht="12.75">
      <c r="A33" s="4" t="s">
        <v>46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20" t="str">
        <f>1st_Year!B34</f>
        <v>CALCIUM, TOTAL RECOVERABLE, ICP</v>
      </c>
      <c r="B34" s="20"/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2">
        <f aca="true" t="shared" si="5" ref="O34:O40">(SUM(C34:N34))</f>
        <v>0</v>
      </c>
      <c r="P34" s="23">
        <f>1st_Year!Q34*1.03</f>
        <v>13.39</v>
      </c>
      <c r="Q34" s="23">
        <f aca="true" t="shared" si="6" ref="Q34:Q40">O34*P34</f>
        <v>0</v>
      </c>
    </row>
    <row r="35" spans="1:17" ht="12.75">
      <c r="A35" s="20" t="str">
        <f>1st_Year!B35</f>
        <v>IRON,  TOTAL RECOVERABLE, ICP</v>
      </c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2">
        <f t="shared" si="5"/>
        <v>0</v>
      </c>
      <c r="P35" s="23">
        <f>1st_Year!Q35*1.03</f>
        <v>13.39</v>
      </c>
      <c r="Q35" s="23">
        <f t="shared" si="6"/>
        <v>0</v>
      </c>
    </row>
    <row r="36" spans="1:17" ht="12.75">
      <c r="A36" s="20" t="str">
        <f>1st_Year!B36</f>
        <v>MAGNESIUM,  TOTAL RECOVERABLE, ICP</v>
      </c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2">
        <f t="shared" si="5"/>
        <v>0</v>
      </c>
      <c r="P36" s="23">
        <f>1st_Year!Q36*1.03</f>
        <v>13.39</v>
      </c>
      <c r="Q36" s="23">
        <f t="shared" si="6"/>
        <v>0</v>
      </c>
    </row>
    <row r="37" spans="1:17" ht="12.75">
      <c r="A37" s="20" t="str">
        <f>1st_Year!B37</f>
        <v>MANGANESE,  TOTAL RECOVERABLE, ICP</v>
      </c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2">
        <f t="shared" si="5"/>
        <v>0</v>
      </c>
      <c r="P37" s="23">
        <f>1st_Year!Q37*1.03</f>
        <v>13.39</v>
      </c>
      <c r="Q37" s="23">
        <f t="shared" si="6"/>
        <v>0</v>
      </c>
    </row>
    <row r="38" spans="1:17" ht="12.75">
      <c r="A38" s="20" t="str">
        <f>1st_Year!B38</f>
        <v>POTASSIUM,  TOTAL RECOVERABLE, ICP</v>
      </c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2">
        <f t="shared" si="5"/>
        <v>0</v>
      </c>
      <c r="P38" s="23">
        <f>1st_Year!Q38*1.03</f>
        <v>13.39</v>
      </c>
      <c r="Q38" s="23">
        <f t="shared" si="6"/>
        <v>0</v>
      </c>
    </row>
    <row r="39" spans="1:17" ht="12.75">
      <c r="A39" s="20" t="str">
        <f>1st_Year!B39</f>
        <v>SODIUM,  TOTAL RECOVERABLE, ICP</v>
      </c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2">
        <f t="shared" si="5"/>
        <v>0</v>
      </c>
      <c r="P39" s="23">
        <f>1st_Year!Q39*1.03</f>
        <v>13.39</v>
      </c>
      <c r="Q39" s="23">
        <f t="shared" si="6"/>
        <v>0</v>
      </c>
    </row>
    <row r="40" spans="1:17" ht="12.75">
      <c r="A40" s="20" t="str">
        <f>1st_Year!B40</f>
        <v>DIGESTION, TOT. RECOV. LOW LEVEL, ICP + ICP SETUP</v>
      </c>
      <c r="B40" s="20"/>
      <c r="C40" s="22">
        <f aca="true" t="shared" si="7" ref="C40:N40">MAXA(C34:C39)</f>
        <v>0</v>
      </c>
      <c r="D40" s="22">
        <f t="shared" si="7"/>
        <v>0</v>
      </c>
      <c r="E40" s="22">
        <f t="shared" si="7"/>
        <v>0</v>
      </c>
      <c r="F40" s="22">
        <f t="shared" si="7"/>
        <v>0</v>
      </c>
      <c r="G40" s="22">
        <f t="shared" si="7"/>
        <v>0</v>
      </c>
      <c r="H40" s="22">
        <f t="shared" si="7"/>
        <v>0</v>
      </c>
      <c r="I40" s="22">
        <f t="shared" si="7"/>
        <v>0</v>
      </c>
      <c r="J40" s="22">
        <f t="shared" si="7"/>
        <v>0</v>
      </c>
      <c r="K40" s="22">
        <f t="shared" si="7"/>
        <v>0</v>
      </c>
      <c r="L40" s="22">
        <f t="shared" si="7"/>
        <v>0</v>
      </c>
      <c r="M40" s="22">
        <f t="shared" si="7"/>
        <v>0</v>
      </c>
      <c r="N40" s="22">
        <f t="shared" si="7"/>
        <v>0</v>
      </c>
      <c r="O40" s="22">
        <f t="shared" si="5"/>
        <v>0</v>
      </c>
      <c r="P40" s="23">
        <f>1st_Year!Q40*1.03</f>
        <v>22.0935</v>
      </c>
      <c r="Q40" s="23">
        <f t="shared" si="6"/>
        <v>0</v>
      </c>
    </row>
    <row r="41" spans="1:17" ht="12.75">
      <c r="A41" s="4" t="s">
        <v>54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3"/>
      <c r="Q41" s="13"/>
    </row>
    <row r="42" spans="1:17" ht="12.75">
      <c r="A42" s="20" t="str">
        <f>1st_Year!B42</f>
        <v>E COLI ENZYMATIC SUBTRATE QUANTITRAY MPN</v>
      </c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2">
        <f>(SUM(C42:N42))</f>
        <v>0</v>
      </c>
      <c r="P42" s="23">
        <f>1st_Year!Q42*1.03</f>
        <v>38.11</v>
      </c>
      <c r="Q42" s="23">
        <f>O42*P42</f>
        <v>0</v>
      </c>
    </row>
    <row r="43" spans="1:17" ht="12.75">
      <c r="A43" s="20" t="str">
        <f>1st_Year!B43</f>
        <v>Fecal Coliform (MFFCC)</v>
      </c>
      <c r="B43" s="20"/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2">
        <f>(SUM(C43:N43))</f>
        <v>0</v>
      </c>
      <c r="P43" s="23">
        <f>1st_Year!Q43*1.03</f>
        <v>38.11</v>
      </c>
      <c r="Q43" s="23">
        <f>O43*P43</f>
        <v>0</v>
      </c>
    </row>
    <row r="44" spans="3:17" ht="12.75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3"/>
      <c r="Q44" s="13"/>
    </row>
    <row r="45" spans="15:17" ht="12.75">
      <c r="O45" s="4" t="s">
        <v>56</v>
      </c>
      <c r="P45" s="5"/>
      <c r="Q45" s="12">
        <f>SUM(Q12:Q43)</f>
        <v>3805.6955000000007</v>
      </c>
    </row>
    <row r="46" spans="16:17" ht="12.75">
      <c r="P46" s="5"/>
      <c r="Q46" s="5"/>
    </row>
    <row r="47" spans="1:17" ht="12.75">
      <c r="A47" t="s">
        <v>57</v>
      </c>
      <c r="C47" s="11">
        <f aca="true" t="shared" si="8" ref="C47:N47">MAXA(C11:C40)</f>
        <v>5</v>
      </c>
      <c r="D47" s="11">
        <f t="shared" si="8"/>
        <v>5</v>
      </c>
      <c r="E47" s="11">
        <f t="shared" si="8"/>
        <v>5</v>
      </c>
      <c r="F47" s="11">
        <f t="shared" si="8"/>
        <v>1</v>
      </c>
      <c r="G47" s="11">
        <f t="shared" si="8"/>
        <v>0</v>
      </c>
      <c r="H47" s="11">
        <f t="shared" si="8"/>
        <v>0</v>
      </c>
      <c r="I47" s="11">
        <f t="shared" si="8"/>
        <v>0</v>
      </c>
      <c r="J47" s="11">
        <f t="shared" si="8"/>
        <v>0</v>
      </c>
      <c r="K47" s="11">
        <f t="shared" si="8"/>
        <v>0</v>
      </c>
      <c r="L47" s="11">
        <f t="shared" si="8"/>
        <v>1</v>
      </c>
      <c r="M47" s="11">
        <f t="shared" si="8"/>
        <v>5</v>
      </c>
      <c r="N47" s="11">
        <f t="shared" si="8"/>
        <v>5</v>
      </c>
      <c r="O47" s="11">
        <f>(SUM(C47:N47))</f>
        <v>27</v>
      </c>
      <c r="P47" s="14" t="s">
        <v>58</v>
      </c>
      <c r="Q47" s="5"/>
    </row>
    <row r="48" spans="1:17" ht="12.75">
      <c r="A48" t="s">
        <v>59</v>
      </c>
      <c r="C48" s="11">
        <f aca="true" t="shared" si="9" ref="C48:N48">MAXA(C42:C43)</f>
        <v>0</v>
      </c>
      <c r="D48" s="11">
        <f t="shared" si="9"/>
        <v>0</v>
      </c>
      <c r="E48" s="11">
        <f t="shared" si="9"/>
        <v>0</v>
      </c>
      <c r="F48" s="11">
        <f t="shared" si="9"/>
        <v>0</v>
      </c>
      <c r="G48" s="11">
        <f t="shared" si="9"/>
        <v>0</v>
      </c>
      <c r="H48" s="11">
        <f t="shared" si="9"/>
        <v>0</v>
      </c>
      <c r="I48" s="11">
        <f t="shared" si="9"/>
        <v>0</v>
      </c>
      <c r="J48" s="11">
        <f t="shared" si="9"/>
        <v>0</v>
      </c>
      <c r="K48" s="11">
        <f t="shared" si="9"/>
        <v>0</v>
      </c>
      <c r="L48" s="11">
        <f t="shared" si="9"/>
        <v>0</v>
      </c>
      <c r="M48" s="11">
        <f t="shared" si="9"/>
        <v>0</v>
      </c>
      <c r="N48" s="11">
        <f t="shared" si="9"/>
        <v>0</v>
      </c>
      <c r="O48" s="11">
        <f>(SUM(C48:N48))</f>
        <v>0</v>
      </c>
      <c r="P48" s="14" t="s">
        <v>60</v>
      </c>
      <c r="Q48" s="5"/>
    </row>
    <row r="49" spans="1:17" ht="12.75">
      <c r="A49" t="s">
        <v>61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5"/>
      <c r="Q49" s="5"/>
    </row>
  </sheetData>
  <sheetProtection/>
  <mergeCells count="2">
    <mergeCell ref="A21:B21"/>
    <mergeCell ref="A31:B31"/>
  </mergeCells>
  <printOptions/>
  <pageMargins left="0.4" right="0.4" top="0.333" bottom="0.333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49"/>
  <sheetViews>
    <sheetView showGridLines="0" zoomScalePageLayoutView="0" workbookViewId="0" topLeftCell="A1">
      <selection activeCell="M13" sqref="M13"/>
    </sheetView>
  </sheetViews>
  <sheetFormatPr defaultColWidth="9.7109375" defaultRowHeight="12.75"/>
  <cols>
    <col min="1" max="1" width="16.7109375" style="0" customWidth="1"/>
    <col min="2" max="2" width="45.7109375" style="0" customWidth="1"/>
    <col min="3" max="3" width="6.7109375" style="0" customWidth="1"/>
    <col min="4" max="9" width="5.7109375" style="0" customWidth="1"/>
    <col min="10" max="10" width="7.7109375" style="0" customWidth="1"/>
    <col min="11" max="11" width="6.7109375" style="0" customWidth="1"/>
    <col min="12" max="14" width="5.7109375" style="0" customWidth="1"/>
    <col min="15" max="15" width="11.7109375" style="0" customWidth="1"/>
    <col min="16" max="16" width="9.7109375" style="0" customWidth="1"/>
    <col min="17" max="17" width="17.7109375" style="0" customWidth="1"/>
  </cols>
  <sheetData>
    <row r="1" spans="1:17" ht="12.75">
      <c r="A1" s="4" t="s">
        <v>73</v>
      </c>
      <c r="F1" s="18" t="s">
        <v>68</v>
      </c>
      <c r="G1">
        <f>1st_Year!H1+2</f>
        <v>2015</v>
      </c>
      <c r="P1" s="5"/>
      <c r="Q1" s="5"/>
    </row>
    <row r="2" spans="10:17" ht="12.75">
      <c r="J2" s="5"/>
      <c r="O2" s="18"/>
      <c r="P2" s="5"/>
      <c r="Q2" s="5"/>
    </row>
    <row r="3" spans="1:17" ht="12.75">
      <c r="A3" t="s">
        <v>0</v>
      </c>
      <c r="B3" s="1" t="str">
        <f>2nd_Year!B3</f>
        <v>Big Blake Lake</v>
      </c>
      <c r="F3" t="s">
        <v>2</v>
      </c>
      <c r="I3" s="1">
        <f>2nd_Year!I3</f>
      </c>
      <c r="P3" s="5"/>
      <c r="Q3" s="5"/>
    </row>
    <row r="4" spans="1:17" ht="12.75">
      <c r="A4" t="s">
        <v>72</v>
      </c>
      <c r="B4" t="str">
        <f>2nd_Year!B4</f>
        <v> </v>
      </c>
      <c r="F4" t="s">
        <v>5</v>
      </c>
      <c r="I4" s="1">
        <f>2nd_Year!I4</f>
      </c>
      <c r="P4" s="5"/>
      <c r="Q4" s="5"/>
    </row>
    <row r="5" spans="1:17" ht="12.75">
      <c r="A5" t="s">
        <v>4</v>
      </c>
      <c r="B5" s="1" t="str">
        <f>2nd_Year!B5</f>
        <v>Polk</v>
      </c>
      <c r="P5" s="5"/>
      <c r="Q5" s="5"/>
    </row>
    <row r="6" spans="1:17" ht="12.75">
      <c r="A6" t="s">
        <v>6</v>
      </c>
      <c r="B6" s="1" t="str">
        <f>2nd_Year!B6</f>
        <v>Polk County LWRD</v>
      </c>
      <c r="P6" s="5"/>
      <c r="Q6" s="5"/>
    </row>
    <row r="7" spans="1:17" ht="12.75">
      <c r="A7" t="s">
        <v>7</v>
      </c>
      <c r="C7" s="16" t="s">
        <v>8</v>
      </c>
      <c r="D7" s="19">
        <f>2nd_Year!D7+1</f>
        <v>2014</v>
      </c>
      <c r="M7" s="19">
        <f>2nd_Year!M7+1</f>
        <v>2015</v>
      </c>
      <c r="P7" s="5"/>
      <c r="Q7" s="5"/>
    </row>
    <row r="8" spans="1:17" ht="12.75">
      <c r="A8" t="s">
        <v>9</v>
      </c>
      <c r="B8" s="1"/>
      <c r="C8" s="17" t="s">
        <v>8</v>
      </c>
      <c r="P8" s="5"/>
      <c r="Q8" s="5"/>
    </row>
    <row r="9" spans="1:17" ht="12.75">
      <c r="A9" s="4"/>
      <c r="B9" s="4"/>
      <c r="C9" s="4"/>
      <c r="D9" s="4"/>
      <c r="E9" s="4"/>
      <c r="F9" s="4" t="s">
        <v>77</v>
      </c>
      <c r="H9" s="4"/>
      <c r="I9" s="4"/>
      <c r="J9" s="4"/>
      <c r="K9" s="4"/>
      <c r="L9" s="4"/>
      <c r="M9" s="4"/>
      <c r="N9" s="4"/>
      <c r="O9" s="8" t="s">
        <v>10</v>
      </c>
      <c r="P9" s="9" t="s">
        <v>11</v>
      </c>
      <c r="Q9" s="9" t="s">
        <v>12</v>
      </c>
    </row>
    <row r="10" spans="1:17" ht="12.75">
      <c r="A10" s="4" t="s">
        <v>14</v>
      </c>
      <c r="B10" s="4"/>
      <c r="C10" s="4" t="s">
        <v>16</v>
      </c>
      <c r="D10" s="4" t="s">
        <v>17</v>
      </c>
      <c r="E10" s="4" t="s">
        <v>18</v>
      </c>
      <c r="F10" s="4" t="s">
        <v>19</v>
      </c>
      <c r="G10" s="4" t="s">
        <v>20</v>
      </c>
      <c r="H10" s="4" t="s">
        <v>21</v>
      </c>
      <c r="I10" s="4" t="s">
        <v>22</v>
      </c>
      <c r="J10" s="4" t="s">
        <v>23</v>
      </c>
      <c r="K10" s="4" t="s">
        <v>24</v>
      </c>
      <c r="L10" s="4" t="s">
        <v>25</v>
      </c>
      <c r="M10" s="4" t="s">
        <v>26</v>
      </c>
      <c r="N10" s="4" t="s">
        <v>27</v>
      </c>
      <c r="O10" s="8" t="s">
        <v>78</v>
      </c>
      <c r="P10" s="9" t="s">
        <v>29</v>
      </c>
      <c r="Q10" s="9" t="s">
        <v>30</v>
      </c>
    </row>
    <row r="11" spans="1:17" ht="12.75">
      <c r="A11" s="4" t="s">
        <v>31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20" t="str">
        <f>2nd_Year!A12</f>
        <v>DISSOLVED REACTIVE P (ORTHO)</v>
      </c>
      <c r="B12" s="20"/>
      <c r="C12" s="21">
        <v>5</v>
      </c>
      <c r="D12" s="21">
        <v>5</v>
      </c>
      <c r="E12" s="21">
        <v>5</v>
      </c>
      <c r="F12" s="21">
        <v>1</v>
      </c>
      <c r="G12" s="21"/>
      <c r="H12" s="21"/>
      <c r="I12" s="21"/>
      <c r="J12" s="21"/>
      <c r="K12" s="21"/>
      <c r="L12" s="21">
        <v>1</v>
      </c>
      <c r="M12" s="21">
        <v>5</v>
      </c>
      <c r="N12" s="21">
        <v>5</v>
      </c>
      <c r="O12" s="22">
        <f aca="true" t="shared" si="0" ref="O12:O17">(SUM(C12:N12))</f>
        <v>27</v>
      </c>
      <c r="P12" s="23">
        <f>2nd_Year!P12*1.03</f>
        <v>17.685203</v>
      </c>
      <c r="Q12" s="23">
        <f aca="true" t="shared" si="1" ref="Q12:Q17">O12*P12</f>
        <v>477.50048100000004</v>
      </c>
    </row>
    <row r="13" spans="1:17" ht="12.75">
      <c r="A13" s="20" t="str">
        <f>2nd_Year!A13</f>
        <v>TOTAL PHOSPHORUS</v>
      </c>
      <c r="B13" s="20"/>
      <c r="C13" s="21">
        <v>5</v>
      </c>
      <c r="D13" s="21">
        <v>5</v>
      </c>
      <c r="E13" s="21">
        <v>5</v>
      </c>
      <c r="F13" s="21">
        <v>1</v>
      </c>
      <c r="G13" s="21"/>
      <c r="H13" s="21"/>
      <c r="I13" s="21"/>
      <c r="J13" s="21"/>
      <c r="K13" s="21"/>
      <c r="L13" s="21">
        <v>1</v>
      </c>
      <c r="M13" s="21">
        <v>5</v>
      </c>
      <c r="N13" s="21">
        <v>5</v>
      </c>
      <c r="O13" s="22">
        <f t="shared" si="0"/>
        <v>27</v>
      </c>
      <c r="P13" s="23">
        <f>2nd_Year!P13*1.03</f>
        <v>25.037240000000004</v>
      </c>
      <c r="Q13" s="23">
        <f t="shared" si="1"/>
        <v>676.0054800000001</v>
      </c>
    </row>
    <row r="14" spans="1:17" ht="12.75">
      <c r="A14" s="20" t="str">
        <f>2nd_Year!A14</f>
        <v>TOTAL DISS PHOSPHORUS (AS P), (EPA 365.1)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>
        <f t="shared" si="0"/>
        <v>0</v>
      </c>
      <c r="P14" s="23">
        <f>2nd_Year!P14*1.03</f>
        <v>25.037240000000004</v>
      </c>
      <c r="Q14" s="23">
        <f t="shared" si="1"/>
        <v>0</v>
      </c>
    </row>
    <row r="15" spans="1:17" ht="12.75">
      <c r="A15" s="20" t="str">
        <f>2nd_Year!A15</f>
        <v>TOTAL KJELDAHL NITROGEN</v>
      </c>
      <c r="B15" s="20"/>
      <c r="C15" s="21">
        <v>4</v>
      </c>
      <c r="D15" s="21">
        <v>4</v>
      </c>
      <c r="E15" s="21">
        <v>4</v>
      </c>
      <c r="F15" s="21">
        <v>1</v>
      </c>
      <c r="G15" s="21"/>
      <c r="H15" s="21"/>
      <c r="I15" s="21"/>
      <c r="J15" s="21"/>
      <c r="K15" s="21"/>
      <c r="L15" s="21">
        <v>1</v>
      </c>
      <c r="M15" s="21">
        <v>4</v>
      </c>
      <c r="N15" s="21">
        <v>4</v>
      </c>
      <c r="O15" s="22">
        <f t="shared" si="0"/>
        <v>22</v>
      </c>
      <c r="P15" s="23">
        <f>2nd_Year!P15*1.03</f>
        <v>34.999091</v>
      </c>
      <c r="Q15" s="23">
        <f t="shared" si="1"/>
        <v>769.980002</v>
      </c>
    </row>
    <row r="16" spans="1:17" ht="12.75">
      <c r="A16" s="20" t="str">
        <f>2nd_Year!A16</f>
        <v>NITRATE+NITRITE (AS N), DISS (EPA 353.2)</v>
      </c>
      <c r="B16" s="20"/>
      <c r="C16" s="21">
        <v>4</v>
      </c>
      <c r="D16" s="21">
        <v>4</v>
      </c>
      <c r="E16" s="21">
        <v>4</v>
      </c>
      <c r="F16" s="21">
        <v>1</v>
      </c>
      <c r="G16" s="21"/>
      <c r="H16" s="21"/>
      <c r="I16" s="21"/>
      <c r="J16" s="21"/>
      <c r="K16" s="21"/>
      <c r="L16" s="21">
        <v>1</v>
      </c>
      <c r="M16" s="21">
        <v>4</v>
      </c>
      <c r="N16" s="21">
        <v>4</v>
      </c>
      <c r="O16" s="22">
        <f t="shared" si="0"/>
        <v>22</v>
      </c>
      <c r="P16" s="23">
        <f>2nd_Year!P16*1.03</f>
        <v>28.644300000000005</v>
      </c>
      <c r="Q16" s="23">
        <f t="shared" si="1"/>
        <v>630.1746</v>
      </c>
    </row>
    <row r="17" spans="1:17" ht="12.75">
      <c r="A17" s="20" t="str">
        <f>2nd_Year!A17</f>
        <v>AMMONIA-N, DISSOLVED</v>
      </c>
      <c r="B17" s="20"/>
      <c r="C17" s="21">
        <v>4</v>
      </c>
      <c r="D17" s="21">
        <v>4</v>
      </c>
      <c r="E17" s="21">
        <v>4</v>
      </c>
      <c r="F17" s="21">
        <v>1</v>
      </c>
      <c r="G17" s="21"/>
      <c r="H17" s="21"/>
      <c r="I17" s="21"/>
      <c r="J17" s="21"/>
      <c r="K17" s="21"/>
      <c r="L17" s="21">
        <v>1</v>
      </c>
      <c r="M17" s="21">
        <v>4</v>
      </c>
      <c r="N17" s="21">
        <v>4</v>
      </c>
      <c r="O17" s="22">
        <f t="shared" si="0"/>
        <v>22</v>
      </c>
      <c r="P17" s="23">
        <f>2nd_Year!P17*1.03</f>
        <v>27.466701000000004</v>
      </c>
      <c r="Q17" s="23">
        <f t="shared" si="1"/>
        <v>604.2674220000001</v>
      </c>
    </row>
    <row r="18" spans="1:17" ht="12.75">
      <c r="A18" s="4" t="s">
        <v>34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20" t="str">
        <f>2nd_Year!A19</f>
        <v>AUTOMATED CONDUCTIVITY, PH &amp; ALKALINITY</v>
      </c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>
        <f aca="true" t="shared" si="2" ref="O19:O32">(SUM(C19:N19))</f>
        <v>0</v>
      </c>
      <c r="P19" s="23">
        <f>2nd_Year!P19*1.03</f>
        <v>23.3398</v>
      </c>
      <c r="Q19" s="23">
        <f aca="true" t="shared" si="3" ref="Q19:Q32">O19*P19</f>
        <v>0</v>
      </c>
    </row>
    <row r="20" spans="1:17" ht="12.75">
      <c r="A20" s="20" t="str">
        <f>2nd_Year!A20</f>
        <v>ALKALINITY, GRAN TECHNIQUE</v>
      </c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>
        <f t="shared" si="2"/>
        <v>0</v>
      </c>
      <c r="P20" s="23">
        <f>2nd_Year!P20*1.03</f>
        <v>57.28860000000001</v>
      </c>
      <c r="Q20" s="23">
        <f t="shared" si="3"/>
        <v>0</v>
      </c>
    </row>
    <row r="21" spans="1:17" ht="12.75">
      <c r="A21" s="28" t="str">
        <f>2nd_Year!A21</f>
        <v>CHLORIDE</v>
      </c>
      <c r="B21" s="29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>
        <f t="shared" si="2"/>
        <v>0</v>
      </c>
      <c r="P21" s="23">
        <f>2nd_Year!P21*1.03</f>
        <v>21.218000000000004</v>
      </c>
      <c r="Q21" s="23">
        <f t="shared" si="3"/>
        <v>0</v>
      </c>
    </row>
    <row r="22" spans="1:17" ht="12.75">
      <c r="A22" s="20" t="str">
        <f>2nd_Year!A22</f>
        <v>CHLOROPHYLL A, FLUORESCENCE, FIELD FILTERED </v>
      </c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>
        <f t="shared" si="2"/>
        <v>0</v>
      </c>
      <c r="P22" s="23">
        <f>2nd_Year!P22*1.03</f>
        <v>24.697752</v>
      </c>
      <c r="Q22" s="23">
        <f t="shared" si="3"/>
        <v>0</v>
      </c>
    </row>
    <row r="23" spans="1:17" ht="12.75">
      <c r="A23" s="20" t="str">
        <f>2nd_Year!A23</f>
        <v>CHLOROPHYLL A, FLUORESCENCE LAB FILTERED</v>
      </c>
      <c r="B23" s="20"/>
      <c r="C23" s="21">
        <v>1</v>
      </c>
      <c r="D23" s="21">
        <v>1</v>
      </c>
      <c r="E23" s="21">
        <v>1</v>
      </c>
      <c r="F23" s="21"/>
      <c r="G23" s="21"/>
      <c r="H23" s="21"/>
      <c r="I23" s="21"/>
      <c r="J23" s="21"/>
      <c r="K23" s="21"/>
      <c r="L23" s="21"/>
      <c r="M23" s="21">
        <v>1</v>
      </c>
      <c r="N23" s="21">
        <v>1</v>
      </c>
      <c r="O23" s="22">
        <f t="shared" si="2"/>
        <v>5</v>
      </c>
      <c r="P23" s="23">
        <f>2nd_Year!P23*1.03</f>
        <v>26.013268000000004</v>
      </c>
      <c r="Q23" s="23">
        <f t="shared" si="3"/>
        <v>130.06634000000003</v>
      </c>
    </row>
    <row r="24" spans="1:17" ht="12.75">
      <c r="A24" s="20" t="str">
        <f>2nd_Year!A24</f>
        <v>COLOR, TRUE, PT-CO</v>
      </c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>
        <f t="shared" si="2"/>
        <v>0</v>
      </c>
      <c r="P24" s="23">
        <f>2nd_Year!P24*1.03</f>
        <v>26.5225</v>
      </c>
      <c r="Q24" s="23">
        <f t="shared" si="3"/>
        <v>0</v>
      </c>
    </row>
    <row r="25" spans="1:17" ht="12.75">
      <c r="A25" s="20" t="str">
        <f>2nd_Year!A25</f>
        <v>HARDNESS, CALCULATION METHOD (When Metals Done)</v>
      </c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>
        <f t="shared" si="2"/>
        <v>0</v>
      </c>
      <c r="P25" s="23">
        <f>2nd_Year!P25*1.03</f>
        <v>5.697033</v>
      </c>
      <c r="Q25" s="23">
        <f t="shared" si="3"/>
        <v>0</v>
      </c>
    </row>
    <row r="26" spans="1:17" ht="12.75">
      <c r="A26" s="20" t="str">
        <f>2nd_Year!A26</f>
        <v>HARDNESS, CALCULATION METHOD (When Metals not Done)</v>
      </c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2">
        <f t="shared" si="2"/>
        <v>0</v>
      </c>
      <c r="P26" s="23">
        <f>2nd_Year!P26*1.03</f>
        <v>56.03673800000001</v>
      </c>
      <c r="Q26" s="23">
        <f t="shared" si="3"/>
        <v>0</v>
      </c>
    </row>
    <row r="27" spans="1:17" ht="12.75">
      <c r="A27" s="20" t="str">
        <f>2nd_Year!A27</f>
        <v>SULFATE (EPA 375.2)</v>
      </c>
      <c r="B27" s="20"/>
      <c r="C27" s="21">
        <v>1</v>
      </c>
      <c r="D27" s="21">
        <v>1</v>
      </c>
      <c r="E27" s="21">
        <v>1</v>
      </c>
      <c r="F27" s="21">
        <v>1</v>
      </c>
      <c r="G27" s="21"/>
      <c r="H27" s="21"/>
      <c r="I27" s="21"/>
      <c r="J27" s="21"/>
      <c r="K27" s="21"/>
      <c r="L27" s="21">
        <v>1</v>
      </c>
      <c r="M27" s="21">
        <v>1</v>
      </c>
      <c r="N27" s="21">
        <v>1</v>
      </c>
      <c r="O27" s="22">
        <f t="shared" si="2"/>
        <v>7</v>
      </c>
      <c r="P27" s="23">
        <f>2nd_Year!P27*1.03</f>
        <v>27.5834</v>
      </c>
      <c r="Q27" s="23">
        <f t="shared" si="3"/>
        <v>193.0838</v>
      </c>
    </row>
    <row r="28" spans="1:17" ht="12.75">
      <c r="A28" s="20" t="str">
        <f>2nd_Year!A28</f>
        <v>SUSPENDED SOLIDS</v>
      </c>
      <c r="B28" s="20"/>
      <c r="C28" s="21">
        <v>4</v>
      </c>
      <c r="D28" s="21">
        <v>4</v>
      </c>
      <c r="E28" s="21">
        <v>4</v>
      </c>
      <c r="F28" s="21">
        <v>1</v>
      </c>
      <c r="G28" s="21"/>
      <c r="H28" s="21"/>
      <c r="I28" s="21"/>
      <c r="J28" s="21"/>
      <c r="K28" s="21"/>
      <c r="L28" s="21">
        <v>1</v>
      </c>
      <c r="M28" s="21">
        <v>4</v>
      </c>
      <c r="N28" s="21">
        <v>4</v>
      </c>
      <c r="O28" s="22">
        <f t="shared" si="2"/>
        <v>22</v>
      </c>
      <c r="P28" s="23">
        <f>2nd_Year!P28*1.03</f>
        <v>19.94492</v>
      </c>
      <c r="Q28" s="23">
        <f t="shared" si="3"/>
        <v>438.78824</v>
      </c>
    </row>
    <row r="29" spans="1:17" ht="12.75">
      <c r="A29" s="20" t="str">
        <f>2nd_Year!A29</f>
        <v>TOTAL DISSOLVED SOLIDS, 180 C</v>
      </c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2">
        <f t="shared" si="2"/>
        <v>0</v>
      </c>
      <c r="P29" s="23">
        <f>2nd_Year!P29*1.03</f>
        <v>18.173216999999998</v>
      </c>
      <c r="Q29" s="23">
        <f t="shared" si="3"/>
        <v>0</v>
      </c>
    </row>
    <row r="30" spans="1:17" ht="12.75">
      <c r="A30" s="20" t="str">
        <f>2nd_Year!A30</f>
        <v>TOTAL VOLATILE SOLIDS</v>
      </c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>
        <f t="shared" si="2"/>
        <v>0</v>
      </c>
      <c r="P30" s="23">
        <f>2nd_Year!P30*1.03</f>
        <v>10.640827</v>
      </c>
      <c r="Q30" s="23">
        <f t="shared" si="3"/>
        <v>0</v>
      </c>
    </row>
    <row r="31" spans="1:17" ht="12.75">
      <c r="A31" s="28" t="str">
        <f>2nd_Year!A31</f>
        <v>TURBIDITY</v>
      </c>
      <c r="B31" s="2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>
        <f t="shared" si="2"/>
        <v>0</v>
      </c>
      <c r="P31" s="23">
        <f>2nd_Year!P31*1.03</f>
        <v>10.609000000000002</v>
      </c>
      <c r="Q31" s="23">
        <f t="shared" si="3"/>
        <v>0</v>
      </c>
    </row>
    <row r="32" spans="1:17" ht="12.75">
      <c r="A32" s="20" t="str">
        <f>2nd_Year!A32</f>
        <v>FIELD TESTS (For each labslip with Field Testing Recorded)</v>
      </c>
      <c r="B32" s="20"/>
      <c r="C32" s="22">
        <f aca="true" t="shared" si="4" ref="C32:N32">IF($C$8="Y",MAXA(C12:C31),"")</f>
      </c>
      <c r="D32" s="22">
        <f t="shared" si="4"/>
      </c>
      <c r="E32" s="22">
        <f t="shared" si="4"/>
      </c>
      <c r="F32" s="22">
        <f t="shared" si="4"/>
      </c>
      <c r="G32" s="22">
        <f t="shared" si="4"/>
      </c>
      <c r="H32" s="22">
        <f t="shared" si="4"/>
      </c>
      <c r="I32" s="22">
        <f t="shared" si="4"/>
      </c>
      <c r="J32" s="22">
        <f t="shared" si="4"/>
      </c>
      <c r="K32" s="22">
        <f t="shared" si="4"/>
      </c>
      <c r="L32" s="22">
        <f t="shared" si="4"/>
      </c>
      <c r="M32" s="22">
        <f t="shared" si="4"/>
      </c>
      <c r="N32" s="22">
        <f t="shared" si="4"/>
      </c>
      <c r="O32" s="22">
        <f t="shared" si="2"/>
        <v>0</v>
      </c>
      <c r="P32" s="23">
        <f>2nd_Year!P32*1.03</f>
        <v>6.747324000000001</v>
      </c>
      <c r="Q32" s="23">
        <f t="shared" si="3"/>
        <v>0</v>
      </c>
    </row>
    <row r="33" spans="1:17" ht="12.75">
      <c r="A33" s="4" t="s">
        <v>46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20" t="str">
        <f>2nd_Year!A34</f>
        <v>CALCIUM, TOTAL RECOVERABLE, ICP</v>
      </c>
      <c r="B34" s="20"/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2">
        <f aca="true" t="shared" si="5" ref="O34:O40">(SUM(C34:N34))</f>
        <v>0</v>
      </c>
      <c r="P34" s="23">
        <f>2nd_Year!P34*1.03</f>
        <v>13.7917</v>
      </c>
      <c r="Q34" s="23">
        <f aca="true" t="shared" si="6" ref="Q34:Q40">O34*P34</f>
        <v>0</v>
      </c>
    </row>
    <row r="35" spans="1:17" ht="12.75">
      <c r="A35" s="20" t="str">
        <f>2nd_Year!A35</f>
        <v>IRON,  TOTAL RECOVERABLE, ICP</v>
      </c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2">
        <f t="shared" si="5"/>
        <v>0</v>
      </c>
      <c r="P35" s="23">
        <f>2nd_Year!P35*1.03</f>
        <v>13.7917</v>
      </c>
      <c r="Q35" s="23">
        <f t="shared" si="6"/>
        <v>0</v>
      </c>
    </row>
    <row r="36" spans="1:17" ht="12.75">
      <c r="A36" s="20" t="str">
        <f>2nd_Year!A36</f>
        <v>MAGNESIUM,  TOTAL RECOVERABLE, ICP</v>
      </c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2">
        <f t="shared" si="5"/>
        <v>0</v>
      </c>
      <c r="P36" s="23">
        <f>2nd_Year!P36*1.03</f>
        <v>13.7917</v>
      </c>
      <c r="Q36" s="23">
        <f t="shared" si="6"/>
        <v>0</v>
      </c>
    </row>
    <row r="37" spans="1:17" ht="12.75">
      <c r="A37" s="20" t="str">
        <f>2nd_Year!A37</f>
        <v>MANGANESE,  TOTAL RECOVERABLE, ICP</v>
      </c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2">
        <f t="shared" si="5"/>
        <v>0</v>
      </c>
      <c r="P37" s="23">
        <f>2nd_Year!P37*1.03</f>
        <v>13.7917</v>
      </c>
      <c r="Q37" s="23">
        <f t="shared" si="6"/>
        <v>0</v>
      </c>
    </row>
    <row r="38" spans="1:17" ht="12.75">
      <c r="A38" s="20" t="str">
        <f>2nd_Year!A38</f>
        <v>POTASSIUM,  TOTAL RECOVERABLE, ICP</v>
      </c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2">
        <f t="shared" si="5"/>
        <v>0</v>
      </c>
      <c r="P38" s="23">
        <f>2nd_Year!P38*1.03</f>
        <v>13.7917</v>
      </c>
      <c r="Q38" s="23">
        <f t="shared" si="6"/>
        <v>0</v>
      </c>
    </row>
    <row r="39" spans="1:17" ht="12.75">
      <c r="A39" s="20" t="str">
        <f>2nd_Year!A39</f>
        <v>SODIUM,  TOTAL RECOVERABLE, ICP</v>
      </c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2">
        <f t="shared" si="5"/>
        <v>0</v>
      </c>
      <c r="P39" s="23">
        <f>2nd_Year!P39*1.03</f>
        <v>13.7917</v>
      </c>
      <c r="Q39" s="23">
        <f t="shared" si="6"/>
        <v>0</v>
      </c>
    </row>
    <row r="40" spans="1:17" ht="12.75">
      <c r="A40" s="20" t="str">
        <f>2nd_Year!A40</f>
        <v>DIGESTION, TOT. RECOV. LOW LEVEL, ICP + ICP SETUP</v>
      </c>
      <c r="B40" s="20"/>
      <c r="C40" s="22">
        <f aca="true" t="shared" si="7" ref="C40:N40">MAXA(C34:C39)</f>
        <v>0</v>
      </c>
      <c r="D40" s="22">
        <f t="shared" si="7"/>
        <v>0</v>
      </c>
      <c r="E40" s="22">
        <f t="shared" si="7"/>
        <v>0</v>
      </c>
      <c r="F40" s="22">
        <f t="shared" si="7"/>
        <v>0</v>
      </c>
      <c r="G40" s="22">
        <f t="shared" si="7"/>
        <v>0</v>
      </c>
      <c r="H40" s="22">
        <f t="shared" si="7"/>
        <v>0</v>
      </c>
      <c r="I40" s="22">
        <f t="shared" si="7"/>
        <v>0</v>
      </c>
      <c r="J40" s="22">
        <f t="shared" si="7"/>
        <v>0</v>
      </c>
      <c r="K40" s="22">
        <f t="shared" si="7"/>
        <v>0</v>
      </c>
      <c r="L40" s="22">
        <f t="shared" si="7"/>
        <v>0</v>
      </c>
      <c r="M40" s="22">
        <f t="shared" si="7"/>
        <v>0</v>
      </c>
      <c r="N40" s="22">
        <f t="shared" si="7"/>
        <v>0</v>
      </c>
      <c r="O40" s="22">
        <f t="shared" si="5"/>
        <v>0</v>
      </c>
      <c r="P40" s="23">
        <f>2nd_Year!P40*1.03</f>
        <v>22.756305</v>
      </c>
      <c r="Q40" s="23">
        <f t="shared" si="6"/>
        <v>0</v>
      </c>
    </row>
    <row r="41" spans="1:17" ht="12.75">
      <c r="A41" s="4" t="s">
        <v>54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3"/>
      <c r="Q41" s="13"/>
    </row>
    <row r="42" spans="1:17" ht="12.75">
      <c r="A42" s="20" t="str">
        <f>2nd_Year!A42</f>
        <v>E COLI ENZYMATIC SUBTRATE QUANTITRAY MPN</v>
      </c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2">
        <f>(SUM(C42:N42))</f>
        <v>0</v>
      </c>
      <c r="P42" s="23">
        <f>2nd_Year!P42*1.03</f>
        <v>39.2533</v>
      </c>
      <c r="Q42" s="23">
        <f>O42*P42</f>
        <v>0</v>
      </c>
    </row>
    <row r="43" spans="1:17" ht="12.75">
      <c r="A43" s="20" t="str">
        <f>2nd_Year!A43</f>
        <v>Fecal Coliform (MFFCC)</v>
      </c>
      <c r="B43" s="20"/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2">
        <f>(SUM(C43:N43))</f>
        <v>0</v>
      </c>
      <c r="P43" s="23">
        <f>2nd_Year!P43*1.03</f>
        <v>39.2533</v>
      </c>
      <c r="Q43" s="23">
        <f>O43*P43</f>
        <v>0</v>
      </c>
    </row>
    <row r="44" spans="3:17" ht="12.75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3"/>
      <c r="Q44" s="13"/>
    </row>
    <row r="45" spans="15:17" ht="12.75">
      <c r="O45" s="4" t="s">
        <v>56</v>
      </c>
      <c r="P45" s="5"/>
      <c r="Q45" s="12">
        <f>SUM(Q12:Q43)</f>
        <v>3919.866365</v>
      </c>
    </row>
    <row r="46" spans="16:17" ht="12.75">
      <c r="P46" s="5"/>
      <c r="Q46" s="5"/>
    </row>
    <row r="47" spans="1:17" ht="12.75">
      <c r="A47" t="s">
        <v>57</v>
      </c>
      <c r="C47" s="11">
        <f aca="true" t="shared" si="8" ref="C47:N47">MAXA(C11:C40)</f>
        <v>5</v>
      </c>
      <c r="D47" s="11">
        <f t="shared" si="8"/>
        <v>5</v>
      </c>
      <c r="E47" s="11">
        <f t="shared" si="8"/>
        <v>5</v>
      </c>
      <c r="F47" s="11">
        <f t="shared" si="8"/>
        <v>1</v>
      </c>
      <c r="G47" s="11">
        <f t="shared" si="8"/>
        <v>0</v>
      </c>
      <c r="H47" s="11">
        <f t="shared" si="8"/>
        <v>0</v>
      </c>
      <c r="I47" s="11">
        <f t="shared" si="8"/>
        <v>0</v>
      </c>
      <c r="J47" s="11">
        <f t="shared" si="8"/>
        <v>0</v>
      </c>
      <c r="K47" s="11">
        <f t="shared" si="8"/>
        <v>0</v>
      </c>
      <c r="L47" s="11">
        <f t="shared" si="8"/>
        <v>1</v>
      </c>
      <c r="M47" s="11">
        <f t="shared" si="8"/>
        <v>5</v>
      </c>
      <c r="N47" s="11">
        <f t="shared" si="8"/>
        <v>5</v>
      </c>
      <c r="O47" s="11">
        <f>(SUM(C47:N47))</f>
        <v>27</v>
      </c>
      <c r="P47" s="14" t="s">
        <v>58</v>
      </c>
      <c r="Q47" s="5"/>
    </row>
    <row r="48" spans="1:17" ht="12.75">
      <c r="A48" t="s">
        <v>59</v>
      </c>
      <c r="C48" s="11">
        <f aca="true" t="shared" si="9" ref="C48:N48">MAXA(C42:C43)</f>
        <v>0</v>
      </c>
      <c r="D48" s="11">
        <f t="shared" si="9"/>
        <v>0</v>
      </c>
      <c r="E48" s="11">
        <f t="shared" si="9"/>
        <v>0</v>
      </c>
      <c r="F48" s="11">
        <f t="shared" si="9"/>
        <v>0</v>
      </c>
      <c r="G48" s="11">
        <f t="shared" si="9"/>
        <v>0</v>
      </c>
      <c r="H48" s="11">
        <f t="shared" si="9"/>
        <v>0</v>
      </c>
      <c r="I48" s="11">
        <f t="shared" si="9"/>
        <v>0</v>
      </c>
      <c r="J48" s="11">
        <f t="shared" si="9"/>
        <v>0</v>
      </c>
      <c r="K48" s="11">
        <f t="shared" si="9"/>
        <v>0</v>
      </c>
      <c r="L48" s="11">
        <f t="shared" si="9"/>
        <v>0</v>
      </c>
      <c r="M48" s="11">
        <f t="shared" si="9"/>
        <v>0</v>
      </c>
      <c r="N48" s="11">
        <f t="shared" si="9"/>
        <v>0</v>
      </c>
      <c r="O48" s="11">
        <f>(SUM(C48:N48))</f>
        <v>0</v>
      </c>
      <c r="P48" s="14" t="s">
        <v>60</v>
      </c>
      <c r="Q48" s="5"/>
    </row>
    <row r="49" spans="1:17" ht="12.75">
      <c r="A49" t="s">
        <v>61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5"/>
      <c r="Q49" s="5"/>
    </row>
  </sheetData>
  <sheetProtection/>
  <mergeCells count="2">
    <mergeCell ref="A21:B21"/>
    <mergeCell ref="A31:B31"/>
  </mergeCells>
  <printOptions/>
  <pageMargins left="0.4" right="0.4" top="0.333" bottom="0.333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Q49"/>
  <sheetViews>
    <sheetView showGridLines="0" tabSelected="1" zoomScalePageLayoutView="0" workbookViewId="0" topLeftCell="A4">
      <selection activeCell="E14" sqref="E14"/>
    </sheetView>
  </sheetViews>
  <sheetFormatPr defaultColWidth="9.7109375" defaultRowHeight="12.75"/>
  <cols>
    <col min="1" max="1" width="16.7109375" style="0" customWidth="1"/>
    <col min="2" max="2" width="45.7109375" style="0" customWidth="1"/>
    <col min="3" max="3" width="6.7109375" style="0" customWidth="1"/>
    <col min="4" max="9" width="5.7109375" style="0" customWidth="1"/>
    <col min="10" max="10" width="7.7109375" style="0" customWidth="1"/>
    <col min="11" max="11" width="6.7109375" style="0" customWidth="1"/>
    <col min="12" max="14" width="5.7109375" style="0" customWidth="1"/>
    <col min="15" max="15" width="11.7109375" style="0" customWidth="1"/>
    <col min="16" max="16" width="9.7109375" style="0" customWidth="1"/>
    <col min="17" max="17" width="17.7109375" style="0" customWidth="1"/>
  </cols>
  <sheetData>
    <row r="1" spans="1:17" ht="12.75">
      <c r="A1" s="4" t="s">
        <v>73</v>
      </c>
      <c r="F1" s="18" t="s">
        <v>69</v>
      </c>
      <c r="G1">
        <f>1st_Year!H1+3</f>
        <v>2016</v>
      </c>
      <c r="P1" s="5"/>
      <c r="Q1" s="5"/>
    </row>
    <row r="2" spans="10:17" ht="12.75">
      <c r="J2" s="5"/>
      <c r="O2" s="18"/>
      <c r="P2" s="5"/>
      <c r="Q2" s="5"/>
    </row>
    <row r="3" spans="1:17" ht="12.75">
      <c r="A3" t="s">
        <v>0</v>
      </c>
      <c r="B3" s="1" t="str">
        <f>3rd_Year!B3</f>
        <v>Big Blake Lake</v>
      </c>
      <c r="F3" t="s">
        <v>2</v>
      </c>
      <c r="I3" s="1">
        <f>3rd_Year!I3</f>
      </c>
      <c r="P3" s="5"/>
      <c r="Q3" s="5"/>
    </row>
    <row r="4" spans="1:17" ht="12.75">
      <c r="A4" t="s">
        <v>72</v>
      </c>
      <c r="B4" t="str">
        <f>3rd_Year!B4</f>
        <v> </v>
      </c>
      <c r="F4" t="s">
        <v>5</v>
      </c>
      <c r="I4" s="1">
        <f>3rd_Year!I4</f>
      </c>
      <c r="P4" s="5"/>
      <c r="Q4" s="5"/>
    </row>
    <row r="5" spans="1:17" ht="12.75">
      <c r="A5" t="s">
        <v>4</v>
      </c>
      <c r="B5" s="1" t="str">
        <f>3rd_Year!B5</f>
        <v>Polk</v>
      </c>
      <c r="P5" s="5"/>
      <c r="Q5" s="5"/>
    </row>
    <row r="6" spans="1:17" ht="12.75">
      <c r="A6" t="s">
        <v>6</v>
      </c>
      <c r="B6" s="1" t="str">
        <f>3rd_Year!B6</f>
        <v>Polk County LWRD</v>
      </c>
      <c r="P6" s="5"/>
      <c r="Q6" s="5"/>
    </row>
    <row r="7" spans="1:17" ht="12.75">
      <c r="A7" t="s">
        <v>7</v>
      </c>
      <c r="C7" s="16" t="s">
        <v>8</v>
      </c>
      <c r="D7" s="19">
        <f>3rd_Year!D7+1</f>
        <v>2015</v>
      </c>
      <c r="M7" s="19">
        <f>3rd_Year!M7+1</f>
        <v>2016</v>
      </c>
      <c r="P7" s="5"/>
      <c r="Q7" s="5"/>
    </row>
    <row r="8" spans="1:17" ht="12.75">
      <c r="A8" t="s">
        <v>9</v>
      </c>
      <c r="B8" s="1"/>
      <c r="C8" s="17" t="s">
        <v>8</v>
      </c>
      <c r="P8" s="5"/>
      <c r="Q8" s="5"/>
    </row>
    <row r="9" spans="1:17" ht="12.75">
      <c r="A9" s="4"/>
      <c r="B9" s="4"/>
      <c r="C9" s="4"/>
      <c r="D9" s="4"/>
      <c r="E9" s="4"/>
      <c r="F9" s="4" t="s">
        <v>77</v>
      </c>
      <c r="H9" s="4"/>
      <c r="I9" s="4"/>
      <c r="J9" s="4"/>
      <c r="K9" s="4"/>
      <c r="L9" s="4"/>
      <c r="M9" s="4"/>
      <c r="N9" s="4"/>
      <c r="O9" s="8" t="s">
        <v>10</v>
      </c>
      <c r="P9" s="9" t="s">
        <v>11</v>
      </c>
      <c r="Q9" s="9" t="s">
        <v>12</v>
      </c>
    </row>
    <row r="10" spans="1:17" ht="12.75">
      <c r="A10" s="4" t="s">
        <v>14</v>
      </c>
      <c r="B10" s="4"/>
      <c r="C10" s="4" t="s">
        <v>16</v>
      </c>
      <c r="D10" s="4" t="s">
        <v>17</v>
      </c>
      <c r="E10" s="4" t="s">
        <v>18</v>
      </c>
      <c r="F10" s="4" t="s">
        <v>19</v>
      </c>
      <c r="G10" s="4" t="s">
        <v>20</v>
      </c>
      <c r="H10" s="4" t="s">
        <v>21</v>
      </c>
      <c r="I10" s="4" t="s">
        <v>22</v>
      </c>
      <c r="J10" s="4" t="s">
        <v>23</v>
      </c>
      <c r="K10" s="4" t="s">
        <v>24</v>
      </c>
      <c r="L10" s="4" t="s">
        <v>25</v>
      </c>
      <c r="M10" s="4" t="s">
        <v>26</v>
      </c>
      <c r="N10" s="4" t="s">
        <v>27</v>
      </c>
      <c r="O10" s="8" t="s">
        <v>28</v>
      </c>
      <c r="P10" s="9" t="s">
        <v>29</v>
      </c>
      <c r="Q10" s="9" t="s">
        <v>30</v>
      </c>
    </row>
    <row r="11" spans="1:17" ht="12.75">
      <c r="A11" s="4" t="s">
        <v>31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20" t="str">
        <f>3rd_Year!A12</f>
        <v>DISSOLVED REACTIVE P (ORTHO)</v>
      </c>
      <c r="B12" s="20"/>
      <c r="C12" s="21">
        <v>5</v>
      </c>
      <c r="D12" s="21">
        <v>5</v>
      </c>
      <c r="E12" s="21">
        <v>5</v>
      </c>
      <c r="F12" s="21">
        <v>1</v>
      </c>
      <c r="G12" s="21"/>
      <c r="H12" s="21"/>
      <c r="I12" s="21"/>
      <c r="J12" s="21"/>
      <c r="K12" s="21"/>
      <c r="L12" s="21"/>
      <c r="M12" s="21"/>
      <c r="N12" s="21"/>
      <c r="O12" s="22">
        <f aca="true" t="shared" si="0" ref="O12:O17">(SUM(C12:N12))</f>
        <v>16</v>
      </c>
      <c r="P12" s="23">
        <f>3rd_Year!P12*1.03</f>
        <v>18.215759090000002</v>
      </c>
      <c r="Q12" s="23">
        <f aca="true" t="shared" si="1" ref="Q12:Q17">O12*P12</f>
        <v>291.45214544000004</v>
      </c>
    </row>
    <row r="13" spans="1:17" ht="12.75">
      <c r="A13" s="20" t="str">
        <f>3rd_Year!A13</f>
        <v>TOTAL PHOSPHORUS</v>
      </c>
      <c r="B13" s="20"/>
      <c r="C13" s="21">
        <v>5</v>
      </c>
      <c r="D13" s="21">
        <v>5</v>
      </c>
      <c r="E13" s="21">
        <v>5</v>
      </c>
      <c r="F13" s="21">
        <v>1</v>
      </c>
      <c r="G13" s="21"/>
      <c r="H13" s="21"/>
      <c r="I13" s="21"/>
      <c r="J13" s="21"/>
      <c r="K13" s="21"/>
      <c r="L13" s="21"/>
      <c r="M13" s="21"/>
      <c r="N13" s="21"/>
      <c r="O13" s="22">
        <f t="shared" si="0"/>
        <v>16</v>
      </c>
      <c r="P13" s="23">
        <f>3rd_Year!P13*1.03</f>
        <v>25.788357200000004</v>
      </c>
      <c r="Q13" s="23">
        <f t="shared" si="1"/>
        <v>412.61371520000006</v>
      </c>
    </row>
    <row r="14" spans="1:17" ht="12.75">
      <c r="A14" s="20" t="str">
        <f>3rd_Year!A14</f>
        <v>TOTAL DISS PHOSPHORUS (AS P), (EPA 365.1)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>
        <f t="shared" si="0"/>
        <v>0</v>
      </c>
      <c r="P14" s="23">
        <f>3rd_Year!P14*1.03</f>
        <v>25.788357200000004</v>
      </c>
      <c r="Q14" s="23">
        <f t="shared" si="1"/>
        <v>0</v>
      </c>
    </row>
    <row r="15" spans="1:17" ht="12.75">
      <c r="A15" s="20" t="str">
        <f>3rd_Year!A15</f>
        <v>TOTAL KJELDAHL NITROGEN</v>
      </c>
      <c r="B15" s="20"/>
      <c r="C15" s="21">
        <v>4</v>
      </c>
      <c r="D15" s="21">
        <v>4</v>
      </c>
      <c r="E15" s="21">
        <v>4</v>
      </c>
      <c r="F15" s="21">
        <v>1</v>
      </c>
      <c r="G15" s="21"/>
      <c r="H15" s="21"/>
      <c r="I15" s="21"/>
      <c r="J15" s="21"/>
      <c r="K15" s="21"/>
      <c r="L15" s="21"/>
      <c r="M15" s="21"/>
      <c r="N15" s="21"/>
      <c r="O15" s="22">
        <f t="shared" si="0"/>
        <v>13</v>
      </c>
      <c r="P15" s="23">
        <f>3rd_Year!P15*1.03</f>
        <v>36.04906373</v>
      </c>
      <c r="Q15" s="23">
        <f t="shared" si="1"/>
        <v>468.63782849</v>
      </c>
    </row>
    <row r="16" spans="1:17" ht="12.75">
      <c r="A16" s="20" t="str">
        <f>3rd_Year!A16</f>
        <v>NITRATE+NITRITE (AS N), DISS (EPA 353.2)</v>
      </c>
      <c r="B16" s="20"/>
      <c r="C16" s="21">
        <v>4</v>
      </c>
      <c r="D16" s="21">
        <v>4</v>
      </c>
      <c r="E16" s="21">
        <v>4</v>
      </c>
      <c r="F16" s="21">
        <v>1</v>
      </c>
      <c r="G16" s="21"/>
      <c r="H16" s="21"/>
      <c r="I16" s="21"/>
      <c r="J16" s="21"/>
      <c r="K16" s="21"/>
      <c r="L16" s="21"/>
      <c r="M16" s="21"/>
      <c r="N16" s="21"/>
      <c r="O16" s="22">
        <f t="shared" si="0"/>
        <v>13</v>
      </c>
      <c r="P16" s="23">
        <f>3rd_Year!P16*1.03</f>
        <v>29.503629000000007</v>
      </c>
      <c r="Q16" s="23">
        <f t="shared" si="1"/>
        <v>383.5471770000001</v>
      </c>
    </row>
    <row r="17" spans="1:17" ht="12.75">
      <c r="A17" s="20" t="str">
        <f>3rd_Year!A17</f>
        <v>AMMONIA-N, DISSOLVED</v>
      </c>
      <c r="B17" s="20"/>
      <c r="C17" s="21">
        <v>4</v>
      </c>
      <c r="D17" s="21">
        <v>4</v>
      </c>
      <c r="E17" s="21">
        <v>4</v>
      </c>
      <c r="F17" s="21">
        <v>1</v>
      </c>
      <c r="G17" s="21"/>
      <c r="H17" s="21"/>
      <c r="I17" s="21"/>
      <c r="J17" s="21"/>
      <c r="K17" s="21"/>
      <c r="L17" s="21"/>
      <c r="M17" s="21"/>
      <c r="N17" s="21"/>
      <c r="O17" s="22">
        <f t="shared" si="0"/>
        <v>13</v>
      </c>
      <c r="P17" s="23">
        <f>3rd_Year!P17*1.03</f>
        <v>28.290702030000006</v>
      </c>
      <c r="Q17" s="23">
        <f t="shared" si="1"/>
        <v>367.7791263900001</v>
      </c>
    </row>
    <row r="18" spans="1:17" ht="12.75">
      <c r="A18" s="4" t="s">
        <v>34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20" t="str">
        <f>3rd_Year!A19</f>
        <v>AUTOMATED CONDUCTIVITY, PH &amp; ALKALINITY</v>
      </c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>
        <f aca="true" t="shared" si="2" ref="O19:O32">(SUM(C19:N19))</f>
        <v>0</v>
      </c>
      <c r="P19" s="23">
        <f>3rd_Year!P19*1.03</f>
        <v>24.039994</v>
      </c>
      <c r="Q19" s="23">
        <f aca="true" t="shared" si="3" ref="Q19:Q32">O19*P19</f>
        <v>0</v>
      </c>
    </row>
    <row r="20" spans="1:17" ht="12.75">
      <c r="A20" s="20" t="str">
        <f>3rd_Year!A20</f>
        <v>ALKALINITY, GRAN TECHNIQUE</v>
      </c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>
        <f t="shared" si="2"/>
        <v>0</v>
      </c>
      <c r="P20" s="23">
        <f>3rd_Year!P20*1.03</f>
        <v>59.007258000000014</v>
      </c>
      <c r="Q20" s="23">
        <f t="shared" si="3"/>
        <v>0</v>
      </c>
    </row>
    <row r="21" spans="1:17" ht="12.75">
      <c r="A21" s="28" t="str">
        <f>3rd_Year!A21</f>
        <v>CHLORIDE</v>
      </c>
      <c r="B21" s="29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>
        <f t="shared" si="2"/>
        <v>0</v>
      </c>
      <c r="P21" s="23">
        <f>3rd_Year!P21*1.03</f>
        <v>21.854540000000004</v>
      </c>
      <c r="Q21" s="23">
        <f t="shared" si="3"/>
        <v>0</v>
      </c>
    </row>
    <row r="22" spans="1:17" ht="12.75">
      <c r="A22" s="20" t="str">
        <f>3rd_Year!A22</f>
        <v>CHLOROPHYLL A, FLUORESCENCE, FIELD FILTERED </v>
      </c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>
        <f t="shared" si="2"/>
        <v>0</v>
      </c>
      <c r="P22" s="23">
        <f>3rd_Year!P22*1.03</f>
        <v>25.438684560000002</v>
      </c>
      <c r="Q22" s="23">
        <f t="shared" si="3"/>
        <v>0</v>
      </c>
    </row>
    <row r="23" spans="1:17" ht="12.75">
      <c r="A23" s="20" t="str">
        <f>3rd_Year!A23</f>
        <v>CHLOROPHYLL A, FLUORESCENCE LAB FILTERED</v>
      </c>
      <c r="B23" s="20"/>
      <c r="C23" s="21">
        <v>1</v>
      </c>
      <c r="D23" s="21">
        <v>1</v>
      </c>
      <c r="E23" s="21">
        <v>1</v>
      </c>
      <c r="F23" s="21"/>
      <c r="G23" s="21"/>
      <c r="H23" s="21"/>
      <c r="I23" s="21"/>
      <c r="J23" s="21"/>
      <c r="K23" s="21"/>
      <c r="L23" s="21"/>
      <c r="M23" s="21"/>
      <c r="N23" s="21"/>
      <c r="O23" s="22">
        <f t="shared" si="2"/>
        <v>3</v>
      </c>
      <c r="P23" s="23">
        <f>3rd_Year!P23*1.03</f>
        <v>26.793666040000005</v>
      </c>
      <c r="Q23" s="23">
        <f t="shared" si="3"/>
        <v>80.38099812000002</v>
      </c>
    </row>
    <row r="24" spans="1:17" ht="12.75">
      <c r="A24" s="20" t="str">
        <f>3rd_Year!A24</f>
        <v>COLOR, TRUE, PT-CO</v>
      </c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>
        <f t="shared" si="2"/>
        <v>0</v>
      </c>
      <c r="P24" s="23">
        <f>3rd_Year!P24*1.03</f>
        <v>27.318175</v>
      </c>
      <c r="Q24" s="23">
        <f t="shared" si="3"/>
        <v>0</v>
      </c>
    </row>
    <row r="25" spans="1:17" ht="12.75">
      <c r="A25" s="20" t="str">
        <f>3rd_Year!A25</f>
        <v>HARDNESS, CALCULATION METHOD (When Metals Done)</v>
      </c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>
        <f t="shared" si="2"/>
        <v>0</v>
      </c>
      <c r="P25" s="23">
        <f>3rd_Year!P25*1.03</f>
        <v>5.8679439900000006</v>
      </c>
      <c r="Q25" s="23">
        <f t="shared" si="3"/>
        <v>0</v>
      </c>
    </row>
    <row r="26" spans="1:17" ht="12.75">
      <c r="A26" s="20" t="str">
        <f>3rd_Year!A26</f>
        <v>HARDNESS, CALCULATION METHOD (When Metals not Done)</v>
      </c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2">
        <f t="shared" si="2"/>
        <v>0</v>
      </c>
      <c r="P26" s="23">
        <f>3rd_Year!P26*1.03</f>
        <v>57.71784014000001</v>
      </c>
      <c r="Q26" s="23">
        <f t="shared" si="3"/>
        <v>0</v>
      </c>
    </row>
    <row r="27" spans="1:17" ht="12.75">
      <c r="A27" s="20" t="str">
        <f>3rd_Year!A27</f>
        <v>SULFATE (EPA 375.2)</v>
      </c>
      <c r="B27" s="20"/>
      <c r="C27" s="21">
        <v>1</v>
      </c>
      <c r="D27" s="21">
        <v>1</v>
      </c>
      <c r="E27" s="21">
        <v>1</v>
      </c>
      <c r="F27" s="21">
        <v>1</v>
      </c>
      <c r="G27" s="21"/>
      <c r="H27" s="21"/>
      <c r="I27" s="21"/>
      <c r="J27" s="21"/>
      <c r="K27" s="21"/>
      <c r="L27" s="21"/>
      <c r="M27" s="21"/>
      <c r="N27" s="21"/>
      <c r="O27" s="22">
        <f t="shared" si="2"/>
        <v>4</v>
      </c>
      <c r="P27" s="23">
        <f>3rd_Year!P27*1.03</f>
        <v>28.410902</v>
      </c>
      <c r="Q27" s="23">
        <f t="shared" si="3"/>
        <v>113.643608</v>
      </c>
    </row>
    <row r="28" spans="1:17" ht="12.75">
      <c r="A28" s="20" t="str">
        <f>3rd_Year!A28</f>
        <v>SUSPENDED SOLIDS</v>
      </c>
      <c r="B28" s="20"/>
      <c r="C28" s="21">
        <v>4</v>
      </c>
      <c r="D28" s="21">
        <v>4</v>
      </c>
      <c r="E28" s="21">
        <v>4</v>
      </c>
      <c r="F28" s="21">
        <v>1</v>
      </c>
      <c r="G28" s="21"/>
      <c r="H28" s="21"/>
      <c r="I28" s="21"/>
      <c r="J28" s="21"/>
      <c r="K28" s="21"/>
      <c r="L28" s="21"/>
      <c r="M28" s="21"/>
      <c r="N28" s="21"/>
      <c r="O28" s="22">
        <f t="shared" si="2"/>
        <v>13</v>
      </c>
      <c r="P28" s="23">
        <f>3rd_Year!P28*1.03</f>
        <v>20.5432676</v>
      </c>
      <c r="Q28" s="23">
        <f t="shared" si="3"/>
        <v>267.0624788</v>
      </c>
    </row>
    <row r="29" spans="1:17" ht="12.75">
      <c r="A29" s="20" t="str">
        <f>3rd_Year!A29</f>
        <v>TOTAL DISSOLVED SOLIDS, 180 C</v>
      </c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2">
        <f t="shared" si="2"/>
        <v>0</v>
      </c>
      <c r="P29" s="23">
        <f>3rd_Year!P29*1.03</f>
        <v>18.718413509999998</v>
      </c>
      <c r="Q29" s="23">
        <f t="shared" si="3"/>
        <v>0</v>
      </c>
    </row>
    <row r="30" spans="1:17" ht="12.75">
      <c r="A30" s="20" t="str">
        <f>3rd_Year!A30</f>
        <v>TOTAL VOLATILE SOLIDS</v>
      </c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>
        <f t="shared" si="2"/>
        <v>0</v>
      </c>
      <c r="P30" s="23">
        <f>3rd_Year!P30*1.03</f>
        <v>10.96005181</v>
      </c>
      <c r="Q30" s="23">
        <f t="shared" si="3"/>
        <v>0</v>
      </c>
    </row>
    <row r="31" spans="1:17" ht="12.75">
      <c r="A31" s="28" t="str">
        <f>3rd_Year!A31</f>
        <v>TURBIDITY</v>
      </c>
      <c r="B31" s="2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>
        <f t="shared" si="2"/>
        <v>0</v>
      </c>
      <c r="P31" s="23">
        <f>3rd_Year!P31*1.03</f>
        <v>10.927270000000002</v>
      </c>
      <c r="Q31" s="23">
        <f t="shared" si="3"/>
        <v>0</v>
      </c>
    </row>
    <row r="32" spans="1:17" ht="12.75">
      <c r="A32" s="20" t="str">
        <f>3rd_Year!A32</f>
        <v>FIELD TESTS (For each labslip with Field Testing Recorded)</v>
      </c>
      <c r="B32" s="20"/>
      <c r="C32" s="22">
        <f aca="true" t="shared" si="4" ref="C32:N32">IF($C$8="Y",MAXA(C12:C31),"")</f>
      </c>
      <c r="D32" s="22">
        <f t="shared" si="4"/>
      </c>
      <c r="E32" s="22">
        <f t="shared" si="4"/>
      </c>
      <c r="F32" s="22">
        <f t="shared" si="4"/>
      </c>
      <c r="G32" s="22">
        <f t="shared" si="4"/>
      </c>
      <c r="H32" s="22">
        <f t="shared" si="4"/>
      </c>
      <c r="I32" s="22">
        <f t="shared" si="4"/>
      </c>
      <c r="J32" s="22">
        <f t="shared" si="4"/>
      </c>
      <c r="K32" s="22">
        <f t="shared" si="4"/>
      </c>
      <c r="L32" s="22">
        <f t="shared" si="4"/>
      </c>
      <c r="M32" s="22">
        <f t="shared" si="4"/>
      </c>
      <c r="N32" s="22">
        <f t="shared" si="4"/>
      </c>
      <c r="O32" s="22">
        <f t="shared" si="2"/>
        <v>0</v>
      </c>
      <c r="P32" s="23">
        <f>3rd_Year!P32*1.03</f>
        <v>6.949743720000001</v>
      </c>
      <c r="Q32" s="23">
        <f t="shared" si="3"/>
        <v>0</v>
      </c>
    </row>
    <row r="33" spans="1:17" ht="12.75">
      <c r="A33" s="4" t="str">
        <f>3rd_Year!A33</f>
        <v>TOTAL METALS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20" t="str">
        <f>3rd_Year!A34</f>
        <v>CALCIUM, TOTAL RECOVERABLE, ICP</v>
      </c>
      <c r="B34" s="20"/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2">
        <f aca="true" t="shared" si="5" ref="O34:O40">(SUM(C34:N34))</f>
        <v>0</v>
      </c>
      <c r="P34" s="23">
        <f>3rd_Year!P34*1.03</f>
        <v>14.205451</v>
      </c>
      <c r="Q34" s="23">
        <f aca="true" t="shared" si="6" ref="Q34:Q40">O34*P34</f>
        <v>0</v>
      </c>
    </row>
    <row r="35" spans="1:17" ht="12.75">
      <c r="A35" s="20" t="str">
        <f>3rd_Year!A35</f>
        <v>IRON,  TOTAL RECOVERABLE, ICP</v>
      </c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2">
        <f t="shared" si="5"/>
        <v>0</v>
      </c>
      <c r="P35" s="23">
        <f>3rd_Year!P35*1.03</f>
        <v>14.205451</v>
      </c>
      <c r="Q35" s="23">
        <f t="shared" si="6"/>
        <v>0</v>
      </c>
    </row>
    <row r="36" spans="1:17" ht="12.75">
      <c r="A36" s="20" t="str">
        <f>3rd_Year!A36</f>
        <v>MAGNESIUM,  TOTAL RECOVERABLE, ICP</v>
      </c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2">
        <f t="shared" si="5"/>
        <v>0</v>
      </c>
      <c r="P36" s="23">
        <f>3rd_Year!P36*1.03</f>
        <v>14.205451</v>
      </c>
      <c r="Q36" s="23">
        <f t="shared" si="6"/>
        <v>0</v>
      </c>
    </row>
    <row r="37" spans="1:17" ht="12.75">
      <c r="A37" s="20" t="str">
        <f>3rd_Year!A37</f>
        <v>MANGANESE,  TOTAL RECOVERABLE, ICP</v>
      </c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2">
        <f t="shared" si="5"/>
        <v>0</v>
      </c>
      <c r="P37" s="23">
        <f>3rd_Year!P37*1.03</f>
        <v>14.205451</v>
      </c>
      <c r="Q37" s="23">
        <f t="shared" si="6"/>
        <v>0</v>
      </c>
    </row>
    <row r="38" spans="1:17" ht="12.75">
      <c r="A38" s="20" t="str">
        <f>3rd_Year!A38</f>
        <v>POTASSIUM,  TOTAL RECOVERABLE, ICP</v>
      </c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2">
        <f t="shared" si="5"/>
        <v>0</v>
      </c>
      <c r="P38" s="23">
        <f>3rd_Year!P38*1.03</f>
        <v>14.205451</v>
      </c>
      <c r="Q38" s="23">
        <f t="shared" si="6"/>
        <v>0</v>
      </c>
    </row>
    <row r="39" spans="1:17" ht="12.75">
      <c r="A39" s="20" t="str">
        <f>3rd_Year!A39</f>
        <v>SODIUM,  TOTAL RECOVERABLE, ICP</v>
      </c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2">
        <f t="shared" si="5"/>
        <v>0</v>
      </c>
      <c r="P39" s="23">
        <f>3rd_Year!P39*1.03</f>
        <v>14.205451</v>
      </c>
      <c r="Q39" s="23">
        <f t="shared" si="6"/>
        <v>0</v>
      </c>
    </row>
    <row r="40" spans="1:17" ht="12.75">
      <c r="A40" s="20" t="str">
        <f>3rd_Year!A40</f>
        <v>DIGESTION, TOT. RECOV. LOW LEVEL, ICP + ICP SETUP</v>
      </c>
      <c r="B40" s="20"/>
      <c r="C40" s="22">
        <f aca="true" t="shared" si="7" ref="C40:N40">MAXA(C34:C39)</f>
        <v>0</v>
      </c>
      <c r="D40" s="22">
        <f t="shared" si="7"/>
        <v>0</v>
      </c>
      <c r="E40" s="22">
        <f t="shared" si="7"/>
        <v>0</v>
      </c>
      <c r="F40" s="22">
        <f t="shared" si="7"/>
        <v>0</v>
      </c>
      <c r="G40" s="22">
        <f t="shared" si="7"/>
        <v>0</v>
      </c>
      <c r="H40" s="22">
        <f t="shared" si="7"/>
        <v>0</v>
      </c>
      <c r="I40" s="22">
        <f t="shared" si="7"/>
        <v>0</v>
      </c>
      <c r="J40" s="22">
        <f t="shared" si="7"/>
        <v>0</v>
      </c>
      <c r="K40" s="22">
        <f t="shared" si="7"/>
        <v>0</v>
      </c>
      <c r="L40" s="22">
        <f t="shared" si="7"/>
        <v>0</v>
      </c>
      <c r="M40" s="22">
        <f t="shared" si="7"/>
        <v>0</v>
      </c>
      <c r="N40" s="22">
        <f t="shared" si="7"/>
        <v>0</v>
      </c>
      <c r="O40" s="22">
        <f t="shared" si="5"/>
        <v>0</v>
      </c>
      <c r="P40" s="23">
        <f>3rd_Year!P40*1.03</f>
        <v>23.438994150000003</v>
      </c>
      <c r="Q40" s="23">
        <f t="shared" si="6"/>
        <v>0</v>
      </c>
    </row>
    <row r="41" spans="1:17" ht="12.75">
      <c r="A41" s="4" t="s">
        <v>54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3"/>
      <c r="Q41" s="13"/>
    </row>
    <row r="42" spans="1:17" ht="12.75">
      <c r="A42" s="20" t="str">
        <f>3rd_Year!A42</f>
        <v>E COLI ENZYMATIC SUBTRATE QUANTITRAY MPN</v>
      </c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2">
        <f>(SUM(C42:N42))</f>
        <v>0</v>
      </c>
      <c r="P42" s="23">
        <f>3rd_Year!P42*1.03</f>
        <v>40.430899000000004</v>
      </c>
      <c r="Q42" s="23">
        <f>O42*P42</f>
        <v>0</v>
      </c>
    </row>
    <row r="43" spans="1:17" ht="12.75">
      <c r="A43" s="20" t="str">
        <f>3rd_Year!A43</f>
        <v>Fecal Coliform (MFFCC)</v>
      </c>
      <c r="B43" s="20"/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2">
        <f>(SUM(C43:N43))</f>
        <v>0</v>
      </c>
      <c r="P43" s="23">
        <f>3rd_Year!P43*1.03</f>
        <v>40.430899000000004</v>
      </c>
      <c r="Q43" s="23">
        <f>O43*P43</f>
        <v>0</v>
      </c>
    </row>
    <row r="44" spans="3:17" ht="12.75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3"/>
      <c r="Q44" s="13"/>
    </row>
    <row r="45" spans="15:17" ht="12.75">
      <c r="O45" s="4" t="s">
        <v>56</v>
      </c>
      <c r="P45" s="5"/>
      <c r="Q45" s="12">
        <f>SUM(Q12:Q43)</f>
        <v>2385.1170774400002</v>
      </c>
    </row>
    <row r="46" spans="16:17" ht="12.75">
      <c r="P46" s="5"/>
      <c r="Q46" s="5"/>
    </row>
    <row r="47" spans="1:17" ht="12.75">
      <c r="A47" t="s">
        <v>57</v>
      </c>
      <c r="C47" s="11">
        <f aca="true" t="shared" si="8" ref="C47:N47">MAXA(C11:C40)</f>
        <v>5</v>
      </c>
      <c r="D47" s="11">
        <f t="shared" si="8"/>
        <v>5</v>
      </c>
      <c r="E47" s="11">
        <f t="shared" si="8"/>
        <v>5</v>
      </c>
      <c r="F47" s="11">
        <f t="shared" si="8"/>
        <v>1</v>
      </c>
      <c r="G47" s="11">
        <f t="shared" si="8"/>
        <v>0</v>
      </c>
      <c r="H47" s="11">
        <f t="shared" si="8"/>
        <v>0</v>
      </c>
      <c r="I47" s="11">
        <f t="shared" si="8"/>
        <v>0</v>
      </c>
      <c r="J47" s="11">
        <f t="shared" si="8"/>
        <v>0</v>
      </c>
      <c r="K47" s="11">
        <f t="shared" si="8"/>
        <v>0</v>
      </c>
      <c r="L47" s="11">
        <f t="shared" si="8"/>
        <v>0</v>
      </c>
      <c r="M47" s="11">
        <f t="shared" si="8"/>
        <v>0</v>
      </c>
      <c r="N47" s="11">
        <f t="shared" si="8"/>
        <v>0</v>
      </c>
      <c r="O47" s="11">
        <f>(SUM(C47:N47))</f>
        <v>16</v>
      </c>
      <c r="P47" s="14" t="s">
        <v>58</v>
      </c>
      <c r="Q47" s="5"/>
    </row>
    <row r="48" spans="1:17" ht="12.75">
      <c r="A48" t="s">
        <v>59</v>
      </c>
      <c r="C48" s="11">
        <f aca="true" t="shared" si="9" ref="C48:N48">MAXA(C42:C43)</f>
        <v>0</v>
      </c>
      <c r="D48" s="11">
        <f t="shared" si="9"/>
        <v>0</v>
      </c>
      <c r="E48" s="11">
        <f t="shared" si="9"/>
        <v>0</v>
      </c>
      <c r="F48" s="11">
        <f t="shared" si="9"/>
        <v>0</v>
      </c>
      <c r="G48" s="11">
        <f t="shared" si="9"/>
        <v>0</v>
      </c>
      <c r="H48" s="11">
        <f t="shared" si="9"/>
        <v>0</v>
      </c>
      <c r="I48" s="11">
        <f t="shared" si="9"/>
        <v>0</v>
      </c>
      <c r="J48" s="11">
        <f t="shared" si="9"/>
        <v>0</v>
      </c>
      <c r="K48" s="11">
        <f t="shared" si="9"/>
        <v>0</v>
      </c>
      <c r="L48" s="11">
        <f t="shared" si="9"/>
        <v>0</v>
      </c>
      <c r="M48" s="11">
        <f t="shared" si="9"/>
        <v>0</v>
      </c>
      <c r="N48" s="11">
        <f t="shared" si="9"/>
        <v>0</v>
      </c>
      <c r="O48" s="11">
        <f>(SUM(C48:N48))</f>
        <v>0</v>
      </c>
      <c r="P48" s="14" t="s">
        <v>60</v>
      </c>
      <c r="Q48" s="5"/>
    </row>
    <row r="49" spans="1:17" ht="12.75">
      <c r="A49" t="s">
        <v>61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5"/>
      <c r="Q49" s="5"/>
    </row>
  </sheetData>
  <sheetProtection/>
  <mergeCells count="2">
    <mergeCell ref="A21:B21"/>
    <mergeCell ref="A31:B31"/>
  </mergeCells>
  <printOptions/>
  <pageMargins left="0.4" right="0.4" top="0.333" bottom="0.333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Q49"/>
  <sheetViews>
    <sheetView showGridLines="0" zoomScalePageLayoutView="0" workbookViewId="0" topLeftCell="A1">
      <selection activeCell="O14" sqref="O14:Q14"/>
    </sheetView>
  </sheetViews>
  <sheetFormatPr defaultColWidth="9.7109375" defaultRowHeight="12.75"/>
  <cols>
    <col min="1" max="1" width="16.7109375" style="0" customWidth="1"/>
    <col min="2" max="2" width="45.7109375" style="0" customWidth="1"/>
    <col min="3" max="3" width="6.7109375" style="0" customWidth="1"/>
    <col min="4" max="9" width="5.7109375" style="0" customWidth="1"/>
    <col min="10" max="10" width="7.7109375" style="0" customWidth="1"/>
    <col min="11" max="11" width="6.7109375" style="0" customWidth="1"/>
    <col min="12" max="14" width="5.7109375" style="0" customWidth="1"/>
    <col min="15" max="15" width="11.7109375" style="0" customWidth="1"/>
    <col min="16" max="16" width="9.7109375" style="0" customWidth="1"/>
    <col min="17" max="17" width="17.7109375" style="0" customWidth="1"/>
  </cols>
  <sheetData>
    <row r="1" spans="1:17" ht="12.75">
      <c r="A1" s="4" t="s">
        <v>73</v>
      </c>
      <c r="F1" s="18" t="s">
        <v>70</v>
      </c>
      <c r="G1">
        <f>1st_Year!H1+4</f>
        <v>2017</v>
      </c>
      <c r="P1" s="5"/>
      <c r="Q1" s="5"/>
    </row>
    <row r="2" spans="10:17" ht="12.75">
      <c r="J2" s="5"/>
      <c r="O2" s="18"/>
      <c r="P2" s="5"/>
      <c r="Q2" s="5"/>
    </row>
    <row r="3" spans="1:17" ht="12.75">
      <c r="A3" t="s">
        <v>0</v>
      </c>
      <c r="B3" s="1" t="str">
        <f>4th_Year!B3</f>
        <v>Big Blake Lake</v>
      </c>
      <c r="F3" t="s">
        <v>2</v>
      </c>
      <c r="I3" s="1">
        <f>4th_Year!I3</f>
      </c>
      <c r="P3" s="5"/>
      <c r="Q3" s="5"/>
    </row>
    <row r="4" spans="1:17" ht="12.75">
      <c r="A4" t="s">
        <v>72</v>
      </c>
      <c r="B4" t="str">
        <f>4th_Year!B4</f>
        <v> </v>
      </c>
      <c r="F4" t="s">
        <v>5</v>
      </c>
      <c r="I4" s="1">
        <f>4th_Year!I4</f>
      </c>
      <c r="P4" s="5"/>
      <c r="Q4" s="5"/>
    </row>
    <row r="5" spans="1:17" ht="12.75">
      <c r="A5" t="s">
        <v>4</v>
      </c>
      <c r="B5" s="1" t="str">
        <f>4th_Year!B5</f>
        <v>Polk</v>
      </c>
      <c r="P5" s="5"/>
      <c r="Q5" s="5"/>
    </row>
    <row r="6" spans="1:17" ht="12.75">
      <c r="A6" t="s">
        <v>6</v>
      </c>
      <c r="B6" s="1" t="str">
        <f>4th_Year!B6</f>
        <v>Polk County LWRD</v>
      </c>
      <c r="P6" s="5"/>
      <c r="Q6" s="5"/>
    </row>
    <row r="7" spans="1:17" ht="12.75">
      <c r="A7" t="s">
        <v>7</v>
      </c>
      <c r="C7" s="16" t="s">
        <v>8</v>
      </c>
      <c r="D7" s="19">
        <f>4th_Year!D7+1</f>
        <v>2016</v>
      </c>
      <c r="M7" s="19">
        <f>4th_Year!M7+1</f>
        <v>2017</v>
      </c>
      <c r="P7" s="5"/>
      <c r="Q7" s="5"/>
    </row>
    <row r="8" spans="1:17" ht="12.75">
      <c r="A8" t="s">
        <v>9</v>
      </c>
      <c r="B8" s="1"/>
      <c r="C8" s="17" t="s">
        <v>8</v>
      </c>
      <c r="P8" s="5"/>
      <c r="Q8" s="5"/>
    </row>
    <row r="9" spans="1:17" ht="12.75">
      <c r="A9" s="4"/>
      <c r="B9" s="4"/>
      <c r="C9" s="4"/>
      <c r="D9" s="4"/>
      <c r="E9" s="4"/>
      <c r="F9" s="4" t="s">
        <v>77</v>
      </c>
      <c r="H9" s="4"/>
      <c r="I9" s="4"/>
      <c r="J9" s="4"/>
      <c r="K9" s="4"/>
      <c r="L9" s="4"/>
      <c r="M9" s="4"/>
      <c r="N9" s="4"/>
      <c r="O9" s="8" t="s">
        <v>10</v>
      </c>
      <c r="P9" s="9" t="s">
        <v>11</v>
      </c>
      <c r="Q9" s="9" t="s">
        <v>12</v>
      </c>
    </row>
    <row r="10" spans="1:17" ht="12.75">
      <c r="A10" s="4" t="s">
        <v>14</v>
      </c>
      <c r="B10" s="4"/>
      <c r="C10" s="4" t="s">
        <v>16</v>
      </c>
      <c r="D10" s="4" t="s">
        <v>17</v>
      </c>
      <c r="E10" s="4" t="s">
        <v>18</v>
      </c>
      <c r="F10" s="4" t="s">
        <v>19</v>
      </c>
      <c r="G10" s="4" t="s">
        <v>20</v>
      </c>
      <c r="H10" s="4" t="s">
        <v>21</v>
      </c>
      <c r="I10" s="4" t="s">
        <v>22</v>
      </c>
      <c r="J10" s="4" t="s">
        <v>23</v>
      </c>
      <c r="K10" s="4" t="s">
        <v>24</v>
      </c>
      <c r="L10" s="4" t="s">
        <v>25</v>
      </c>
      <c r="M10" s="4" t="s">
        <v>26</v>
      </c>
      <c r="N10" s="4" t="s">
        <v>27</v>
      </c>
      <c r="O10" s="8" t="s">
        <v>28</v>
      </c>
      <c r="P10" s="9" t="s">
        <v>29</v>
      </c>
      <c r="Q10" s="9" t="s">
        <v>30</v>
      </c>
    </row>
    <row r="11" spans="1:17" ht="12.75">
      <c r="A11" s="4" t="s">
        <v>31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20" t="str">
        <f>4th_Year!A12</f>
        <v>DISSOLVED REACTIVE P (ORTHO)</v>
      </c>
      <c r="B12" s="20"/>
      <c r="C12" s="21" t="s">
        <v>1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>
        <f aca="true" t="shared" si="0" ref="O12:O17">(SUM(C12:N12))</f>
        <v>0</v>
      </c>
      <c r="P12" s="23">
        <f>4th_Year!P12*1.03</f>
        <v>18.762231862700002</v>
      </c>
      <c r="Q12" s="23">
        <f aca="true" t="shared" si="1" ref="Q12:Q17">O12*P12</f>
        <v>0</v>
      </c>
    </row>
    <row r="13" spans="1:17" ht="12.75">
      <c r="A13" s="20" t="str">
        <f>4th_Year!A13</f>
        <v>TOTAL PHOSPHORUS</v>
      </c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>
        <f t="shared" si="0"/>
        <v>0</v>
      </c>
      <c r="P13" s="23">
        <f>4th_Year!P13*1.03</f>
        <v>26.562007916000006</v>
      </c>
      <c r="Q13" s="23">
        <f t="shared" si="1"/>
        <v>0</v>
      </c>
    </row>
    <row r="14" spans="1:17" ht="12.75">
      <c r="A14" s="20" t="str">
        <f>4th_Year!A14</f>
        <v>TOTAL DISS PHOSPHORUS (AS P), (EPA 365.1)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>
        <f t="shared" si="0"/>
        <v>0</v>
      </c>
      <c r="P14" s="23">
        <f>4th_Year!P14*1.03</f>
        <v>26.562007916000006</v>
      </c>
      <c r="Q14" s="23">
        <f t="shared" si="1"/>
        <v>0</v>
      </c>
    </row>
    <row r="15" spans="1:17" ht="12.75">
      <c r="A15" s="20" t="str">
        <f>4th_Year!A15</f>
        <v>TOTAL KJELDAHL NITROGEN</v>
      </c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>
        <f t="shared" si="0"/>
        <v>0</v>
      </c>
      <c r="P15" s="23">
        <f>4th_Year!P15*1.03</f>
        <v>37.1305356419</v>
      </c>
      <c r="Q15" s="23">
        <f t="shared" si="1"/>
        <v>0</v>
      </c>
    </row>
    <row r="16" spans="1:17" ht="12.75">
      <c r="A16" s="20" t="str">
        <f>4th_Year!A16</f>
        <v>NITRATE+NITRITE (AS N), DISS (EPA 353.2)</v>
      </c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>
        <f t="shared" si="0"/>
        <v>0</v>
      </c>
      <c r="P16" s="23">
        <f>4th_Year!P16*1.03</f>
        <v>30.388737870000007</v>
      </c>
      <c r="Q16" s="23">
        <f t="shared" si="1"/>
        <v>0</v>
      </c>
    </row>
    <row r="17" spans="1:17" ht="12.75">
      <c r="A17" s="20" t="str">
        <f>4th_Year!A17</f>
        <v>AMMONIA-N, DISSOLVED</v>
      </c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>
        <f t="shared" si="0"/>
        <v>0</v>
      </c>
      <c r="P17" s="23">
        <f>4th_Year!P17*1.03</f>
        <v>29.139423090900006</v>
      </c>
      <c r="Q17" s="23">
        <f t="shared" si="1"/>
        <v>0</v>
      </c>
    </row>
    <row r="18" spans="1:17" ht="12.75">
      <c r="A18" s="4" t="s">
        <v>34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20" t="str">
        <f>4th_Year!A19</f>
        <v>AUTOMATED CONDUCTIVITY, PH &amp; ALKALINITY</v>
      </c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>
        <f aca="true" t="shared" si="2" ref="O19:O32">(SUM(C19:N19))</f>
        <v>0</v>
      </c>
      <c r="P19" s="23">
        <f>4th_Year!P19*1.03</f>
        <v>24.76119382</v>
      </c>
      <c r="Q19" s="23">
        <f aca="true" t="shared" si="3" ref="Q19:Q32">O19*P19</f>
        <v>0</v>
      </c>
    </row>
    <row r="20" spans="1:17" ht="12.75">
      <c r="A20" s="20" t="str">
        <f>4th_Year!A20</f>
        <v>ALKALINITY, GRAN TECHNIQUE</v>
      </c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>
        <f t="shared" si="2"/>
        <v>0</v>
      </c>
      <c r="P20" s="23">
        <f>4th_Year!P20*1.03</f>
        <v>60.777475740000014</v>
      </c>
      <c r="Q20" s="23">
        <f t="shared" si="3"/>
        <v>0</v>
      </c>
    </row>
    <row r="21" spans="1:17" ht="12.75">
      <c r="A21" s="28" t="str">
        <f>4th_Year!A21</f>
        <v>CHLORIDE</v>
      </c>
      <c r="B21" s="29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>
        <f t="shared" si="2"/>
        <v>0</v>
      </c>
      <c r="P21" s="23">
        <f>4th_Year!P21*1.03</f>
        <v>22.510176200000004</v>
      </c>
      <c r="Q21" s="23">
        <f t="shared" si="3"/>
        <v>0</v>
      </c>
    </row>
    <row r="22" spans="1:17" ht="12.75">
      <c r="A22" s="20" t="str">
        <f>4th_Year!A22</f>
        <v>CHLOROPHYLL A, FLUORESCENCE, FIELD FILTERED </v>
      </c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>
        <f t="shared" si="2"/>
        <v>0</v>
      </c>
      <c r="P22" s="23">
        <f>4th_Year!P22*1.03</f>
        <v>26.201845096800003</v>
      </c>
      <c r="Q22" s="23">
        <f t="shared" si="3"/>
        <v>0</v>
      </c>
    </row>
    <row r="23" spans="1:17" ht="12.75">
      <c r="A23" s="20" t="str">
        <f>4th_Year!A23</f>
        <v>CHLOROPHYLL A, FLUORESCENCE LAB FILTERED</v>
      </c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2">
        <f t="shared" si="2"/>
        <v>0</v>
      </c>
      <c r="P23" s="23">
        <f>4th_Year!P23*1.03</f>
        <v>27.597476021200006</v>
      </c>
      <c r="Q23" s="23">
        <f t="shared" si="3"/>
        <v>0</v>
      </c>
    </row>
    <row r="24" spans="1:17" ht="12.75">
      <c r="A24" s="20" t="str">
        <f>4th_Year!A24</f>
        <v>COLOR, TRUE, PT-CO</v>
      </c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>
        <f t="shared" si="2"/>
        <v>0</v>
      </c>
      <c r="P24" s="23">
        <f>4th_Year!P24*1.03</f>
        <v>28.13772025</v>
      </c>
      <c r="Q24" s="23">
        <f t="shared" si="3"/>
        <v>0</v>
      </c>
    </row>
    <row r="25" spans="1:17" ht="12.75">
      <c r="A25" s="20" t="str">
        <f>4th_Year!A25</f>
        <v>HARDNESS, CALCULATION METHOD (When Metals Done)</v>
      </c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>
        <f t="shared" si="2"/>
        <v>0</v>
      </c>
      <c r="P25" s="23">
        <f>4th_Year!P25*1.03</f>
        <v>6.0439823097000005</v>
      </c>
      <c r="Q25" s="23">
        <f t="shared" si="3"/>
        <v>0</v>
      </c>
    </row>
    <row r="26" spans="1:17" ht="12.75">
      <c r="A26" s="20" t="str">
        <f>4th_Year!A26</f>
        <v>HARDNESS, CALCULATION METHOD (When Metals not Done)</v>
      </c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2">
        <f t="shared" si="2"/>
        <v>0</v>
      </c>
      <c r="P26" s="23">
        <f>4th_Year!P26*1.03</f>
        <v>59.44937534420001</v>
      </c>
      <c r="Q26" s="23">
        <f t="shared" si="3"/>
        <v>0</v>
      </c>
    </row>
    <row r="27" spans="1:17" ht="12.75">
      <c r="A27" s="20" t="str">
        <f>4th_Year!A27</f>
        <v>SULFATE (EPA 375.2)</v>
      </c>
      <c r="B27" s="20"/>
      <c r="C27" s="21" t="s">
        <v>1</v>
      </c>
      <c r="D27" s="21"/>
      <c r="E27" s="21" t="s">
        <v>1</v>
      </c>
      <c r="F27" s="21"/>
      <c r="G27" s="21"/>
      <c r="H27" s="21"/>
      <c r="I27" s="21"/>
      <c r="J27" s="21"/>
      <c r="K27" s="21"/>
      <c r="L27" s="21"/>
      <c r="M27" s="21"/>
      <c r="N27" s="21"/>
      <c r="O27" s="22">
        <f t="shared" si="2"/>
        <v>0</v>
      </c>
      <c r="P27" s="23">
        <f>4th_Year!P27*1.03</f>
        <v>29.26322906</v>
      </c>
      <c r="Q27" s="23">
        <f t="shared" si="3"/>
        <v>0</v>
      </c>
    </row>
    <row r="28" spans="1:17" ht="12.75">
      <c r="A28" s="20" t="str">
        <f>4th_Year!A28</f>
        <v>SUSPENDED SOLIDS</v>
      </c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>
        <f t="shared" si="2"/>
        <v>0</v>
      </c>
      <c r="P28" s="23">
        <f>4th_Year!P28*1.03</f>
        <v>21.159565628</v>
      </c>
      <c r="Q28" s="23">
        <f t="shared" si="3"/>
        <v>0</v>
      </c>
    </row>
    <row r="29" spans="1:17" ht="12.75">
      <c r="A29" s="20" t="str">
        <f>4th_Year!A29</f>
        <v>TOTAL DISSOLVED SOLIDS, 180 C</v>
      </c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2">
        <f t="shared" si="2"/>
        <v>0</v>
      </c>
      <c r="P29" s="23">
        <f>4th_Year!P29*1.03</f>
        <v>19.279965915299996</v>
      </c>
      <c r="Q29" s="23">
        <f t="shared" si="3"/>
        <v>0</v>
      </c>
    </row>
    <row r="30" spans="1:17" ht="12.75">
      <c r="A30" s="20" t="str">
        <f>4th_Year!A30</f>
        <v>TOTAL VOLATILE SOLIDS</v>
      </c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>
        <f t="shared" si="2"/>
        <v>0</v>
      </c>
      <c r="P30" s="23">
        <f>4th_Year!P30*1.03</f>
        <v>11.2888533643</v>
      </c>
      <c r="Q30" s="23">
        <f t="shared" si="3"/>
        <v>0</v>
      </c>
    </row>
    <row r="31" spans="1:17" ht="12.75">
      <c r="A31" s="28" t="str">
        <f>4th_Year!A31</f>
        <v>TURBIDITY</v>
      </c>
      <c r="B31" s="2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>
        <f t="shared" si="2"/>
        <v>0</v>
      </c>
      <c r="P31" s="23">
        <f>4th_Year!P31*1.03</f>
        <v>11.255088100000002</v>
      </c>
      <c r="Q31" s="23">
        <f t="shared" si="3"/>
        <v>0</v>
      </c>
    </row>
    <row r="32" spans="1:17" ht="12.75">
      <c r="A32" s="20" t="str">
        <f>4th_Year!A32</f>
        <v>FIELD TESTS (For each labslip with Field Testing Recorded)</v>
      </c>
      <c r="B32" s="20"/>
      <c r="C32" s="22">
        <f aca="true" t="shared" si="4" ref="C32:N32">IF($C$8="Y",MAXA(C12:C31),"")</f>
      </c>
      <c r="D32" s="22">
        <f t="shared" si="4"/>
      </c>
      <c r="E32" s="22">
        <f t="shared" si="4"/>
      </c>
      <c r="F32" s="22">
        <f t="shared" si="4"/>
      </c>
      <c r="G32" s="22">
        <f t="shared" si="4"/>
      </c>
      <c r="H32" s="22">
        <f t="shared" si="4"/>
      </c>
      <c r="I32" s="22">
        <f t="shared" si="4"/>
      </c>
      <c r="J32" s="22">
        <f t="shared" si="4"/>
      </c>
      <c r="K32" s="22">
        <f t="shared" si="4"/>
      </c>
      <c r="L32" s="22">
        <f t="shared" si="4"/>
      </c>
      <c r="M32" s="22">
        <f t="shared" si="4"/>
      </c>
      <c r="N32" s="22">
        <f t="shared" si="4"/>
      </c>
      <c r="O32" s="22">
        <f t="shared" si="2"/>
        <v>0</v>
      </c>
      <c r="P32" s="23">
        <f>4th_Year!P32*1.03</f>
        <v>7.158236031600001</v>
      </c>
      <c r="Q32" s="23">
        <f t="shared" si="3"/>
        <v>0</v>
      </c>
    </row>
    <row r="33" spans="1:17" ht="12.75">
      <c r="A33" s="4" t="s">
        <v>46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20" t="str">
        <f>4th_Year!A34</f>
        <v>CALCIUM, TOTAL RECOVERABLE, ICP</v>
      </c>
      <c r="B34" s="20"/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2">
        <f aca="true" t="shared" si="5" ref="O34:O40">(SUM(C34:N34))</f>
        <v>0</v>
      </c>
      <c r="P34" s="23">
        <f>4th_Year!P34*1.03</f>
        <v>14.63161453</v>
      </c>
      <c r="Q34" s="23">
        <f aca="true" t="shared" si="6" ref="Q34:Q40">O34*P34</f>
        <v>0</v>
      </c>
    </row>
    <row r="35" spans="1:17" ht="12.75">
      <c r="A35" s="20" t="str">
        <f>4th_Year!A35</f>
        <v>IRON,  TOTAL RECOVERABLE, ICP</v>
      </c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2">
        <f t="shared" si="5"/>
        <v>0</v>
      </c>
      <c r="P35" s="23">
        <f>4th_Year!P35*1.03</f>
        <v>14.63161453</v>
      </c>
      <c r="Q35" s="23">
        <f t="shared" si="6"/>
        <v>0</v>
      </c>
    </row>
    <row r="36" spans="1:17" ht="12.75">
      <c r="A36" s="20" t="str">
        <f>4th_Year!A36</f>
        <v>MAGNESIUM,  TOTAL RECOVERABLE, ICP</v>
      </c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2">
        <f t="shared" si="5"/>
        <v>0</v>
      </c>
      <c r="P36" s="23">
        <f>4th_Year!P36*1.03</f>
        <v>14.63161453</v>
      </c>
      <c r="Q36" s="23">
        <f t="shared" si="6"/>
        <v>0</v>
      </c>
    </row>
    <row r="37" spans="1:17" ht="12.75">
      <c r="A37" s="20" t="str">
        <f>4th_Year!A37</f>
        <v>MANGANESE,  TOTAL RECOVERABLE, ICP</v>
      </c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2">
        <f t="shared" si="5"/>
        <v>0</v>
      </c>
      <c r="P37" s="23">
        <f>4th_Year!P37*1.03</f>
        <v>14.63161453</v>
      </c>
      <c r="Q37" s="23">
        <f t="shared" si="6"/>
        <v>0</v>
      </c>
    </row>
    <row r="38" spans="1:17" ht="12.75">
      <c r="A38" s="20" t="str">
        <f>4th_Year!A38</f>
        <v>POTASSIUM,  TOTAL RECOVERABLE, ICP</v>
      </c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2">
        <f t="shared" si="5"/>
        <v>0</v>
      </c>
      <c r="P38" s="23">
        <f>4th_Year!P38*1.03</f>
        <v>14.63161453</v>
      </c>
      <c r="Q38" s="23">
        <f t="shared" si="6"/>
        <v>0</v>
      </c>
    </row>
    <row r="39" spans="1:17" ht="12.75">
      <c r="A39" s="20" t="str">
        <f>4th_Year!A39</f>
        <v>SODIUM,  TOTAL RECOVERABLE, ICP</v>
      </c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2">
        <f t="shared" si="5"/>
        <v>0</v>
      </c>
      <c r="P39" s="23">
        <f>4th_Year!P39*1.03</f>
        <v>14.63161453</v>
      </c>
      <c r="Q39" s="23">
        <f t="shared" si="6"/>
        <v>0</v>
      </c>
    </row>
    <row r="40" spans="1:17" ht="12.75">
      <c r="A40" s="20" t="str">
        <f>4th_Year!A40</f>
        <v>DIGESTION, TOT. RECOV. LOW LEVEL, ICP + ICP SETUP</v>
      </c>
      <c r="B40" s="20"/>
      <c r="C40" s="22">
        <f aca="true" t="shared" si="7" ref="C40:N40">MAXA(C34:C39)</f>
        <v>0</v>
      </c>
      <c r="D40" s="22">
        <f t="shared" si="7"/>
        <v>0</v>
      </c>
      <c r="E40" s="22">
        <f t="shared" si="7"/>
        <v>0</v>
      </c>
      <c r="F40" s="22">
        <f t="shared" si="7"/>
        <v>0</v>
      </c>
      <c r="G40" s="22">
        <f t="shared" si="7"/>
        <v>0</v>
      </c>
      <c r="H40" s="22">
        <f t="shared" si="7"/>
        <v>0</v>
      </c>
      <c r="I40" s="22">
        <f t="shared" si="7"/>
        <v>0</v>
      </c>
      <c r="J40" s="22">
        <f t="shared" si="7"/>
        <v>0</v>
      </c>
      <c r="K40" s="22">
        <f t="shared" si="7"/>
        <v>0</v>
      </c>
      <c r="L40" s="22">
        <f t="shared" si="7"/>
        <v>0</v>
      </c>
      <c r="M40" s="22">
        <f t="shared" si="7"/>
        <v>0</v>
      </c>
      <c r="N40" s="22">
        <f t="shared" si="7"/>
        <v>0</v>
      </c>
      <c r="O40" s="22">
        <f t="shared" si="5"/>
        <v>0</v>
      </c>
      <c r="P40" s="23">
        <f>4th_Year!P40*1.03</f>
        <v>24.142163974500004</v>
      </c>
      <c r="Q40" s="23">
        <f t="shared" si="6"/>
        <v>0</v>
      </c>
    </row>
    <row r="41" spans="1:17" ht="12.75">
      <c r="A41" s="4" t="s">
        <v>54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3"/>
      <c r="Q41" s="13"/>
    </row>
    <row r="42" spans="1:17" ht="12.75">
      <c r="A42" s="20" t="str">
        <f>4th_Year!A42</f>
        <v>E COLI ENZYMATIC SUBTRATE QUANTITRAY MPN</v>
      </c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2">
        <f>(SUM(C42:N42))</f>
        <v>0</v>
      </c>
      <c r="P42" s="23">
        <f>4th_Year!P42*1.03</f>
        <v>41.64382597</v>
      </c>
      <c r="Q42" s="23">
        <f>O42*P42</f>
        <v>0</v>
      </c>
    </row>
    <row r="43" spans="1:17" ht="12.75">
      <c r="A43" s="20" t="str">
        <f>4th_Year!A43</f>
        <v>Fecal Coliform (MFFCC)</v>
      </c>
      <c r="B43" s="20"/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2">
        <f>(SUM(C43:N43))</f>
        <v>0</v>
      </c>
      <c r="P43" s="23">
        <f>4th_Year!P43*1.03</f>
        <v>41.64382597</v>
      </c>
      <c r="Q43" s="23">
        <f>O43*P43</f>
        <v>0</v>
      </c>
    </row>
    <row r="44" spans="3:17" ht="12.75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3"/>
      <c r="Q44" s="13"/>
    </row>
    <row r="45" spans="15:17" ht="12.75">
      <c r="O45" s="4" t="s">
        <v>56</v>
      </c>
      <c r="P45" s="5"/>
      <c r="Q45" s="12">
        <f>SUM(Q12:Q43)</f>
        <v>0</v>
      </c>
    </row>
    <row r="46" spans="16:17" ht="12.75">
      <c r="P46" s="5"/>
      <c r="Q46" s="5"/>
    </row>
    <row r="47" spans="1:17" ht="12.75">
      <c r="A47" t="s">
        <v>57</v>
      </c>
      <c r="C47" s="11">
        <f aca="true" t="shared" si="8" ref="C47:N47">MAXA(C11:C40)</f>
        <v>0</v>
      </c>
      <c r="D47" s="11">
        <f t="shared" si="8"/>
        <v>0</v>
      </c>
      <c r="E47" s="11">
        <f t="shared" si="8"/>
        <v>0</v>
      </c>
      <c r="F47" s="11">
        <f t="shared" si="8"/>
        <v>0</v>
      </c>
      <c r="G47" s="11">
        <f t="shared" si="8"/>
        <v>0</v>
      </c>
      <c r="H47" s="11">
        <f t="shared" si="8"/>
        <v>0</v>
      </c>
      <c r="I47" s="11">
        <f t="shared" si="8"/>
        <v>0</v>
      </c>
      <c r="J47" s="11">
        <f t="shared" si="8"/>
        <v>0</v>
      </c>
      <c r="K47" s="11">
        <f t="shared" si="8"/>
        <v>0</v>
      </c>
      <c r="L47" s="11">
        <f t="shared" si="8"/>
        <v>0</v>
      </c>
      <c r="M47" s="11">
        <f t="shared" si="8"/>
        <v>0</v>
      </c>
      <c r="N47" s="11">
        <f t="shared" si="8"/>
        <v>0</v>
      </c>
      <c r="O47" s="11">
        <f>(SUM(C47:N47))</f>
        <v>0</v>
      </c>
      <c r="P47" s="14" t="s">
        <v>58</v>
      </c>
      <c r="Q47" s="5"/>
    </row>
    <row r="48" spans="1:17" ht="12.75">
      <c r="A48" t="s">
        <v>59</v>
      </c>
      <c r="C48" s="11">
        <f aca="true" t="shared" si="9" ref="C48:N48">MAXA(C42:C43)</f>
        <v>0</v>
      </c>
      <c r="D48" s="11">
        <f t="shared" si="9"/>
        <v>0</v>
      </c>
      <c r="E48" s="11">
        <f t="shared" si="9"/>
        <v>0</v>
      </c>
      <c r="F48" s="11">
        <f t="shared" si="9"/>
        <v>0</v>
      </c>
      <c r="G48" s="11">
        <f t="shared" si="9"/>
        <v>0</v>
      </c>
      <c r="H48" s="11">
        <f t="shared" si="9"/>
        <v>0</v>
      </c>
      <c r="I48" s="11">
        <f t="shared" si="9"/>
        <v>0</v>
      </c>
      <c r="J48" s="11">
        <f t="shared" si="9"/>
        <v>0</v>
      </c>
      <c r="K48" s="11">
        <f t="shared" si="9"/>
        <v>0</v>
      </c>
      <c r="L48" s="11">
        <f t="shared" si="9"/>
        <v>0</v>
      </c>
      <c r="M48" s="11">
        <f t="shared" si="9"/>
        <v>0</v>
      </c>
      <c r="N48" s="11">
        <f t="shared" si="9"/>
        <v>0</v>
      </c>
      <c r="O48" s="11">
        <f>(SUM(C48:N48))</f>
        <v>0</v>
      </c>
      <c r="P48" s="14" t="s">
        <v>60</v>
      </c>
      <c r="Q48" s="5"/>
    </row>
    <row r="49" spans="1:17" ht="12.75">
      <c r="A49" t="s">
        <v>61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5"/>
      <c r="Q49" s="5"/>
    </row>
  </sheetData>
  <sheetProtection/>
  <mergeCells count="2">
    <mergeCell ref="A31:B31"/>
    <mergeCell ref="A21:B21"/>
  </mergeCells>
  <printOptions/>
  <pageMargins left="0.4" right="0.4" top="0.333" bottom="0.333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Q49"/>
  <sheetViews>
    <sheetView showGridLines="0" zoomScalePageLayoutView="0" workbookViewId="0" topLeftCell="A1">
      <selection activeCell="O14" sqref="O14:Q14"/>
    </sheetView>
  </sheetViews>
  <sheetFormatPr defaultColWidth="9.7109375" defaultRowHeight="12.75"/>
  <cols>
    <col min="1" max="1" width="16.7109375" style="0" customWidth="1"/>
    <col min="2" max="2" width="45.7109375" style="0" customWidth="1"/>
    <col min="3" max="3" width="6.7109375" style="0" customWidth="1"/>
    <col min="4" max="9" width="5.7109375" style="0" customWidth="1"/>
    <col min="10" max="10" width="7.7109375" style="0" customWidth="1"/>
    <col min="11" max="11" width="6.7109375" style="0" customWidth="1"/>
    <col min="12" max="14" width="5.7109375" style="0" customWidth="1"/>
    <col min="15" max="15" width="11.7109375" style="0" customWidth="1"/>
    <col min="16" max="16" width="9.7109375" style="0" customWidth="1"/>
    <col min="17" max="17" width="17.7109375" style="0" customWidth="1"/>
  </cols>
  <sheetData>
    <row r="1" spans="1:17" ht="12.75">
      <c r="A1" s="4" t="s">
        <v>73</v>
      </c>
      <c r="F1" s="18" t="s">
        <v>71</v>
      </c>
      <c r="G1">
        <f>1st_Year!H1+5</f>
        <v>2018</v>
      </c>
      <c r="P1" s="5"/>
      <c r="Q1" s="5"/>
    </row>
    <row r="2" spans="10:17" ht="12.75">
      <c r="J2" s="5"/>
      <c r="O2" s="18"/>
      <c r="P2" s="5"/>
      <c r="Q2" s="5"/>
    </row>
    <row r="3" spans="1:17" ht="12.75">
      <c r="A3" t="s">
        <v>0</v>
      </c>
      <c r="B3" s="1" t="str">
        <f>5th_Year!B3</f>
        <v>Big Blake Lake</v>
      </c>
      <c r="F3" t="s">
        <v>2</v>
      </c>
      <c r="I3" s="1">
        <f>5th_Year!I3</f>
      </c>
      <c r="P3" s="5"/>
      <c r="Q3" s="5"/>
    </row>
    <row r="4" spans="1:17" ht="12.75">
      <c r="A4" t="s">
        <v>72</v>
      </c>
      <c r="B4" t="str">
        <f>5th_Year!B4</f>
        <v> </v>
      </c>
      <c r="F4" t="s">
        <v>5</v>
      </c>
      <c r="I4" s="1">
        <f>5th_Year!I4</f>
      </c>
      <c r="P4" s="5"/>
      <c r="Q4" s="5"/>
    </row>
    <row r="5" spans="1:17" ht="12.75">
      <c r="A5" t="s">
        <v>4</v>
      </c>
      <c r="B5" s="1" t="str">
        <f>5th_Year!B5</f>
        <v>Polk</v>
      </c>
      <c r="P5" s="5"/>
      <c r="Q5" s="5"/>
    </row>
    <row r="6" spans="1:17" ht="12.75">
      <c r="A6" t="s">
        <v>6</v>
      </c>
      <c r="B6" s="1" t="str">
        <f>5th_Year!B6</f>
        <v>Polk County LWRD</v>
      </c>
      <c r="P6" s="5"/>
      <c r="Q6" s="5"/>
    </row>
    <row r="7" spans="1:17" ht="12.75">
      <c r="A7" t="s">
        <v>7</v>
      </c>
      <c r="C7" s="16" t="s">
        <v>8</v>
      </c>
      <c r="D7" s="19">
        <f>5th_Year!D7+1</f>
        <v>2017</v>
      </c>
      <c r="M7" s="19">
        <f>5th_Year!M7+1</f>
        <v>2018</v>
      </c>
      <c r="P7" s="5"/>
      <c r="Q7" s="5"/>
    </row>
    <row r="8" spans="1:17" ht="12.75">
      <c r="A8" t="s">
        <v>9</v>
      </c>
      <c r="B8" s="1"/>
      <c r="C8" s="17" t="s">
        <v>8</v>
      </c>
      <c r="P8" s="5"/>
      <c r="Q8" s="5"/>
    </row>
    <row r="9" spans="1:17" ht="12.75">
      <c r="A9" s="4"/>
      <c r="B9" s="4"/>
      <c r="C9" s="4"/>
      <c r="D9" s="4"/>
      <c r="E9" s="4"/>
      <c r="F9" s="4" t="s">
        <v>77</v>
      </c>
      <c r="H9" s="4"/>
      <c r="I9" s="4"/>
      <c r="J9" s="4"/>
      <c r="K9" s="4"/>
      <c r="L9" s="4"/>
      <c r="M9" s="4"/>
      <c r="N9" s="4"/>
      <c r="O9" s="8" t="s">
        <v>10</v>
      </c>
      <c r="P9" s="9" t="s">
        <v>11</v>
      </c>
      <c r="Q9" s="9" t="s">
        <v>12</v>
      </c>
    </row>
    <row r="10" spans="1:17" ht="12.75">
      <c r="A10" s="4" t="s">
        <v>14</v>
      </c>
      <c r="B10" s="4"/>
      <c r="C10" s="4" t="s">
        <v>16</v>
      </c>
      <c r="D10" s="4" t="s">
        <v>17</v>
      </c>
      <c r="E10" s="4" t="s">
        <v>18</v>
      </c>
      <c r="F10" s="4" t="s">
        <v>19</v>
      </c>
      <c r="G10" s="4" t="s">
        <v>20</v>
      </c>
      <c r="H10" s="4" t="s">
        <v>21</v>
      </c>
      <c r="I10" s="4" t="s">
        <v>22</v>
      </c>
      <c r="J10" s="4" t="s">
        <v>23</v>
      </c>
      <c r="K10" s="4" t="s">
        <v>24</v>
      </c>
      <c r="L10" s="4" t="s">
        <v>25</v>
      </c>
      <c r="M10" s="4" t="s">
        <v>26</v>
      </c>
      <c r="N10" s="4" t="s">
        <v>27</v>
      </c>
      <c r="O10" s="8" t="s">
        <v>28</v>
      </c>
      <c r="P10" s="9" t="s">
        <v>29</v>
      </c>
      <c r="Q10" s="9" t="s">
        <v>30</v>
      </c>
    </row>
    <row r="11" spans="1:17" ht="12.75">
      <c r="A11" s="4" t="s">
        <v>31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20" t="str">
        <f>5th_Year!A12</f>
        <v>DISSOLVED REACTIVE P (ORTHO)</v>
      </c>
      <c r="B12" s="20"/>
      <c r="C12" s="21" t="s">
        <v>1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>
        <f aca="true" t="shared" si="0" ref="O12:O17">(SUM(C12:N12))</f>
        <v>0</v>
      </c>
      <c r="P12" s="23">
        <f>5th_Year!P12*1.03</f>
        <v>19.325098818581</v>
      </c>
      <c r="Q12" s="23">
        <f aca="true" t="shared" si="1" ref="Q12:Q17">O12*P12</f>
        <v>0</v>
      </c>
    </row>
    <row r="13" spans="1:17" ht="12.75">
      <c r="A13" s="20" t="str">
        <f>5th_Year!A13</f>
        <v>TOTAL PHOSPHORUS</v>
      </c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>
        <f t="shared" si="0"/>
        <v>0</v>
      </c>
      <c r="P13" s="23">
        <f>5th_Year!P13*1.03</f>
        <v>27.358868153480007</v>
      </c>
      <c r="Q13" s="23">
        <f t="shared" si="1"/>
        <v>0</v>
      </c>
    </row>
    <row r="14" spans="1:17" ht="12.75">
      <c r="A14" s="20" t="str">
        <f>5th_Year!A14</f>
        <v>TOTAL DISS PHOSPHORUS (AS P), (EPA 365.1)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>
        <f t="shared" si="0"/>
        <v>0</v>
      </c>
      <c r="P14" s="23">
        <f>5th_Year!P14*1.03</f>
        <v>27.358868153480007</v>
      </c>
      <c r="Q14" s="23">
        <f t="shared" si="1"/>
        <v>0</v>
      </c>
    </row>
    <row r="15" spans="1:17" ht="12.75">
      <c r="A15" s="20" t="str">
        <f>5th_Year!A15</f>
        <v>TOTAL KJELDAHL NITROGEN</v>
      </c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>
        <f t="shared" si="0"/>
        <v>0</v>
      </c>
      <c r="P15" s="23">
        <f>5th_Year!P15*1.03</f>
        <v>38.244451711157005</v>
      </c>
      <c r="Q15" s="23">
        <f t="shared" si="1"/>
        <v>0</v>
      </c>
    </row>
    <row r="16" spans="1:17" ht="12.75">
      <c r="A16" s="20" t="str">
        <f>5th_Year!A16</f>
        <v>NITRATE+NITRITE (AS N), DISS (EPA 353.2)</v>
      </c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>
        <f t="shared" si="0"/>
        <v>0</v>
      </c>
      <c r="P16" s="23">
        <f>5th_Year!P16*1.03</f>
        <v>31.30040000610001</v>
      </c>
      <c r="Q16" s="23">
        <f t="shared" si="1"/>
        <v>0</v>
      </c>
    </row>
    <row r="17" spans="1:17" ht="12.75">
      <c r="A17" s="20" t="str">
        <f>5th_Year!A17</f>
        <v>AMMONIA-N, DISSOLVED</v>
      </c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>
        <f t="shared" si="0"/>
        <v>0</v>
      </c>
      <c r="P17" s="23">
        <f>5th_Year!P17*1.03</f>
        <v>30.013605783627007</v>
      </c>
      <c r="Q17" s="23">
        <f t="shared" si="1"/>
        <v>0</v>
      </c>
    </row>
    <row r="18" spans="1:17" ht="12.75">
      <c r="A18" s="4" t="s">
        <v>34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20" t="str">
        <f>5th_Year!A19</f>
        <v>AUTOMATED CONDUCTIVITY, PH &amp; ALKALINITY</v>
      </c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>
        <f aca="true" t="shared" si="2" ref="O19:O32">(SUM(C19:N19))</f>
        <v>0</v>
      </c>
      <c r="P19" s="23">
        <f>5th_Year!P19*1.03</f>
        <v>25.5040296346</v>
      </c>
      <c r="Q19" s="23">
        <f aca="true" t="shared" si="3" ref="Q19:Q32">O19*P19</f>
        <v>0</v>
      </c>
    </row>
    <row r="20" spans="1:17" ht="12.75">
      <c r="A20" s="20" t="str">
        <f>5th_Year!A20</f>
        <v>ALKALINITY, GRAN TECHNIQUE</v>
      </c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>
        <f t="shared" si="2"/>
        <v>0</v>
      </c>
      <c r="P20" s="23">
        <f>5th_Year!P20*1.03</f>
        <v>62.60080001220002</v>
      </c>
      <c r="Q20" s="23">
        <f t="shared" si="3"/>
        <v>0</v>
      </c>
    </row>
    <row r="21" spans="1:17" ht="12.75">
      <c r="A21" s="28" t="str">
        <f>5th_Year!A21</f>
        <v>CHLORIDE</v>
      </c>
      <c r="B21" s="29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>
        <f t="shared" si="2"/>
        <v>0</v>
      </c>
      <c r="P21" s="23">
        <f>5th_Year!P21*1.03</f>
        <v>23.185481486000004</v>
      </c>
      <c r="Q21" s="23">
        <f t="shared" si="3"/>
        <v>0</v>
      </c>
    </row>
    <row r="22" spans="1:17" ht="12.75">
      <c r="A22" s="20" t="str">
        <f>5th_Year!A22</f>
        <v>CHLOROPHYLL A, FLUORESCENCE, FIELD FILTERED </v>
      </c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>
        <f t="shared" si="2"/>
        <v>0</v>
      </c>
      <c r="P22" s="23">
        <f>5th_Year!P22*1.03</f>
        <v>26.987900449704004</v>
      </c>
      <c r="Q22" s="23">
        <f t="shared" si="3"/>
        <v>0</v>
      </c>
    </row>
    <row r="23" spans="1:17" ht="12.75">
      <c r="A23" s="20" t="str">
        <f>5th_Year!A23</f>
        <v>CHLOROPHYLL A, FLUORESCENCE LAB FILTERED</v>
      </c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2">
        <f t="shared" si="2"/>
        <v>0</v>
      </c>
      <c r="P23" s="23">
        <f>5th_Year!P23*1.03</f>
        <v>28.425400301836007</v>
      </c>
      <c r="Q23" s="23">
        <f t="shared" si="3"/>
        <v>0</v>
      </c>
    </row>
    <row r="24" spans="1:17" ht="12.75">
      <c r="A24" s="20" t="str">
        <f>5th_Year!A24</f>
        <v>COLOR, TRUE, PT-CO</v>
      </c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>
        <f t="shared" si="2"/>
        <v>0</v>
      </c>
      <c r="P24" s="23">
        <f>5th_Year!P24*1.03</f>
        <v>28.9818518575</v>
      </c>
      <c r="Q24" s="23">
        <f t="shared" si="3"/>
        <v>0</v>
      </c>
    </row>
    <row r="25" spans="1:17" ht="12.75">
      <c r="A25" s="20" t="str">
        <f>5th_Year!A25</f>
        <v>HARDNESS, CALCULATION METHOD (When Metals Done)</v>
      </c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>
        <f t="shared" si="2"/>
        <v>0</v>
      </c>
      <c r="P25" s="23">
        <f>5th_Year!P25*1.03</f>
        <v>6.225301778991001</v>
      </c>
      <c r="Q25" s="23">
        <f t="shared" si="3"/>
        <v>0</v>
      </c>
    </row>
    <row r="26" spans="1:17" ht="12.75">
      <c r="A26" s="20" t="str">
        <f>5th_Year!A26</f>
        <v>HARDNESS, CALCULATION METHOD (When Metals not Done)</v>
      </c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2">
        <f t="shared" si="2"/>
        <v>0</v>
      </c>
      <c r="P26" s="23">
        <f>5th_Year!P26*1.03</f>
        <v>61.232856604526006</v>
      </c>
      <c r="Q26" s="23">
        <f t="shared" si="3"/>
        <v>0</v>
      </c>
    </row>
    <row r="27" spans="1:17" ht="12.75">
      <c r="A27" s="20" t="str">
        <f>5th_Year!A27</f>
        <v>SULFATE (EPA 375.2)</v>
      </c>
      <c r="B27" s="20"/>
      <c r="C27" s="21" t="s">
        <v>1</v>
      </c>
      <c r="D27" s="21"/>
      <c r="E27" s="21" t="s">
        <v>1</v>
      </c>
      <c r="F27" s="21"/>
      <c r="G27" s="21"/>
      <c r="H27" s="21"/>
      <c r="I27" s="21"/>
      <c r="J27" s="21"/>
      <c r="K27" s="21"/>
      <c r="L27" s="21"/>
      <c r="M27" s="21"/>
      <c r="N27" s="21"/>
      <c r="O27" s="22">
        <f t="shared" si="2"/>
        <v>0</v>
      </c>
      <c r="P27" s="23">
        <f>5th_Year!P27*1.03</f>
        <v>30.1411259318</v>
      </c>
      <c r="Q27" s="23">
        <f t="shared" si="3"/>
        <v>0</v>
      </c>
    </row>
    <row r="28" spans="1:17" ht="12.75">
      <c r="A28" s="20" t="str">
        <f>5th_Year!A28</f>
        <v>SUSPENDED SOLIDS</v>
      </c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>
        <f t="shared" si="2"/>
        <v>0</v>
      </c>
      <c r="P28" s="23">
        <f>5th_Year!P28*1.03</f>
        <v>21.79435259684</v>
      </c>
      <c r="Q28" s="23">
        <f t="shared" si="3"/>
        <v>0</v>
      </c>
    </row>
    <row r="29" spans="1:17" ht="12.75">
      <c r="A29" s="20" t="str">
        <f>5th_Year!A29</f>
        <v>TOTAL DISSOLVED SOLIDS, 180 C</v>
      </c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2">
        <f t="shared" si="2"/>
        <v>0</v>
      </c>
      <c r="P29" s="23">
        <f>5th_Year!P29*1.03</f>
        <v>19.858364892758996</v>
      </c>
      <c r="Q29" s="23">
        <f t="shared" si="3"/>
        <v>0</v>
      </c>
    </row>
    <row r="30" spans="1:17" ht="12.75">
      <c r="A30" s="20" t="str">
        <f>5th_Year!A30</f>
        <v>TOTAL VOLATILE SOLIDS</v>
      </c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>
        <f t="shared" si="2"/>
        <v>0</v>
      </c>
      <c r="P30" s="23">
        <f>5th_Year!P30*1.03</f>
        <v>11.627518965229</v>
      </c>
      <c r="Q30" s="23">
        <f t="shared" si="3"/>
        <v>0</v>
      </c>
    </row>
    <row r="31" spans="1:17" ht="12.75">
      <c r="A31" s="28" t="str">
        <f>5th_Year!A31</f>
        <v>TURBIDITY</v>
      </c>
      <c r="B31" s="2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>
        <f t="shared" si="2"/>
        <v>0</v>
      </c>
      <c r="P31" s="23">
        <f>5th_Year!P31*1.03</f>
        <v>11.592740743000002</v>
      </c>
      <c r="Q31" s="23">
        <f t="shared" si="3"/>
        <v>0</v>
      </c>
    </row>
    <row r="32" spans="1:17" ht="12.75">
      <c r="A32" s="20" t="str">
        <f>5th_Year!A32</f>
        <v>FIELD TESTS (For each labslip with Field Testing Recorded)</v>
      </c>
      <c r="B32" s="20"/>
      <c r="C32" s="22">
        <f aca="true" t="shared" si="4" ref="C32:N32">IF($C$8="Y",MAXA(C12:C31),"")</f>
      </c>
      <c r="D32" s="22">
        <f t="shared" si="4"/>
      </c>
      <c r="E32" s="22">
        <f t="shared" si="4"/>
      </c>
      <c r="F32" s="22">
        <f t="shared" si="4"/>
      </c>
      <c r="G32" s="22">
        <f t="shared" si="4"/>
      </c>
      <c r="H32" s="22">
        <f t="shared" si="4"/>
      </c>
      <c r="I32" s="22">
        <f t="shared" si="4"/>
      </c>
      <c r="J32" s="22">
        <f t="shared" si="4"/>
      </c>
      <c r="K32" s="22">
        <f t="shared" si="4"/>
      </c>
      <c r="L32" s="22">
        <f t="shared" si="4"/>
      </c>
      <c r="M32" s="22">
        <f t="shared" si="4"/>
      </c>
      <c r="N32" s="22">
        <f t="shared" si="4"/>
      </c>
      <c r="O32" s="22">
        <f t="shared" si="2"/>
        <v>0</v>
      </c>
      <c r="P32" s="23">
        <f>5th_Year!P32*1.03</f>
        <v>7.372983112548002</v>
      </c>
      <c r="Q32" s="23">
        <f t="shared" si="3"/>
        <v>0</v>
      </c>
    </row>
    <row r="33" spans="1:17" ht="12.75">
      <c r="A33" s="4" t="s">
        <v>46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20" t="str">
        <f>5th_Year!A34</f>
        <v>CALCIUM, TOTAL RECOVERABLE, ICP</v>
      </c>
      <c r="B34" s="20"/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2">
        <f aca="true" t="shared" si="5" ref="O34:O40">(SUM(C34:N34))</f>
        <v>0</v>
      </c>
      <c r="P34" s="23">
        <f>5th_Year!P34*1.03</f>
        <v>15.0705629659</v>
      </c>
      <c r="Q34" s="23">
        <f aca="true" t="shared" si="6" ref="Q34:Q40">O34*P34</f>
        <v>0</v>
      </c>
    </row>
    <row r="35" spans="1:17" ht="12.75">
      <c r="A35" s="20" t="str">
        <f>5th_Year!A35</f>
        <v>IRON,  TOTAL RECOVERABLE, ICP</v>
      </c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2">
        <f t="shared" si="5"/>
        <v>0</v>
      </c>
      <c r="P35" s="23">
        <f>5th_Year!P35*1.03</f>
        <v>15.0705629659</v>
      </c>
      <c r="Q35" s="23">
        <f t="shared" si="6"/>
        <v>0</v>
      </c>
    </row>
    <row r="36" spans="1:17" ht="12.75">
      <c r="A36" s="20" t="str">
        <f>5th_Year!A36</f>
        <v>MAGNESIUM,  TOTAL RECOVERABLE, ICP</v>
      </c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2">
        <f t="shared" si="5"/>
        <v>0</v>
      </c>
      <c r="P36" s="23">
        <f>5th_Year!P36*1.03</f>
        <v>15.0705629659</v>
      </c>
      <c r="Q36" s="23">
        <f t="shared" si="6"/>
        <v>0</v>
      </c>
    </row>
    <row r="37" spans="1:17" ht="12.75">
      <c r="A37" s="20" t="str">
        <f>5th_Year!A37</f>
        <v>MANGANESE,  TOTAL RECOVERABLE, ICP</v>
      </c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2">
        <f t="shared" si="5"/>
        <v>0</v>
      </c>
      <c r="P37" s="23">
        <f>5th_Year!P37*1.03</f>
        <v>15.0705629659</v>
      </c>
      <c r="Q37" s="23">
        <f t="shared" si="6"/>
        <v>0</v>
      </c>
    </row>
    <row r="38" spans="1:17" ht="12.75">
      <c r="A38" s="20" t="str">
        <f>5th_Year!A38</f>
        <v>POTASSIUM,  TOTAL RECOVERABLE, ICP</v>
      </c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2">
        <f t="shared" si="5"/>
        <v>0</v>
      </c>
      <c r="P38" s="23">
        <f>5th_Year!P38*1.03</f>
        <v>15.0705629659</v>
      </c>
      <c r="Q38" s="23">
        <f t="shared" si="6"/>
        <v>0</v>
      </c>
    </row>
    <row r="39" spans="1:17" ht="12.75">
      <c r="A39" s="20" t="str">
        <f>5th_Year!A39</f>
        <v>SODIUM,  TOTAL RECOVERABLE, ICP</v>
      </c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2">
        <f t="shared" si="5"/>
        <v>0</v>
      </c>
      <c r="P39" s="23">
        <f>5th_Year!P39*1.03</f>
        <v>15.0705629659</v>
      </c>
      <c r="Q39" s="23">
        <f t="shared" si="6"/>
        <v>0</v>
      </c>
    </row>
    <row r="40" spans="1:17" ht="12.75">
      <c r="A40" s="20" t="str">
        <f>5th_Year!A40</f>
        <v>DIGESTION, TOT. RECOV. LOW LEVEL, ICP + ICP SETUP</v>
      </c>
      <c r="B40" s="20"/>
      <c r="C40" s="22">
        <f aca="true" t="shared" si="7" ref="C40:N40">MAXA(C34:C39)</f>
        <v>0</v>
      </c>
      <c r="D40" s="22">
        <f t="shared" si="7"/>
        <v>0</v>
      </c>
      <c r="E40" s="22">
        <f t="shared" si="7"/>
        <v>0</v>
      </c>
      <c r="F40" s="22">
        <f t="shared" si="7"/>
        <v>0</v>
      </c>
      <c r="G40" s="22">
        <f t="shared" si="7"/>
        <v>0</v>
      </c>
      <c r="H40" s="22">
        <f t="shared" si="7"/>
        <v>0</v>
      </c>
      <c r="I40" s="22">
        <f t="shared" si="7"/>
        <v>0</v>
      </c>
      <c r="J40" s="22">
        <f t="shared" si="7"/>
        <v>0</v>
      </c>
      <c r="K40" s="22">
        <f t="shared" si="7"/>
        <v>0</v>
      </c>
      <c r="L40" s="22">
        <f t="shared" si="7"/>
        <v>0</v>
      </c>
      <c r="M40" s="22">
        <f t="shared" si="7"/>
        <v>0</v>
      </c>
      <c r="N40" s="22">
        <f t="shared" si="7"/>
        <v>0</v>
      </c>
      <c r="O40" s="22">
        <f t="shared" si="5"/>
        <v>0</v>
      </c>
      <c r="P40" s="23">
        <f>5th_Year!P40*1.03</f>
        <v>24.866428893735005</v>
      </c>
      <c r="Q40" s="23">
        <f t="shared" si="6"/>
        <v>0</v>
      </c>
    </row>
    <row r="41" spans="1:17" ht="12.75">
      <c r="A41" s="4" t="s">
        <v>54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3"/>
      <c r="Q41" s="13"/>
    </row>
    <row r="42" spans="1:17" ht="12.75">
      <c r="A42" s="20" t="str">
        <f>5th_Year!A42</f>
        <v>E COLI ENZYMATIC SUBTRATE QUANTITRAY MPN</v>
      </c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2">
        <f>(SUM(C42:N42))</f>
        <v>0</v>
      </c>
      <c r="P42" s="23">
        <f>5th_Year!P42*1.03</f>
        <v>42.893140749100006</v>
      </c>
      <c r="Q42" s="23">
        <f>O42*P42</f>
        <v>0</v>
      </c>
    </row>
    <row r="43" spans="1:17" ht="12.75">
      <c r="A43" s="20" t="str">
        <f>5th_Year!A43</f>
        <v>Fecal Coliform (MFFCC)</v>
      </c>
      <c r="B43" s="20"/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2">
        <f>(SUM(C43:N43))</f>
        <v>0</v>
      </c>
      <c r="P43" s="23">
        <f>5th_Year!P43*1.03</f>
        <v>42.893140749100006</v>
      </c>
      <c r="Q43" s="23">
        <f>O43*P43</f>
        <v>0</v>
      </c>
    </row>
    <row r="44" spans="3:17" ht="12.75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3"/>
      <c r="Q44" s="13"/>
    </row>
    <row r="45" spans="15:17" ht="12.75">
      <c r="O45" s="4" t="s">
        <v>56</v>
      </c>
      <c r="P45" s="5"/>
      <c r="Q45" s="12">
        <f>SUM(Q12:Q43)</f>
        <v>0</v>
      </c>
    </row>
    <row r="46" spans="16:17" ht="12.75">
      <c r="P46" s="5"/>
      <c r="Q46" s="5"/>
    </row>
    <row r="47" spans="1:17" ht="12.75">
      <c r="A47" t="s">
        <v>57</v>
      </c>
      <c r="C47" s="11">
        <f aca="true" t="shared" si="8" ref="C47:N47">MAXA(C11:C40)</f>
        <v>0</v>
      </c>
      <c r="D47" s="11">
        <f t="shared" si="8"/>
        <v>0</v>
      </c>
      <c r="E47" s="11">
        <f t="shared" si="8"/>
        <v>0</v>
      </c>
      <c r="F47" s="11">
        <f t="shared" si="8"/>
        <v>0</v>
      </c>
      <c r="G47" s="11">
        <f t="shared" si="8"/>
        <v>0</v>
      </c>
      <c r="H47" s="11">
        <f t="shared" si="8"/>
        <v>0</v>
      </c>
      <c r="I47" s="11">
        <f t="shared" si="8"/>
        <v>0</v>
      </c>
      <c r="J47" s="11">
        <f t="shared" si="8"/>
        <v>0</v>
      </c>
      <c r="K47" s="11">
        <f t="shared" si="8"/>
        <v>0</v>
      </c>
      <c r="L47" s="11">
        <f t="shared" si="8"/>
        <v>0</v>
      </c>
      <c r="M47" s="11">
        <f t="shared" si="8"/>
        <v>0</v>
      </c>
      <c r="N47" s="11">
        <f t="shared" si="8"/>
        <v>0</v>
      </c>
      <c r="O47" s="11">
        <f>(SUM(C47:N47))</f>
        <v>0</v>
      </c>
      <c r="P47" s="14" t="s">
        <v>58</v>
      </c>
      <c r="Q47" s="5"/>
    </row>
    <row r="48" spans="1:17" ht="12.75">
      <c r="A48" t="s">
        <v>59</v>
      </c>
      <c r="C48" s="11">
        <f aca="true" t="shared" si="9" ref="C48:N48">MAXA(C42:C43)</f>
        <v>0</v>
      </c>
      <c r="D48" s="11">
        <f t="shared" si="9"/>
        <v>0</v>
      </c>
      <c r="E48" s="11">
        <f t="shared" si="9"/>
        <v>0</v>
      </c>
      <c r="F48" s="11">
        <f t="shared" si="9"/>
        <v>0</v>
      </c>
      <c r="G48" s="11">
        <f t="shared" si="9"/>
        <v>0</v>
      </c>
      <c r="H48" s="11">
        <f t="shared" si="9"/>
        <v>0</v>
      </c>
      <c r="I48" s="11">
        <f t="shared" si="9"/>
        <v>0</v>
      </c>
      <c r="J48" s="11">
        <f t="shared" si="9"/>
        <v>0</v>
      </c>
      <c r="K48" s="11">
        <f t="shared" si="9"/>
        <v>0</v>
      </c>
      <c r="L48" s="11">
        <f t="shared" si="9"/>
        <v>0</v>
      </c>
      <c r="M48" s="11">
        <f t="shared" si="9"/>
        <v>0</v>
      </c>
      <c r="N48" s="11">
        <f t="shared" si="9"/>
        <v>0</v>
      </c>
      <c r="O48" s="11">
        <f>(SUM(C48:N48))</f>
        <v>0</v>
      </c>
      <c r="P48" s="14" t="s">
        <v>60</v>
      </c>
      <c r="Q48" s="5"/>
    </row>
    <row r="49" spans="1:17" ht="12.75">
      <c r="A49" t="s">
        <v>61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5"/>
      <c r="Q49" s="5"/>
    </row>
  </sheetData>
  <sheetProtection/>
  <mergeCells count="2">
    <mergeCell ref="A21:B21"/>
    <mergeCell ref="A31:B31"/>
  </mergeCells>
  <printOptions/>
  <pageMargins left="0.4" right="0.4" top="0.333" bottom="0.333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S45"/>
  <sheetViews>
    <sheetView showGridLines="0" zoomScalePageLayoutView="0" workbookViewId="0" topLeftCell="A1">
      <selection activeCell="E12" sqref="E12"/>
    </sheetView>
  </sheetViews>
  <sheetFormatPr defaultColWidth="9.7109375" defaultRowHeight="12.75"/>
  <cols>
    <col min="1" max="1" width="16.7109375" style="0" customWidth="1"/>
    <col min="2" max="2" width="45.7109375" style="0" customWidth="1"/>
    <col min="3" max="4" width="7.7109375" style="0" hidden="1" customWidth="1"/>
    <col min="5" max="5" width="17.7109375" style="0" customWidth="1"/>
    <col min="6" max="6" width="18.7109375" style="0" customWidth="1"/>
    <col min="7" max="10" width="5.7109375" style="0" customWidth="1"/>
    <col min="11" max="11" width="7.7109375" style="0" customWidth="1"/>
    <col min="12" max="12" width="6.7109375" style="0" customWidth="1"/>
    <col min="13" max="15" width="5.7109375" style="0" customWidth="1"/>
    <col min="16" max="17" width="11.7109375" style="0" customWidth="1"/>
    <col min="18" max="18" width="9.7109375" style="0" customWidth="1"/>
    <col min="19" max="19" width="17.7109375" style="0" customWidth="1"/>
  </cols>
  <sheetData>
    <row r="1" spans="1:19" ht="12.75">
      <c r="A1" s="4" t="s">
        <v>73</v>
      </c>
      <c r="C1" s="3"/>
      <c r="E1" t="s">
        <v>62</v>
      </c>
      <c r="R1" s="5"/>
      <c r="S1" s="5"/>
    </row>
    <row r="2" spans="3:19" ht="12.75">
      <c r="C2" s="3"/>
      <c r="R2" s="5"/>
      <c r="S2" s="5"/>
    </row>
    <row r="3" spans="1:19" ht="12.75">
      <c r="A3" t="s">
        <v>0</v>
      </c>
      <c r="B3" s="1" t="str">
        <f>6th_Year!B3</f>
        <v>Big Blake Lake</v>
      </c>
      <c r="C3" s="3"/>
      <c r="E3" t="s">
        <v>2</v>
      </c>
      <c r="F3" s="1">
        <f>6th_Year!I3</f>
      </c>
      <c r="R3" s="5"/>
      <c r="S3" s="5"/>
    </row>
    <row r="4" spans="1:19" ht="12.75">
      <c r="A4" t="s">
        <v>72</v>
      </c>
      <c r="B4" t="str">
        <f>6th_Year!B4</f>
        <v> </v>
      </c>
      <c r="C4" s="3"/>
      <c r="E4" t="s">
        <v>5</v>
      </c>
      <c r="F4" s="1">
        <f>6th_Year!I4</f>
      </c>
      <c r="R4" s="5"/>
      <c r="S4" s="5"/>
    </row>
    <row r="5" spans="1:19" ht="12.75">
      <c r="A5" t="s">
        <v>4</v>
      </c>
      <c r="B5" s="1" t="str">
        <f>6th_Year!B5</f>
        <v>Polk</v>
      </c>
      <c r="C5" s="3"/>
      <c r="R5" s="5"/>
      <c r="S5" s="5"/>
    </row>
    <row r="6" spans="1:19" ht="12.75">
      <c r="A6" t="s">
        <v>6</v>
      </c>
      <c r="B6" s="1" t="str">
        <f>6th_Year!B6</f>
        <v>Polk County LWRD</v>
      </c>
      <c r="C6" s="3"/>
      <c r="R6" s="5"/>
      <c r="S6" s="5"/>
    </row>
    <row r="7" spans="18:19" ht="12.75">
      <c r="R7" s="5"/>
      <c r="S7" s="5"/>
    </row>
    <row r="8" spans="18:19" ht="12.75">
      <c r="R8" s="5"/>
      <c r="S8" s="5"/>
    </row>
    <row r="9" spans="1:6" ht="12.75">
      <c r="A9" s="4"/>
      <c r="B9" s="4"/>
      <c r="C9" s="7"/>
      <c r="E9" s="8" t="s">
        <v>63</v>
      </c>
      <c r="F9" s="9" t="s">
        <v>64</v>
      </c>
    </row>
    <row r="10" spans="1:6" ht="12.75">
      <c r="A10" s="4" t="s">
        <v>14</v>
      </c>
      <c r="B10" s="4"/>
      <c r="C10" s="7" t="s">
        <v>15</v>
      </c>
      <c r="E10" s="8" t="s">
        <v>65</v>
      </c>
      <c r="F10" s="9" t="s">
        <v>30</v>
      </c>
    </row>
    <row r="11" spans="1:6" ht="12.75">
      <c r="A11" s="4" t="s">
        <v>31</v>
      </c>
      <c r="C11" s="3"/>
      <c r="E11" s="10"/>
      <c r="F11" s="10"/>
    </row>
    <row r="12" spans="1:6" ht="12.75">
      <c r="A12" s="20" t="str">
        <f>6th_Year!A12</f>
        <v>DISSOLVED REACTIVE P (ORTHO)</v>
      </c>
      <c r="B12" s="20"/>
      <c r="C12" s="20">
        <v>2.1</v>
      </c>
      <c r="D12" s="20"/>
      <c r="E12" s="22">
        <f>1st_Year!P12+2nd_Year!O12+3rd_Year!O12+4th_Year!O12+5th_Year!O12+6th_Year!O12</f>
        <v>81</v>
      </c>
      <c r="F12" s="23">
        <f>1st_Year!R12+2nd_Year!Q12+3rd_Year!Q12+4th_Year!Q12+5th_Year!Q12+6th_Year!Q12</f>
        <v>1415.9153264400002</v>
      </c>
    </row>
    <row r="13" spans="1:6" ht="12.75">
      <c r="A13" s="20" t="str">
        <f>6th_Year!A13</f>
        <v>TOTAL PHOSPHORUS</v>
      </c>
      <c r="B13" s="20"/>
      <c r="C13" s="20">
        <v>2.1</v>
      </c>
      <c r="D13" s="20"/>
      <c r="E13" s="22">
        <f>1st_Year!P13+2nd_Year!O13+3rd_Year!O13+4th_Year!O13+5th_Year!O13+6th_Year!O13</f>
        <v>81</v>
      </c>
      <c r="F13" s="23">
        <f>1st_Year!R13+2nd_Year!Q13+3rd_Year!Q13+4th_Year!Q13+5th_Year!Q13+6th_Year!Q13</f>
        <v>2004.5351952000005</v>
      </c>
    </row>
    <row r="14" spans="1:6" ht="12.75">
      <c r="A14" s="20" t="str">
        <f>6th_Year!A14</f>
        <v>TOTAL DISS PHOSPHORUS (AS P), (EPA 365.1)</v>
      </c>
      <c r="B14" s="20"/>
      <c r="C14" s="20">
        <v>2.1</v>
      </c>
      <c r="D14" s="20"/>
      <c r="E14" s="22">
        <f>1st_Year!P14+2nd_Year!O14+3rd_Year!O14+4th_Year!O14+5th_Year!O14+6th_Year!O14</f>
        <v>0</v>
      </c>
      <c r="F14" s="23">
        <f>1st_Year!R14+2nd_Year!Q14+3rd_Year!Q14+4th_Year!Q14+5th_Year!Q14+6th_Year!Q14</f>
        <v>0</v>
      </c>
    </row>
    <row r="15" spans="1:6" ht="12.75">
      <c r="A15" s="20" t="str">
        <f>6th_Year!A15</f>
        <v>TOTAL KJELDAHL NITROGEN</v>
      </c>
      <c r="B15" s="20"/>
      <c r="C15" s="25">
        <v>2.1</v>
      </c>
      <c r="D15" s="20"/>
      <c r="E15" s="22">
        <f>1st_Year!P15+2nd_Year!O15+3rd_Year!O15+4th_Year!O15+5th_Year!O15+6th_Year!O15</f>
        <v>66</v>
      </c>
      <c r="F15" s="23">
        <f>1st_Year!R15+2nd_Year!Q15+3rd_Year!Q15+4th_Year!Q15+5th_Year!Q15+6th_Year!Q15</f>
        <v>2283.08123049</v>
      </c>
    </row>
    <row r="16" spans="1:6" ht="12.75">
      <c r="A16" s="20" t="str">
        <f>6th_Year!A16</f>
        <v>NITRATE+NITRITE (AS N), DISS (EPA 353.2)</v>
      </c>
      <c r="B16" s="20"/>
      <c r="C16" s="25">
        <v>1.5</v>
      </c>
      <c r="D16" s="20"/>
      <c r="E16" s="22">
        <f>1st_Year!P16+2nd_Year!O16+3rd_Year!O16+4th_Year!O16+5th_Year!O16+6th_Year!O16</f>
        <v>66</v>
      </c>
      <c r="F16" s="23">
        <f>1st_Year!R16+2nd_Year!Q16+3rd_Year!Q16+4th_Year!Q16+5th_Year!Q16+6th_Year!Q16</f>
        <v>1868.5417770000001</v>
      </c>
    </row>
    <row r="17" spans="1:6" ht="12.75">
      <c r="A17" s="20" t="str">
        <f>6th_Year!A17</f>
        <v>AMMONIA-N, DISSOLVED</v>
      </c>
      <c r="B17" s="20"/>
      <c r="C17" s="25">
        <v>1.5</v>
      </c>
      <c r="D17" s="20"/>
      <c r="E17" s="22">
        <f>1st_Year!P17+2nd_Year!O17+3rd_Year!O17+4th_Year!O17+5th_Year!O17+6th_Year!O17</f>
        <v>66</v>
      </c>
      <c r="F17" s="23">
        <f>1st_Year!R17+2nd_Year!Q17+3rd_Year!Q17+4th_Year!Q17+5th_Year!Q17+6th_Year!Q17</f>
        <v>1791.7239483900003</v>
      </c>
    </row>
    <row r="18" spans="1:6" ht="12.75">
      <c r="A18" s="4" t="s">
        <v>34</v>
      </c>
      <c r="C18" s="3"/>
      <c r="E18" s="10"/>
      <c r="F18" s="10"/>
    </row>
    <row r="19" spans="1:6" ht="12.75">
      <c r="A19" s="20" t="str">
        <f>6th_Year!A19</f>
        <v>AUTOMATED CONDUCTIVITY, PH &amp; ALKALINITY</v>
      </c>
      <c r="B19" s="20"/>
      <c r="C19" s="25">
        <v>1.9</v>
      </c>
      <c r="D19" s="20"/>
      <c r="E19" s="22">
        <f>1st_Year!P19+2nd_Year!O19+3rd_Year!O19+4th_Year!O19+5th_Year!O19+6th_Year!O19</f>
        <v>0</v>
      </c>
      <c r="F19" s="23">
        <f>1st_Year!R19+2nd_Year!Q19+3rd_Year!Q19+4th_Year!Q19+5th_Year!Q19+6th_Year!Q19</f>
        <v>0</v>
      </c>
    </row>
    <row r="20" spans="1:6" ht="12.75">
      <c r="A20" s="20" t="str">
        <f>6th_Year!A20</f>
        <v>ALKALINITY, GRAN TECHNIQUE</v>
      </c>
      <c r="B20" s="20"/>
      <c r="C20" s="20">
        <v>3</v>
      </c>
      <c r="D20" s="20"/>
      <c r="E20" s="22">
        <f>1st_Year!P20+2nd_Year!O20+3rd_Year!O20+4th_Year!O20+5th_Year!O20+6th_Year!O20</f>
        <v>0</v>
      </c>
      <c r="F20" s="23">
        <f>1st_Year!R20+2nd_Year!Q20+3rd_Year!Q20+4th_Year!Q20+5th_Year!Q20+6th_Year!Q20</f>
        <v>0</v>
      </c>
    </row>
    <row r="21" spans="1:6" ht="12.75">
      <c r="A21" s="28" t="str">
        <f>6th_Year!A21</f>
        <v>CHLORIDE</v>
      </c>
      <c r="B21" s="29"/>
      <c r="C21" s="25">
        <v>1.5</v>
      </c>
      <c r="D21" s="20"/>
      <c r="E21" s="22">
        <f>1st_Year!P21+2nd_Year!O21+3rd_Year!O21+4th_Year!O21+5th_Year!O21+6th_Year!O21</f>
        <v>0</v>
      </c>
      <c r="F21" s="23">
        <f>1st_Year!R21+2nd_Year!Q21+3rd_Year!Q21+4th_Year!Q21+5th_Year!Q21+6th_Year!Q21</f>
        <v>0</v>
      </c>
    </row>
    <row r="22" spans="1:6" ht="12.75">
      <c r="A22" s="20" t="str">
        <f>6th_Year!A22</f>
        <v>CHLOROPHYLL A, FLUORESCENCE, FIELD FILTERED </v>
      </c>
      <c r="B22" s="20"/>
      <c r="C22" s="25">
        <v>2.5</v>
      </c>
      <c r="D22" s="20"/>
      <c r="E22" s="22">
        <f>1st_Year!P22+2nd_Year!O22+3rd_Year!O22+4th_Year!O22+5th_Year!O22+6th_Year!O22</f>
        <v>0</v>
      </c>
      <c r="F22" s="23">
        <f>1st_Year!R22+2nd_Year!Q22+3rd_Year!Q22+4th_Year!Q22+5th_Year!Q22+6th_Year!Q22</f>
        <v>0</v>
      </c>
    </row>
    <row r="23" spans="1:6" ht="12.75">
      <c r="A23" s="20" t="str">
        <f>6th_Year!A23</f>
        <v>CHLOROPHYLL A, FLUORESCENCE LAB FILTERED</v>
      </c>
      <c r="B23" s="20"/>
      <c r="C23" s="25">
        <v>3.2</v>
      </c>
      <c r="D23" s="20"/>
      <c r="E23" s="22">
        <f>1st_Year!P23+2nd_Year!O23+3rd_Year!O23+4th_Year!O23+5th_Year!O23+6th_Year!O23</f>
        <v>15</v>
      </c>
      <c r="F23" s="23">
        <f>1st_Year!R23+2nd_Year!Q23+3rd_Year!Q23+4th_Year!Q23+5th_Year!Q23+6th_Year!Q23</f>
        <v>385.7653381200001</v>
      </c>
    </row>
    <row r="24" spans="1:6" ht="12.75">
      <c r="A24" s="20" t="str">
        <f>6th_Year!A24</f>
        <v>COLOR, TRUE, PT-CO</v>
      </c>
      <c r="B24" s="20"/>
      <c r="C24" s="25">
        <v>1.2</v>
      </c>
      <c r="D24" s="20"/>
      <c r="E24" s="22">
        <f>1st_Year!P24+2nd_Year!O24+3rd_Year!O24+4th_Year!O24+5th_Year!O24+6th_Year!O24</f>
        <v>0</v>
      </c>
      <c r="F24" s="23">
        <f>1st_Year!R24+2nd_Year!Q24+3rd_Year!Q24+4th_Year!Q24+5th_Year!Q24+6th_Year!Q24</f>
        <v>0</v>
      </c>
    </row>
    <row r="25" spans="1:6" ht="12.75">
      <c r="A25" s="20" t="str">
        <f>6th_Year!A25</f>
        <v>HARDNESS, CALCULATION METHOD (When Metals Done)</v>
      </c>
      <c r="B25" s="20"/>
      <c r="C25" s="25">
        <v>0.3</v>
      </c>
      <c r="D25" s="20"/>
      <c r="E25" s="22">
        <f>1st_Year!P25+2nd_Year!O25+3rd_Year!O25+4th_Year!O25+5th_Year!O25+6th_Year!O25</f>
        <v>0</v>
      </c>
      <c r="F25" s="23">
        <f>1st_Year!R25+2nd_Year!Q25+3rd_Year!Q25+4th_Year!Q25+5th_Year!Q25+6th_Year!Q25</f>
        <v>0</v>
      </c>
    </row>
    <row r="26" spans="1:6" ht="12.75">
      <c r="A26" s="20" t="str">
        <f>6th_Year!A26</f>
        <v>HARDNESS, CALCULATION METHOD (When Metals not Done)</v>
      </c>
      <c r="B26" s="20"/>
      <c r="C26" s="25">
        <f>C34+C37+C40+C25</f>
        <v>6.6</v>
      </c>
      <c r="D26" s="20"/>
      <c r="E26" s="22">
        <f>1st_Year!P26+2nd_Year!O26+3rd_Year!O26+4th_Year!O26+5th_Year!O26+6th_Year!O26</f>
        <v>0</v>
      </c>
      <c r="F26" s="23">
        <f>1st_Year!R26+2nd_Year!Q26+3rd_Year!Q26+4th_Year!Q26+5th_Year!Q26+6th_Year!Q26</f>
        <v>0</v>
      </c>
    </row>
    <row r="27" spans="1:6" ht="12.75">
      <c r="A27" s="20" t="str">
        <f>6th_Year!A27</f>
        <v>SULFATE (EPA 375.2)</v>
      </c>
      <c r="B27" s="20"/>
      <c r="C27" s="25">
        <v>1.9</v>
      </c>
      <c r="D27" s="20"/>
      <c r="E27" s="22">
        <f>1st_Year!P27+2nd_Year!O27+3rd_Year!O27+4th_Year!O27+5th_Year!O27+6th_Year!O27</f>
        <v>21</v>
      </c>
      <c r="F27" s="23">
        <f>1st_Year!R27+2nd_Year!Q27+3rd_Year!Q27+4th_Year!Q27+5th_Year!Q27+6th_Year!Q27</f>
        <v>572.187408</v>
      </c>
    </row>
    <row r="28" spans="1:6" ht="12.75">
      <c r="A28" s="20" t="str">
        <f>6th_Year!A28</f>
        <v>SUSPENDED SOLIDS</v>
      </c>
      <c r="B28" s="20"/>
      <c r="C28" s="25">
        <v>1.9</v>
      </c>
      <c r="D28" s="20"/>
      <c r="E28" s="22">
        <f>1st_Year!P28+2nd_Year!O28+3rd_Year!O28+4th_Year!O28+5th_Year!O28+6th_Year!O28</f>
        <v>66</v>
      </c>
      <c r="F28" s="23">
        <f>1st_Year!R28+2nd_Year!Q28+3rd_Year!Q28+4th_Year!Q28+5th_Year!Q28+6th_Year!Q28</f>
        <v>1301.0587188</v>
      </c>
    </row>
    <row r="29" spans="1:6" ht="12.75">
      <c r="A29" s="20" t="str">
        <f>6th_Year!A29</f>
        <v>TOTAL DISSOLVED SOLIDS, 180 C</v>
      </c>
      <c r="B29" s="20"/>
      <c r="C29" s="25">
        <v>1.5</v>
      </c>
      <c r="D29" s="20"/>
      <c r="E29" s="22">
        <f>1st_Year!P29+2nd_Year!O29+3rd_Year!O29+4th_Year!O29+5th_Year!O29+6th_Year!O29</f>
        <v>0</v>
      </c>
      <c r="F29" s="23">
        <f>1st_Year!R29+2nd_Year!Q29+3rd_Year!Q29+4th_Year!Q29+5th_Year!Q29+6th_Year!Q29</f>
        <v>0</v>
      </c>
    </row>
    <row r="30" spans="1:6" ht="12.75">
      <c r="A30" s="20" t="str">
        <f>6th_Year!A30</f>
        <v>TOTAL VOLATILE SOLIDS</v>
      </c>
      <c r="B30" s="20"/>
      <c r="C30" s="25">
        <v>1</v>
      </c>
      <c r="D30" s="20"/>
      <c r="E30" s="22">
        <f>1st_Year!P30+2nd_Year!O30+3rd_Year!O30+4th_Year!O30+5th_Year!O30+6th_Year!O30</f>
        <v>0</v>
      </c>
      <c r="F30" s="23">
        <f>1st_Year!R30+2nd_Year!Q30+3rd_Year!Q30+4th_Year!Q30+5th_Year!Q30+6th_Year!Q30</f>
        <v>0</v>
      </c>
    </row>
    <row r="31" spans="1:6" ht="12.75">
      <c r="A31" s="28" t="str">
        <f>6th_Year!A31</f>
        <v>TURBIDITY</v>
      </c>
      <c r="B31" s="29"/>
      <c r="C31" s="25">
        <v>0.9</v>
      </c>
      <c r="D31" s="20"/>
      <c r="E31" s="22">
        <f>1st_Year!P31+2nd_Year!O31+3rd_Year!O31+4th_Year!O31+5th_Year!O31+6th_Year!O31</f>
        <v>0</v>
      </c>
      <c r="F31" s="23">
        <f>1st_Year!R31+2nd_Year!Q31+3rd_Year!Q31+4th_Year!Q31+5th_Year!Q31+6th_Year!Q31</f>
        <v>0</v>
      </c>
    </row>
    <row r="32" spans="1:6" ht="12.75">
      <c r="A32" s="20" t="str">
        <f>6th_Year!A32</f>
        <v>FIELD TESTS (For each labslip with Field Testing Recorded)</v>
      </c>
      <c r="B32" s="20"/>
      <c r="C32" s="25">
        <v>0.4</v>
      </c>
      <c r="D32" s="20"/>
      <c r="E32" s="22">
        <f>1st_Year!P32+2nd_Year!O32+3rd_Year!O32+4th_Year!O32+5th_Year!O32+6th_Year!O32</f>
        <v>0</v>
      </c>
      <c r="F32" s="23">
        <f>1st_Year!R32+2nd_Year!Q32+3rd_Year!Q32+4th_Year!Q32+5th_Year!Q32+6th_Year!Q32</f>
        <v>0</v>
      </c>
    </row>
    <row r="33" spans="1:6" ht="12.75">
      <c r="A33" s="4" t="s">
        <v>46</v>
      </c>
      <c r="C33" s="3"/>
      <c r="E33" s="10"/>
      <c r="F33" s="10"/>
    </row>
    <row r="34" spans="1:6" ht="12.75">
      <c r="A34" s="20" t="str">
        <f>6th_Year!A34</f>
        <v>CALCIUM, TOTAL RECOVERABLE, ICP</v>
      </c>
      <c r="B34" s="20"/>
      <c r="C34" s="25">
        <v>1.9</v>
      </c>
      <c r="D34" s="20"/>
      <c r="E34" s="22">
        <f>1st_Year!P34+2nd_Year!O34+3rd_Year!O34+4th_Year!O34+5th_Year!O34+6th_Year!O34</f>
        <v>0</v>
      </c>
      <c r="F34" s="23">
        <f>1st_Year!R34+2nd_Year!Q34+3rd_Year!Q34+4th_Year!Q34+5th_Year!Q34+6th_Year!Q34</f>
        <v>0</v>
      </c>
    </row>
    <row r="35" spans="1:6" ht="12.75">
      <c r="A35" s="20" t="str">
        <f>6th_Year!A35</f>
        <v>IRON,  TOTAL RECOVERABLE, ICP</v>
      </c>
      <c r="B35" s="20"/>
      <c r="C35" s="25">
        <v>1.9</v>
      </c>
      <c r="D35" s="20"/>
      <c r="E35" s="22">
        <f>1st_Year!P35+2nd_Year!O35+3rd_Year!O35+4th_Year!O35+5th_Year!O35+6th_Year!O35</f>
        <v>0</v>
      </c>
      <c r="F35" s="23">
        <f>1st_Year!R35+2nd_Year!Q35+3rd_Year!Q35+4th_Year!Q35+5th_Year!Q35+6th_Year!Q35</f>
        <v>0</v>
      </c>
    </row>
    <row r="36" spans="1:6" ht="12.75">
      <c r="A36" s="20" t="str">
        <f>6th_Year!A36</f>
        <v>MAGNESIUM,  TOTAL RECOVERABLE, ICP</v>
      </c>
      <c r="B36" s="20"/>
      <c r="C36" s="25">
        <v>1.9</v>
      </c>
      <c r="D36" s="20"/>
      <c r="E36" s="22">
        <f>1st_Year!P36+2nd_Year!O36+3rd_Year!O36+4th_Year!O36+5th_Year!O36+6th_Year!O36</f>
        <v>0</v>
      </c>
      <c r="F36" s="23">
        <f>1st_Year!R36+2nd_Year!Q36+3rd_Year!Q36+4th_Year!Q36+5th_Year!Q36+6th_Year!Q36</f>
        <v>0</v>
      </c>
    </row>
    <row r="37" spans="1:6" ht="12.75">
      <c r="A37" s="20" t="str">
        <f>6th_Year!A37</f>
        <v>MANGANESE,  TOTAL RECOVERABLE, ICP</v>
      </c>
      <c r="B37" s="20"/>
      <c r="C37" s="25">
        <v>1.9</v>
      </c>
      <c r="D37" s="20"/>
      <c r="E37" s="22">
        <f>1st_Year!P37+2nd_Year!O37+3rd_Year!O37+4th_Year!O37+5th_Year!O37+6th_Year!O37</f>
        <v>0</v>
      </c>
      <c r="F37" s="23">
        <f>1st_Year!R37+2nd_Year!Q37+3rd_Year!Q37+4th_Year!Q37+5th_Year!Q37+6th_Year!Q37</f>
        <v>0</v>
      </c>
    </row>
    <row r="38" spans="1:6" ht="12.75">
      <c r="A38" s="20" t="str">
        <f>6th_Year!A38</f>
        <v>POTASSIUM,  TOTAL RECOVERABLE, ICP</v>
      </c>
      <c r="B38" s="20"/>
      <c r="C38" s="25">
        <v>1.9</v>
      </c>
      <c r="D38" s="20"/>
      <c r="E38" s="22">
        <f>1st_Year!P38+2nd_Year!O38+3rd_Year!O38+4th_Year!O38+5th_Year!O38+6th_Year!O38</f>
        <v>0</v>
      </c>
      <c r="F38" s="23">
        <f>1st_Year!R38+2nd_Year!Q38+3rd_Year!Q38+4th_Year!Q38+5th_Year!Q38+6th_Year!Q38</f>
        <v>0</v>
      </c>
    </row>
    <row r="39" spans="1:6" ht="12.75">
      <c r="A39" s="20" t="str">
        <f>6th_Year!A39</f>
        <v>SODIUM,  TOTAL RECOVERABLE, ICP</v>
      </c>
      <c r="B39" s="20"/>
      <c r="C39" s="25">
        <v>1.9</v>
      </c>
      <c r="D39" s="20"/>
      <c r="E39" s="22">
        <f>1st_Year!P39+2nd_Year!O39+3rd_Year!O39+4th_Year!O39+5th_Year!O39+6th_Year!O39</f>
        <v>0</v>
      </c>
      <c r="F39" s="23">
        <f>1st_Year!R39+2nd_Year!Q39+3rd_Year!Q39+4th_Year!Q39+5th_Year!Q39+6th_Year!Q39</f>
        <v>0</v>
      </c>
    </row>
    <row r="40" spans="1:6" ht="12.75">
      <c r="A40" s="20" t="str">
        <f>6th_Year!A40</f>
        <v>DIGESTION, TOT. RECOV. LOW LEVEL, ICP + ICP SETUP</v>
      </c>
      <c r="B40" s="20"/>
      <c r="C40" s="20">
        <v>2.5</v>
      </c>
      <c r="D40" s="20"/>
      <c r="E40" s="22">
        <f>1st_Year!P40+2nd_Year!O40+3rd_Year!O40+4th_Year!O40+5th_Year!O40+6th_Year!O40</f>
        <v>0</v>
      </c>
      <c r="F40" s="23">
        <f>1st_Year!R40+2nd_Year!Q40+3rd_Year!Q40+4th_Year!Q40+5th_Year!Q40+6th_Year!Q40</f>
        <v>0</v>
      </c>
    </row>
    <row r="41" spans="1:6" ht="12.75">
      <c r="A41" s="4" t="s">
        <v>54</v>
      </c>
      <c r="E41" s="10"/>
      <c r="F41" s="13"/>
    </row>
    <row r="42" spans="1:6" ht="12.75">
      <c r="A42" s="20" t="str">
        <f>6th_Year!A42</f>
        <v>E COLI ENZYMATIC SUBTRATE QUANTITRAY MPN</v>
      </c>
      <c r="B42" s="20"/>
      <c r="C42" s="25">
        <v>1.5</v>
      </c>
      <c r="D42" s="20"/>
      <c r="E42" s="22">
        <f>1st_Year!P42+2nd_Year!O42+3rd_Year!O42+4th_Year!O42+5th_Year!O42+6th_Year!O42</f>
        <v>0</v>
      </c>
      <c r="F42" s="23">
        <f>1st_Year!R42+2nd_Year!Q42+3rd_Year!Q42+4th_Year!Q42+5th_Year!Q42+6th_Year!Q42</f>
        <v>0</v>
      </c>
    </row>
    <row r="43" spans="1:6" ht="12.75">
      <c r="A43" s="20" t="str">
        <f>6th_Year!A43</f>
        <v>Fecal Coliform (MFFCC)</v>
      </c>
      <c r="B43" s="20"/>
      <c r="C43" s="25">
        <v>0.8</v>
      </c>
      <c r="D43" s="20"/>
      <c r="E43" s="22">
        <f>1st_Year!P43+2nd_Year!O43+3rd_Year!O43+4th_Year!O43+5th_Year!O43+6th_Year!O43</f>
        <v>0</v>
      </c>
      <c r="F43" s="23">
        <f>1st_Year!R43+2nd_Year!Q43+3rd_Year!Q43+4th_Year!Q43+5th_Year!Q43+6th_Year!Q43</f>
        <v>0</v>
      </c>
    </row>
    <row r="44" spans="3:6" ht="12.75">
      <c r="C44" s="3"/>
      <c r="E44" s="10"/>
      <c r="F44" s="13"/>
    </row>
    <row r="45" spans="3:6" ht="12.75">
      <c r="C45" s="3"/>
      <c r="E45" s="4" t="s">
        <v>56</v>
      </c>
      <c r="F45" s="12">
        <f>SUM(F12:F43)</f>
        <v>11622.808942440002</v>
      </c>
    </row>
  </sheetData>
  <sheetProtection/>
  <mergeCells count="2">
    <mergeCell ref="A21:B21"/>
    <mergeCell ref="A31:B31"/>
  </mergeCells>
  <printOptions/>
  <pageMargins left="0.4" right="0.4" top="0.333" bottom="0.333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Wisconsin DNR</dc:creator>
  <cp:keywords/>
  <dc:description/>
  <cp:lastModifiedBy>katelin Holm</cp:lastModifiedBy>
  <cp:lastPrinted>2012-07-17T12:41:56Z</cp:lastPrinted>
  <dcterms:created xsi:type="dcterms:W3CDTF">1998-08-31T18:12:42Z</dcterms:created>
  <dcterms:modified xsi:type="dcterms:W3CDTF">2012-07-17T12:50:36Z</dcterms:modified>
  <cp:category/>
  <cp:version/>
  <cp:contentType/>
  <cp:contentStatus/>
</cp:coreProperties>
</file>