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5" yWindow="210" windowWidth="20115" windowHeight="10035" firstSheet="5" activeTab="3"/>
  </bookViews>
  <sheets>
    <sheet name="Chlorophyll a" sheetId="2" r:id="rId1"/>
    <sheet name="Primary Productivity" sheetId="4" r:id="rId2"/>
    <sheet name="Vollenweider" sheetId="1" r:id="rId3"/>
    <sheet name="Reckhow" sheetId="3" r:id="rId4"/>
    <sheet name="Nurnberg" sheetId="5" r:id="rId5"/>
    <sheet name="Canfield-Bachmann" sheetId="6" r:id="rId6"/>
    <sheet name="Walker" sheetId="7" r:id="rId7"/>
    <sheet name="Dillion-Rigler-Kirchner" sheetId="11" r:id="rId8"/>
    <sheet name="Larsen-Mercier" sheetId="12" r:id="rId9"/>
    <sheet name="Model Variables" sheetId="9" r:id="rId10"/>
    <sheet name="Parameter Range Values" sheetId="10" r:id="rId11"/>
  </sheets>
  <calcPr calcId="145621"/>
</workbook>
</file>

<file path=xl/calcChain.xml><?xml version="1.0" encoding="utf-8"?>
<calcChain xmlns="http://schemas.openxmlformats.org/spreadsheetml/2006/main">
  <c r="F13" i="7" l="1"/>
  <c r="F12" i="7" s="1"/>
  <c r="F11" i="7" s="1"/>
  <c r="B12" i="7" s="1"/>
  <c r="B8" i="12"/>
  <c r="B9" i="11"/>
  <c r="B8" i="7"/>
  <c r="B11" i="3"/>
  <c r="B17" i="3"/>
  <c r="B14" i="3"/>
  <c r="B10" i="6"/>
  <c r="B7" i="6"/>
  <c r="C9" i="5"/>
  <c r="C16" i="5"/>
  <c r="C8" i="5"/>
  <c r="C7" i="5"/>
  <c r="C6" i="5"/>
  <c r="C5" i="5"/>
  <c r="C4" i="5"/>
  <c r="C3" i="5"/>
  <c r="B11" i="1"/>
  <c r="B8" i="1"/>
  <c r="B7" i="4"/>
  <c r="B7" i="2"/>
  <c r="B8" i="3"/>
</calcChain>
</file>

<file path=xl/sharedStrings.xml><?xml version="1.0" encoding="utf-8"?>
<sst xmlns="http://schemas.openxmlformats.org/spreadsheetml/2006/main" count="197" uniqueCount="158">
  <si>
    <t>chl.a={0.55(P in)/(1+sq. rt. Tw}^0.76</t>
  </si>
  <si>
    <t>Chl. A</t>
  </si>
  <si>
    <r>
      <rPr>
        <b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 (meters)</t>
    </r>
  </si>
  <si>
    <t>Total P ug/L</t>
  </si>
  <si>
    <r>
      <t xml:space="preserve">Primary Productivity </t>
    </r>
    <r>
      <rPr>
        <b/>
        <sz val="11"/>
        <rFont val="Calibri"/>
        <family val="2"/>
      </rPr>
      <t>ΣC(mg^-2year-1)=</t>
    </r>
  </si>
  <si>
    <r>
      <rPr>
        <b/>
        <sz val="11"/>
        <color theme="1"/>
        <rFont val="Calibri"/>
        <family val="2"/>
        <scheme val="minor"/>
      </rPr>
      <t>L</t>
    </r>
    <r>
      <rPr>
        <b/>
        <vertAlign val="subscript"/>
        <sz val="11"/>
        <color theme="1"/>
        <rFont val="Calibri"/>
        <family val="2"/>
        <scheme val="minor"/>
      </rPr>
      <t>ext</t>
    </r>
    <r>
      <rPr>
        <sz val="11"/>
        <color theme="1"/>
        <rFont val="Calibri"/>
        <family val="2"/>
        <scheme val="minor"/>
      </rPr>
      <t xml:space="preserve"> (mg/m^2-year)</t>
    </r>
  </si>
  <si>
    <r>
      <rPr>
        <b/>
        <sz val="11"/>
        <color theme="1"/>
        <rFont val="Calibri"/>
        <family val="2"/>
        <scheme val="minor"/>
      </rPr>
      <t>L</t>
    </r>
    <r>
      <rPr>
        <b/>
        <vertAlign val="subscript"/>
        <sz val="11"/>
        <color theme="1"/>
        <rFont val="Calibri"/>
        <family val="2"/>
        <scheme val="minor"/>
      </rPr>
      <t>int</t>
    </r>
    <r>
      <rPr>
        <sz val="11"/>
        <color theme="1"/>
        <rFont val="Calibri"/>
        <family val="2"/>
        <scheme val="minor"/>
      </rPr>
      <t xml:space="preserve"> (mg/m^2-year)</t>
    </r>
  </si>
  <si>
    <r>
      <rPr>
        <b/>
        <sz val="11"/>
        <color theme="1"/>
        <rFont val="Calibri"/>
        <family val="2"/>
        <scheme val="minor"/>
      </rPr>
      <t>T</t>
    </r>
    <r>
      <rPr>
        <b/>
        <vertAlign val="subscript"/>
        <sz val="11"/>
        <color theme="1"/>
        <rFont val="Calibri"/>
        <family val="2"/>
        <scheme val="minor"/>
      </rPr>
      <t>w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(years)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</si>
  <si>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(m/yr. or z/Tw)</t>
    </r>
  </si>
  <si>
    <t>1977 Oxic Lake Model (zTw&lt;50 m/yr.):</t>
  </si>
  <si>
    <t>1982 Shallow Lake and Reservoir:</t>
  </si>
  <si>
    <t xml:space="preserve"> ΣC(mg^-2year-1)=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</si>
  <si>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ext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</si>
  <si>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int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</si>
  <si>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w</t>
    </r>
  </si>
  <si>
    <r>
      <t>7[{(L</t>
    </r>
    <r>
      <rPr>
        <vertAlign val="subscript"/>
        <sz val="11"/>
        <color theme="1"/>
        <rFont val="Calibri"/>
        <family val="2"/>
        <scheme val="minor"/>
      </rPr>
      <t>ext</t>
    </r>
    <r>
      <rPr>
        <sz val="11"/>
        <color theme="1"/>
        <rFont val="Calibri"/>
        <family val="2"/>
        <scheme val="minor"/>
      </rPr>
      <t>+L</t>
    </r>
    <r>
      <rPr>
        <vertAlign val="subscript"/>
        <sz val="11"/>
        <color theme="1"/>
        <rFont val="Calibri"/>
        <family val="2"/>
        <scheme val="minor"/>
      </rPr>
      <t>int</t>
    </r>
    <r>
      <rPr>
        <sz val="11"/>
        <color theme="1"/>
        <rFont val="Calibri"/>
        <family val="2"/>
        <scheme val="minor"/>
      </rPr>
      <t>)/(1+</t>
    </r>
    <r>
      <rPr>
        <sz val="11"/>
        <color theme="1"/>
        <rFont val="Calibri"/>
        <family val="2"/>
      </rPr>
      <t>√T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>)}</t>
    </r>
    <r>
      <rPr>
        <vertAlign val="superscript"/>
        <sz val="11"/>
        <color theme="1"/>
        <rFont val="Calibri"/>
        <family val="2"/>
      </rPr>
      <t>0.76</t>
    </r>
    <r>
      <rPr>
        <sz val="11"/>
        <color theme="1"/>
        <rFont val="Calibri"/>
        <family val="2"/>
      </rPr>
      <t>/(0.3+0.011{(L</t>
    </r>
    <r>
      <rPr>
        <vertAlign val="subscript"/>
        <sz val="11"/>
        <color theme="1"/>
        <rFont val="Calibri"/>
        <family val="2"/>
      </rPr>
      <t>ext</t>
    </r>
    <r>
      <rPr>
        <sz val="11"/>
        <color theme="1"/>
        <rFont val="Calibri"/>
        <family val="2"/>
      </rPr>
      <t>+L</t>
    </r>
    <r>
      <rPr>
        <vertAlign val="subscript"/>
        <sz val="11"/>
        <color theme="1"/>
        <rFont val="Calibri"/>
        <family val="2"/>
      </rPr>
      <t>int</t>
    </r>
    <r>
      <rPr>
        <sz val="11"/>
        <color theme="1"/>
        <rFont val="Calibri"/>
        <family val="2"/>
      </rPr>
      <t>)/(1+√T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>)}</t>
    </r>
    <r>
      <rPr>
        <vertAlign val="superscript"/>
        <sz val="11"/>
        <color theme="1"/>
        <rFont val="Calibri"/>
        <family val="2"/>
      </rPr>
      <t>0.76</t>
    </r>
    <r>
      <rPr>
        <sz val="11"/>
        <color theme="1"/>
        <rFont val="Calibri"/>
        <family val="2"/>
      </rPr>
      <t>)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</si>
  <si>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>ext</t>
    </r>
  </si>
  <si>
    <r>
      <t>L</t>
    </r>
    <r>
      <rPr>
        <b/>
        <vertAlign val="subscript"/>
        <sz val="12"/>
        <color theme="1"/>
        <rFont val="Calibri"/>
        <family val="2"/>
        <scheme val="minor"/>
      </rPr>
      <t>int</t>
    </r>
  </si>
  <si>
    <r>
      <t>T</t>
    </r>
    <r>
      <rPr>
        <b/>
        <vertAlign val="subscript"/>
        <sz val="12"/>
        <color theme="1"/>
        <rFont val="Calibri"/>
        <family val="2"/>
        <scheme val="minor"/>
      </rPr>
      <t>w</t>
    </r>
  </si>
  <si>
    <t>1982 Combined OECD:</t>
  </si>
  <si>
    <r>
      <t>P=1.55[(LT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/z)/(1+</t>
    </r>
    <r>
      <rPr>
        <sz val="11"/>
        <color theme="1"/>
        <rFont val="Calibri"/>
        <family val="2"/>
      </rPr>
      <t>√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)]</t>
    </r>
    <r>
      <rPr>
        <vertAlign val="superscript"/>
        <sz val="11"/>
        <color theme="1"/>
        <rFont val="Calibri"/>
        <family val="2"/>
        <scheme val="minor"/>
      </rPr>
      <t>0.82</t>
    </r>
  </si>
  <si>
    <r>
      <t>P=1.02[(LT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/z)/(1+</t>
    </r>
    <r>
      <rPr>
        <sz val="11"/>
        <color theme="1"/>
        <rFont val="Calibri"/>
        <family val="2"/>
      </rPr>
      <t>√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)]</t>
    </r>
    <r>
      <rPr>
        <vertAlign val="superscript"/>
        <sz val="11"/>
        <color theme="1"/>
        <rFont val="Calibri"/>
        <family val="2"/>
        <scheme val="minor"/>
      </rPr>
      <t>0.88</t>
    </r>
  </si>
  <si>
    <t>qs</t>
  </si>
  <si>
    <t>Vollenweider 1975</t>
  </si>
  <si>
    <t>Dillon and Kirchner 1975</t>
  </si>
  <si>
    <t>Chapra 1975</t>
  </si>
  <si>
    <t>Ostrofsky 1978a</t>
  </si>
  <si>
    <t>Kirchner and Dillon 1975</t>
  </si>
  <si>
    <t>Larsen and Mercier 1976</t>
  </si>
  <si>
    <t>Nurnberg 1984</t>
  </si>
  <si>
    <t>R1=</t>
  </si>
  <si>
    <t>R2=</t>
  </si>
  <si>
    <t>R3=</t>
  </si>
  <si>
    <t>R4=</t>
  </si>
  <si>
    <t>R5=</t>
  </si>
  <si>
    <t>R6=</t>
  </si>
  <si>
    <t>R7=</t>
  </si>
  <si>
    <t>residence time</t>
  </si>
  <si>
    <t>Internal Load</t>
  </si>
  <si>
    <t>anoxic period (days)</t>
  </si>
  <si>
    <r>
      <t>P release rate (mg</t>
    </r>
    <r>
      <rPr>
        <b/>
        <sz val="11"/>
        <color theme="1"/>
        <rFont val="Calibri"/>
        <family val="2"/>
      </rPr>
      <t>∙m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∙yr</t>
    </r>
    <r>
      <rPr>
        <b/>
        <vertAlign val="superscript"/>
        <sz val="11"/>
        <color theme="1"/>
        <rFont val="Calibri"/>
        <family val="2"/>
      </rPr>
      <t>-1</t>
    </r>
    <r>
      <rPr>
        <b/>
        <sz val="11"/>
        <color theme="1"/>
        <rFont val="Calibri"/>
        <family val="2"/>
      </rPr>
      <t>)</t>
    </r>
  </si>
  <si>
    <r>
      <t>anoxic area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</si>
  <si>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Lake area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</si>
  <si>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L</t>
    </r>
    <r>
      <rPr>
        <b/>
        <vertAlign val="subscript"/>
        <sz val="11"/>
        <color rgb="FFFF0000"/>
        <rFont val="Calibri"/>
        <family val="2"/>
        <scheme val="minor"/>
      </rPr>
      <t>int</t>
    </r>
    <r>
      <rPr>
        <b/>
        <sz val="11"/>
        <color rgb="FFFF0000"/>
        <rFont val="Calibri"/>
        <family val="2"/>
        <scheme val="minor"/>
      </rPr>
      <t xml:space="preserve"> =</t>
    </r>
  </si>
  <si>
    <r>
      <t>P=(0.8L)/[z(0.0569(L/z)</t>
    </r>
    <r>
      <rPr>
        <vertAlign val="superscript"/>
        <sz val="11"/>
        <color theme="1"/>
        <rFont val="Calibri"/>
        <family val="2"/>
        <scheme val="minor"/>
      </rPr>
      <t>0.639</t>
    </r>
    <r>
      <rPr>
        <sz val="11"/>
        <color theme="1"/>
        <rFont val="Calibri"/>
        <family val="2"/>
        <scheme val="minor"/>
      </rPr>
      <t>)+p]</t>
    </r>
  </si>
  <si>
    <r>
      <t xml:space="preserve">p </t>
    </r>
    <r>
      <rPr>
        <sz val="11"/>
        <color theme="1"/>
        <rFont val="Calibri"/>
        <family val="2"/>
        <scheme val="minor"/>
      </rPr>
      <t>(years)</t>
    </r>
  </si>
  <si>
    <r>
      <t>P=(0.8L)/[z(0.0569(L/z)</t>
    </r>
    <r>
      <rPr>
        <vertAlign val="superscript"/>
        <sz val="11"/>
        <color theme="1"/>
        <rFont val="Calibri"/>
        <family val="2"/>
        <scheme val="minor"/>
      </rPr>
      <t>0.422</t>
    </r>
    <r>
      <rPr>
        <sz val="11"/>
        <color theme="1"/>
        <rFont val="Calibri"/>
        <family val="2"/>
        <scheme val="minor"/>
      </rPr>
      <t>)+p]</t>
    </r>
  </si>
  <si>
    <t>1979 Natural Lake Model:</t>
  </si>
  <si>
    <r>
      <t>P=(1000L)/[11.6+(1.2q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)]</t>
    </r>
  </si>
  <si>
    <t>1977 Anoxic Lake Model:</t>
  </si>
  <si>
    <r>
      <t>P=L/[(0.17z+1.13z)/T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</t>
    </r>
  </si>
  <si>
    <t>1977 Oxic Lake Model (zTw&gt;50 m/yr.):</t>
  </si>
  <si>
    <r>
      <t>P=L/{(2.77z+1.05(z/T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)e</t>
    </r>
    <r>
      <rPr>
        <vertAlign val="superscript"/>
        <sz val="11"/>
        <color theme="1"/>
        <rFont val="Calibri"/>
        <family val="2"/>
        <scheme val="minor"/>
      </rPr>
      <t>0.0011z/Tw</t>
    </r>
    <r>
      <rPr>
        <sz val="11"/>
        <color theme="1"/>
        <rFont val="Calibri"/>
        <family val="2"/>
        <scheme val="minor"/>
      </rPr>
      <t>}</t>
    </r>
  </si>
  <si>
    <r>
      <t>P=L/{(18z/10+z)+1.05(z/T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)e</t>
    </r>
    <r>
      <rPr>
        <vertAlign val="superscript"/>
        <sz val="11"/>
        <color theme="1"/>
        <rFont val="Calibri"/>
        <family val="2"/>
        <scheme val="minor"/>
      </rPr>
      <t>0.012z/Tw</t>
    </r>
    <r>
      <rPr>
        <sz val="11"/>
        <color theme="1"/>
        <rFont val="Calibri"/>
        <family val="2"/>
        <scheme val="minor"/>
      </rPr>
      <t>}</t>
    </r>
  </si>
  <si>
    <t>1977 General Lake Model:</t>
  </si>
  <si>
    <r>
      <t>P=LT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[1/(1+0.824T</t>
    </r>
    <r>
      <rPr>
        <vertAlign val="subscript"/>
        <sz val="11"/>
        <color theme="1"/>
        <rFont val="Calibri"/>
        <family val="2"/>
        <scheme val="minor"/>
      </rPr>
      <t>W</t>
    </r>
    <r>
      <rPr>
        <vertAlign val="superscript"/>
        <sz val="11"/>
        <color theme="1"/>
        <rFont val="Calibri"/>
        <family val="2"/>
        <scheme val="minor"/>
      </rPr>
      <t>0.454</t>
    </r>
    <r>
      <rPr>
        <sz val="11"/>
        <color theme="1"/>
        <rFont val="Calibri"/>
        <family val="2"/>
        <scheme val="minor"/>
      </rPr>
      <t>)]</t>
    </r>
  </si>
  <si>
    <t>Symbols</t>
  </si>
  <si>
    <t>Definition</t>
  </si>
  <si>
    <t>Unit</t>
  </si>
  <si>
    <t>P</t>
  </si>
  <si>
    <r>
      <t>L</t>
    </r>
    <r>
      <rPr>
        <vertAlign val="subscript"/>
        <sz val="11"/>
        <color theme="1"/>
        <rFont val="Calibri"/>
        <family val="2"/>
        <scheme val="minor"/>
      </rPr>
      <t>int</t>
    </r>
  </si>
  <si>
    <r>
      <t>L</t>
    </r>
    <r>
      <rPr>
        <vertAlign val="subscript"/>
        <sz val="11"/>
        <color theme="1"/>
        <rFont val="Calibri"/>
        <family val="2"/>
        <scheme val="minor"/>
      </rPr>
      <t>ext</t>
    </r>
  </si>
  <si>
    <t>z</t>
  </si>
  <si>
    <r>
      <t>T</t>
    </r>
    <r>
      <rPr>
        <vertAlign val="subscript"/>
        <sz val="11"/>
        <color theme="1"/>
        <rFont val="Calibri"/>
        <family val="2"/>
        <scheme val="minor"/>
      </rPr>
      <t>w</t>
    </r>
  </si>
  <si>
    <t>p</t>
  </si>
  <si>
    <r>
      <t>q</t>
    </r>
    <r>
      <rPr>
        <vertAlign val="subscript"/>
        <sz val="11"/>
        <color theme="1"/>
        <rFont val="Calibri"/>
        <family val="2"/>
        <scheme val="minor"/>
      </rPr>
      <t>s</t>
    </r>
  </si>
  <si>
    <r>
      <t>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/z</t>
    </r>
  </si>
  <si>
    <t>mg/L</t>
  </si>
  <si>
    <t>µg/L</t>
  </si>
  <si>
    <t>e</t>
  </si>
  <si>
    <r>
      <t>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or </t>
    </r>
    <r>
      <rPr>
        <sz val="11"/>
        <color theme="1"/>
        <rFont val="Calibri"/>
        <family val="2"/>
      </rPr>
      <t>µg/L (parts per billion)</t>
    </r>
  </si>
  <si>
    <r>
      <t>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of lake area/yr</t>
    </r>
  </si>
  <si>
    <t>Lake mean depth</t>
  </si>
  <si>
    <t>Lake hydraulic retention time</t>
  </si>
  <si>
    <t xml:space="preserve">lake flushing </t>
  </si>
  <si>
    <t>meter</t>
  </si>
  <si>
    <t>year</t>
  </si>
  <si>
    <r>
      <t>yr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</si>
  <si>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m/yr or z/T</t>
    </r>
    <r>
      <rPr>
        <vertAlign val="subscript"/>
        <sz val="11"/>
        <color theme="1"/>
        <rFont val="Calibri"/>
        <family val="2"/>
        <scheme val="minor"/>
      </rPr>
      <t>w</t>
    </r>
  </si>
  <si>
    <r>
      <t>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or mg/l (parts per million)</t>
    </r>
  </si>
  <si>
    <t>Predicted mixed lake total phosphorus concentrations</t>
  </si>
  <si>
    <t>Areal total external phosphorus load</t>
  </si>
  <si>
    <t>Areal total internal phosphorus load</t>
  </si>
  <si>
    <t>Areal water loading or surface overflow rate</t>
  </si>
  <si>
    <t>Average inflow total phosphorus concentration</t>
  </si>
  <si>
    <t>milligrams per liter</t>
  </si>
  <si>
    <t>micrograms per liter</t>
  </si>
  <si>
    <t>bas of a natrual logarrithm</t>
  </si>
  <si>
    <t>R</t>
  </si>
  <si>
    <t>Fraction of inflow total phosphorus retained in lake</t>
  </si>
  <si>
    <t>dimentionless</t>
  </si>
  <si>
    <t>1976 General Lake Model:</t>
  </si>
  <si>
    <t>1975 General Lake Model:</t>
  </si>
  <si>
    <r>
      <t>P=((LT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)/z)(1-R)</t>
    </r>
  </si>
  <si>
    <t>P=(L(1-R))/zp</t>
  </si>
  <si>
    <t>P=(LTw(1-R))/z</t>
  </si>
  <si>
    <t xml:space="preserve">Where </t>
  </si>
  <si>
    <t>R=1+([1-√1+4Nr]/2Nr)</t>
  </si>
  <si>
    <r>
      <t>Nr=(K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LT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2)/z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</si>
  <si>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=(0.17q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)/(q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+13.3)</t>
    </r>
  </si>
  <si>
    <t>R=</t>
  </si>
  <si>
    <t>Nr=</t>
  </si>
  <si>
    <r>
      <t>K</t>
    </r>
    <r>
      <rPr>
        <b/>
        <vertAlign val="subscript"/>
        <sz val="11"/>
        <color rgb="FFCC0066"/>
        <rFont val="Calibri"/>
        <family val="2"/>
        <scheme val="minor"/>
      </rPr>
      <t>2</t>
    </r>
    <r>
      <rPr>
        <b/>
        <sz val="11"/>
        <color rgb="FFCC0066"/>
        <rFont val="Calibri"/>
        <family val="2"/>
        <scheme val="minor"/>
      </rPr>
      <t>=</t>
    </r>
  </si>
  <si>
    <r>
      <t>K</t>
    </r>
    <r>
      <rPr>
        <vertAlign val="subscript"/>
        <sz val="11"/>
        <color theme="1"/>
        <rFont val="Calibri"/>
        <family val="2"/>
        <scheme val="minor"/>
      </rPr>
      <t>2</t>
    </r>
  </si>
  <si>
    <t>Nr</t>
  </si>
  <si>
    <t>Second order decay rate</t>
  </si>
  <si>
    <r>
      <t>mg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/mg-yr</t>
    </r>
  </si>
  <si>
    <t>Reaction Rate</t>
  </si>
  <si>
    <t>1985 Reservoir Model:</t>
  </si>
  <si>
    <t>1.5 &lt; z &lt; 58m</t>
  </si>
  <si>
    <t>0.014 &lt; Pin &lt; 1.047 mg/l</t>
  </si>
  <si>
    <t>0.13 &lt; Tw &lt; 1.91 yr</t>
  </si>
  <si>
    <t>Walker 1985 Reservoir Model</t>
  </si>
  <si>
    <r>
      <t>4 &lt; P &lt; 2600 mg/m</t>
    </r>
    <r>
      <rPr>
        <vertAlign val="superscript"/>
        <sz val="11"/>
        <color theme="1"/>
        <rFont val="Calibri"/>
        <family val="2"/>
        <scheme val="minor"/>
      </rPr>
      <t>3</t>
    </r>
  </si>
  <si>
    <t>0.2 &lt; z &lt; 307 m</t>
  </si>
  <si>
    <t>Canfield Bachmann 1981 Natural Lake Model</t>
  </si>
  <si>
    <t>Canfield Bachmann 1981 Artificial Lake Model:</t>
  </si>
  <si>
    <t>Canfield Bachmann 1981 Natural Lake Model:</t>
  </si>
  <si>
    <t>Canfield Bachmann 1981 Artificial Lake Model</t>
  </si>
  <si>
    <r>
      <t>6 &lt; P &lt; 1500 mg/m</t>
    </r>
    <r>
      <rPr>
        <vertAlign val="superscript"/>
        <sz val="11"/>
        <color theme="1"/>
        <rFont val="Calibri"/>
        <family val="2"/>
        <scheme val="minor"/>
      </rPr>
      <t>3</t>
    </r>
  </si>
  <si>
    <t>0.6 &lt; z &lt; 59 m</t>
  </si>
  <si>
    <r>
      <t>40 &lt; L &lt; 820000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-yr</t>
    </r>
  </si>
  <si>
    <r>
      <t>30 &lt; L &lt; 7600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-yr</t>
    </r>
  </si>
  <si>
    <t>0.019 &lt; p &lt; 1800/yr</t>
  </si>
  <si>
    <t>0.001 &lt; p &lt; 183/yr</t>
  </si>
  <si>
    <t>Reckhow 1979 Natural Lake Model</t>
  </si>
  <si>
    <r>
      <t>4 &lt; P &lt; 135 mg/m</t>
    </r>
    <r>
      <rPr>
        <vertAlign val="superscript"/>
        <sz val="11"/>
        <color theme="1"/>
        <rFont val="Calibri"/>
        <family val="2"/>
        <scheme val="minor"/>
      </rPr>
      <t>3</t>
    </r>
  </si>
  <si>
    <t>0.75 &lt; qs &lt; 187 m/yr</t>
  </si>
  <si>
    <r>
      <t>70 &lt; L &lt; 31400 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-yr</t>
    </r>
  </si>
  <si>
    <t xml:space="preserve"> Reckhow 1977 Anoxic Lake Model</t>
  </si>
  <si>
    <r>
      <t>17 &lt; P &lt; 610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</si>
  <si>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0.298 mg/l</t>
  </si>
  <si>
    <r>
      <t>P &lt; 60 mg/m</t>
    </r>
    <r>
      <rPr>
        <vertAlign val="superscript"/>
        <sz val="11"/>
        <color theme="1"/>
        <rFont val="Calibri"/>
        <family val="2"/>
        <scheme val="minor"/>
      </rPr>
      <t>3</t>
    </r>
  </si>
  <si>
    <t>0.024 &lt; Pin &lt;0.621 mg/l</t>
  </si>
  <si>
    <t>Reckhow 1977 Oxic Lake Model (zTw&lt;50 m/yr.)</t>
  </si>
  <si>
    <t>Reckhow 1977 Oxic Lake Model (zTw&gt;50 m/yr.)</t>
  </si>
  <si>
    <r>
      <t>P &lt; 135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</si>
  <si>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0.178 mg/l</t>
  </si>
  <si>
    <t>Tw &lt; 0.25 yr</t>
  </si>
  <si>
    <t>z &lt; 13 m</t>
  </si>
  <si>
    <t>1977 General Lake Model</t>
  </si>
  <si>
    <r>
      <t>P &lt; 900 mg/m</t>
    </r>
    <r>
      <rPr>
        <vertAlign val="superscript"/>
        <sz val="11"/>
        <color theme="1"/>
        <rFont val="Calibri"/>
        <family val="2"/>
        <scheme val="minor"/>
      </rPr>
      <t>3</t>
    </r>
  </si>
  <si>
    <t>Pin &lt; 1.0 mg/l</t>
  </si>
  <si>
    <t>Vollenweider 1982 Combined OECD</t>
  </si>
  <si>
    <t>0.016 &lt; Tw &lt; 700 yr</t>
  </si>
  <si>
    <r>
      <t>3.0 &lt; P &lt; 750 mg/m</t>
    </r>
    <r>
      <rPr>
        <vertAlign val="superscript"/>
        <sz val="11"/>
        <color theme="1"/>
        <rFont val="Calibri"/>
        <family val="2"/>
        <scheme val="minor"/>
      </rPr>
      <t>3</t>
    </r>
  </si>
  <si>
    <t>0.0047 &lt; Pin &lt; 1425 mg/l</t>
  </si>
  <si>
    <t>Vollenweider 1982 Shallow Lake and Reservoir</t>
  </si>
  <si>
    <t>Larsen-Mercier 1976 General Lake Model</t>
  </si>
  <si>
    <t>0.0014 &lt; p &lt; 22.7/yr</t>
  </si>
  <si>
    <r>
      <t>P &lt; 15 mg/m</t>
    </r>
    <r>
      <rPr>
        <vertAlign val="superscript"/>
        <sz val="11"/>
        <color theme="1"/>
        <rFont val="Calibri"/>
        <family val="2"/>
        <scheme val="minor"/>
      </rPr>
      <t>3</t>
    </r>
  </si>
  <si>
    <t>0.008 &lt; Pin &lt; 0.10 mg/l</t>
  </si>
  <si>
    <t>Dillion-Rigler-Kirchner 1975 General Lake Model</t>
  </si>
  <si>
    <t>1.5 &lt; qs &lt; 223 m/yr</t>
  </si>
  <si>
    <r>
      <t>107 &lt; L &lt; 2210 mg/m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-yr</t>
    </r>
  </si>
  <si>
    <t>0.21 &lt; p &lt; 63/yr</t>
  </si>
  <si>
    <t xml:space="preserve"> </t>
  </si>
  <si>
    <t>North Basin Current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</si>
</sst>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vertAlign val="subscript"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b/>
      <sz val="11"/>
      <color rgb="FFCC0066"/>
      <name val="Calibri"/>
      <family val="2"/>
      <scheme val="minor"/>
    </font>
    <font>
      <sz val="11"/>
      <color rgb="FFCC0066"/>
      <name val="Calibri"/>
      <family val="2"/>
      <scheme val="minor"/>
    </font>
    <font>
      <b/>
      <vertAlign val="subscript"/>
      <sz val="11"/>
      <color rgb="FFCC006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/>
    <xf numFmtId="0" fontId="1" fillId="0" borderId="2" xfId="0" applyFont="1" applyFill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right"/>
    </xf>
    <xf numFmtId="0" fontId="22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2" sqref="B2"/>
    </sheetView>
  </sheetViews>
  <sheetFormatPr defaultRowHeight="15" x14ac:dyDescent="0.25"/>
  <sheetData>
    <row r="1" spans="1:5" ht="18.75" x14ac:dyDescent="0.35">
      <c r="A1" s="16" t="s">
        <v>16</v>
      </c>
      <c r="B1">
        <v>256.31</v>
      </c>
    </row>
    <row r="2" spans="1:5" ht="18.75" x14ac:dyDescent="0.35">
      <c r="A2" s="16" t="s">
        <v>17</v>
      </c>
      <c r="B2">
        <v>0</v>
      </c>
    </row>
    <row r="3" spans="1:5" ht="19.5" thickBot="1" x14ac:dyDescent="0.4">
      <c r="A3" s="17" t="s">
        <v>18</v>
      </c>
      <c r="B3" s="6">
        <v>0.03</v>
      </c>
      <c r="E3" s="1" t="s">
        <v>0</v>
      </c>
    </row>
    <row r="7" spans="1:5" x14ac:dyDescent="0.25">
      <c r="A7" s="2" t="s">
        <v>1</v>
      </c>
      <c r="B7" s="2">
        <f>((0.55*(B1+B2))/(1+SQRT(B3)))^0.76</f>
        <v>38.072664501412625</v>
      </c>
    </row>
    <row r="9" spans="1:5" x14ac:dyDescent="0.25">
      <c r="A9" t="s">
        <v>157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D21" sqref="D21"/>
    </sheetView>
  </sheetViews>
  <sheetFormatPr defaultRowHeight="15" x14ac:dyDescent="0.25"/>
  <cols>
    <col min="3" max="3" width="50.85546875" customWidth="1"/>
    <col min="4" max="4" width="29.5703125" customWidth="1"/>
  </cols>
  <sheetData>
    <row r="2" spans="2:4" ht="15.75" thickBot="1" x14ac:dyDescent="0.3">
      <c r="B2" s="24" t="s">
        <v>56</v>
      </c>
      <c r="C2" s="24" t="s">
        <v>57</v>
      </c>
      <c r="D2" s="24" t="s">
        <v>58</v>
      </c>
    </row>
    <row r="3" spans="2:4" ht="17.25" x14ac:dyDescent="0.25">
      <c r="B3" t="s">
        <v>59</v>
      </c>
      <c r="C3" t="s">
        <v>80</v>
      </c>
      <c r="D3" t="s">
        <v>70</v>
      </c>
    </row>
    <row r="4" spans="2:4" ht="18.75" x14ac:dyDescent="0.35">
      <c r="B4" t="s">
        <v>61</v>
      </c>
      <c r="C4" t="s">
        <v>81</v>
      </c>
      <c r="D4" t="s">
        <v>71</v>
      </c>
    </row>
    <row r="5" spans="2:4" ht="18.75" x14ac:dyDescent="0.35">
      <c r="B5" t="s">
        <v>60</v>
      </c>
      <c r="C5" t="s">
        <v>82</v>
      </c>
      <c r="D5" t="s">
        <v>71</v>
      </c>
    </row>
    <row r="6" spans="2:4" x14ac:dyDescent="0.25">
      <c r="B6" t="s">
        <v>62</v>
      </c>
      <c r="C6" t="s">
        <v>72</v>
      </c>
      <c r="D6" t="s">
        <v>75</v>
      </c>
    </row>
    <row r="7" spans="2:4" ht="18" x14ac:dyDescent="0.35">
      <c r="B7" t="s">
        <v>63</v>
      </c>
      <c r="C7" t="s">
        <v>73</v>
      </c>
      <c r="D7" t="s">
        <v>76</v>
      </c>
    </row>
    <row r="8" spans="2:4" ht="17.25" x14ac:dyDescent="0.25">
      <c r="B8" t="s">
        <v>64</v>
      </c>
      <c r="C8" t="s">
        <v>74</v>
      </c>
      <c r="D8" t="s">
        <v>77</v>
      </c>
    </row>
    <row r="9" spans="2:4" ht="18" x14ac:dyDescent="0.35">
      <c r="B9" t="s">
        <v>65</v>
      </c>
      <c r="C9" t="s">
        <v>83</v>
      </c>
      <c r="D9" t="s">
        <v>78</v>
      </c>
    </row>
    <row r="10" spans="2:4" x14ac:dyDescent="0.25">
      <c r="B10" t="s">
        <v>88</v>
      </c>
      <c r="C10" t="s">
        <v>89</v>
      </c>
      <c r="D10" t="s">
        <v>90</v>
      </c>
    </row>
    <row r="11" spans="2:4" ht="18.75" x14ac:dyDescent="0.35">
      <c r="B11" t="s">
        <v>66</v>
      </c>
      <c r="C11" t="s">
        <v>84</v>
      </c>
      <c r="D11" t="s">
        <v>79</v>
      </c>
    </row>
    <row r="12" spans="2:4" ht="18.75" x14ac:dyDescent="0.35">
      <c r="B12" t="s">
        <v>103</v>
      </c>
      <c r="C12" t="s">
        <v>105</v>
      </c>
      <c r="D12" t="s">
        <v>106</v>
      </c>
    </row>
    <row r="13" spans="2:4" x14ac:dyDescent="0.25">
      <c r="B13" t="s">
        <v>104</v>
      </c>
      <c r="C13" t="s">
        <v>107</v>
      </c>
      <c r="D13" t="s">
        <v>90</v>
      </c>
    </row>
    <row r="14" spans="2:4" x14ac:dyDescent="0.25">
      <c r="B14" t="s">
        <v>67</v>
      </c>
      <c r="C14" t="s">
        <v>85</v>
      </c>
    </row>
    <row r="15" spans="2:4" x14ac:dyDescent="0.25">
      <c r="B15" s="25" t="s">
        <v>68</v>
      </c>
      <c r="C15" t="s">
        <v>86</v>
      </c>
    </row>
    <row r="16" spans="2:4" x14ac:dyDescent="0.25">
      <c r="B16" s="25" t="s">
        <v>69</v>
      </c>
      <c r="C16" t="s">
        <v>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6"/>
  <sheetViews>
    <sheetView topLeftCell="A13" workbookViewId="0">
      <selection activeCell="F46" sqref="F46"/>
    </sheetView>
  </sheetViews>
  <sheetFormatPr defaultRowHeight="15" x14ac:dyDescent="0.25"/>
  <cols>
    <col min="2" max="2" width="44" customWidth="1"/>
    <col min="3" max="3" width="23.140625" customWidth="1"/>
  </cols>
  <sheetData>
    <row r="2" spans="2:3" ht="15.75" thickBot="1" x14ac:dyDescent="0.3">
      <c r="B2" s="28" t="s">
        <v>112</v>
      </c>
      <c r="C2" s="6"/>
    </row>
    <row r="3" spans="2:3" x14ac:dyDescent="0.25">
      <c r="B3" t="s">
        <v>109</v>
      </c>
      <c r="C3" t="s">
        <v>111</v>
      </c>
    </row>
    <row r="4" spans="2:3" x14ac:dyDescent="0.25">
      <c r="B4" t="s">
        <v>110</v>
      </c>
    </row>
    <row r="6" spans="2:3" ht="15.75" thickBot="1" x14ac:dyDescent="0.3">
      <c r="B6" s="29" t="s">
        <v>140</v>
      </c>
      <c r="C6" s="6"/>
    </row>
    <row r="7" spans="2:3" ht="17.25" x14ac:dyDescent="0.25">
      <c r="B7" t="s">
        <v>141</v>
      </c>
      <c r="C7" t="s">
        <v>142</v>
      </c>
    </row>
    <row r="9" spans="2:3" ht="15.75" thickBot="1" x14ac:dyDescent="0.3">
      <c r="B9" s="22" t="s">
        <v>115</v>
      </c>
      <c r="C9" s="6"/>
    </row>
    <row r="10" spans="2:3" ht="17.25" x14ac:dyDescent="0.25">
      <c r="B10" t="s">
        <v>113</v>
      </c>
      <c r="C10" t="s">
        <v>122</v>
      </c>
    </row>
    <row r="11" spans="2:3" x14ac:dyDescent="0.25">
      <c r="B11" t="s">
        <v>114</v>
      </c>
      <c r="C11" t="s">
        <v>124</v>
      </c>
    </row>
    <row r="13" spans="2:3" ht="15.75" thickBot="1" x14ac:dyDescent="0.3">
      <c r="B13" s="22" t="s">
        <v>118</v>
      </c>
      <c r="C13" s="6"/>
    </row>
    <row r="14" spans="2:3" ht="17.25" x14ac:dyDescent="0.25">
      <c r="B14" t="s">
        <v>119</v>
      </c>
      <c r="C14" t="s">
        <v>121</v>
      </c>
    </row>
    <row r="15" spans="2:3" x14ac:dyDescent="0.25">
      <c r="B15" t="s">
        <v>120</v>
      </c>
      <c r="C15" t="s">
        <v>123</v>
      </c>
    </row>
    <row r="17" spans="2:3" ht="15.75" thickBot="1" x14ac:dyDescent="0.3">
      <c r="B17" s="28" t="s">
        <v>125</v>
      </c>
      <c r="C17" s="6"/>
    </row>
    <row r="18" spans="2:3" ht="17.25" x14ac:dyDescent="0.25">
      <c r="B18" t="s">
        <v>126</v>
      </c>
      <c r="C18" t="s">
        <v>128</v>
      </c>
    </row>
    <row r="19" spans="2:3" x14ac:dyDescent="0.25">
      <c r="B19" t="s">
        <v>127</v>
      </c>
    </row>
    <row r="21" spans="2:3" ht="15.75" thickBot="1" x14ac:dyDescent="0.3">
      <c r="B21" s="28" t="s">
        <v>129</v>
      </c>
      <c r="C21" s="6"/>
    </row>
    <row r="22" spans="2:3" ht="17.25" x14ac:dyDescent="0.25">
      <c r="B22" t="s">
        <v>130</v>
      </c>
      <c r="C22" t="s">
        <v>133</v>
      </c>
    </row>
    <row r="24" spans="2:3" ht="15.75" thickBot="1" x14ac:dyDescent="0.3">
      <c r="B24" s="24" t="s">
        <v>134</v>
      </c>
      <c r="C24" s="6"/>
    </row>
    <row r="25" spans="2:3" ht="17.25" x14ac:dyDescent="0.25">
      <c r="B25" t="s">
        <v>132</v>
      </c>
      <c r="C25" t="s">
        <v>131</v>
      </c>
    </row>
    <row r="27" spans="2:3" ht="15.75" thickBot="1" x14ac:dyDescent="0.3">
      <c r="B27" s="24" t="s">
        <v>135</v>
      </c>
      <c r="C27" s="6"/>
    </row>
    <row r="28" spans="2:3" ht="17.25" x14ac:dyDescent="0.25">
      <c r="B28" t="s">
        <v>136</v>
      </c>
      <c r="C28" t="s">
        <v>137</v>
      </c>
    </row>
    <row r="29" spans="2:3" x14ac:dyDescent="0.25">
      <c r="B29" t="s">
        <v>138</v>
      </c>
      <c r="C29" t="s">
        <v>139</v>
      </c>
    </row>
    <row r="31" spans="2:3" ht="15.75" thickBot="1" x14ac:dyDescent="0.3">
      <c r="B31" s="28" t="s">
        <v>143</v>
      </c>
      <c r="C31" s="6"/>
    </row>
    <row r="32" spans="2:3" x14ac:dyDescent="0.25">
      <c r="B32" t="s">
        <v>144</v>
      </c>
      <c r="C32" t="s">
        <v>146</v>
      </c>
    </row>
    <row r="33" spans="2:3" ht="17.25" x14ac:dyDescent="0.25">
      <c r="B33" t="s">
        <v>145</v>
      </c>
    </row>
    <row r="35" spans="2:3" x14ac:dyDescent="0.25">
      <c r="B35" s="30" t="s">
        <v>147</v>
      </c>
      <c r="C35" s="31"/>
    </row>
    <row r="36" spans="2:3" ht="17.25" x14ac:dyDescent="0.25">
      <c r="B36" t="s">
        <v>145</v>
      </c>
      <c r="C36" t="s">
        <v>146</v>
      </c>
    </row>
    <row r="37" spans="2:3" x14ac:dyDescent="0.25">
      <c r="B37" t="s">
        <v>144</v>
      </c>
    </row>
    <row r="40" spans="2:3" ht="15.75" thickBot="1" x14ac:dyDescent="0.3">
      <c r="B40" s="28" t="s">
        <v>148</v>
      </c>
      <c r="C40" s="6"/>
    </row>
    <row r="41" spans="2:3" x14ac:dyDescent="0.25">
      <c r="B41" t="s">
        <v>149</v>
      </c>
      <c r="C41" t="s">
        <v>151</v>
      </c>
    </row>
    <row r="42" spans="2:3" ht="17.25" x14ac:dyDescent="0.25">
      <c r="B42" t="s">
        <v>150</v>
      </c>
    </row>
    <row r="44" spans="2:3" ht="15.75" thickBot="1" x14ac:dyDescent="0.3">
      <c r="B44" s="11" t="s">
        <v>152</v>
      </c>
      <c r="C44" s="6"/>
    </row>
    <row r="45" spans="2:3" ht="17.25" x14ac:dyDescent="0.25">
      <c r="B45" t="s">
        <v>150</v>
      </c>
      <c r="C45" t="s">
        <v>154</v>
      </c>
    </row>
    <row r="46" spans="2:3" x14ac:dyDescent="0.25">
      <c r="B46" t="s">
        <v>153</v>
      </c>
      <c r="C46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" sqref="B2"/>
    </sheetView>
  </sheetViews>
  <sheetFormatPr defaultRowHeight="15" x14ac:dyDescent="0.25"/>
  <cols>
    <col min="1" max="1" width="35.140625" customWidth="1"/>
    <col min="4" max="4" width="16.7109375" customWidth="1"/>
  </cols>
  <sheetData>
    <row r="1" spans="1:5" ht="18" x14ac:dyDescent="0.35">
      <c r="A1" s="3" t="s">
        <v>12</v>
      </c>
      <c r="B1">
        <v>256.31</v>
      </c>
    </row>
    <row r="2" spans="1:5" ht="18" x14ac:dyDescent="0.35">
      <c r="A2" s="3" t="s">
        <v>13</v>
      </c>
      <c r="B2">
        <v>0</v>
      </c>
    </row>
    <row r="3" spans="1:5" ht="19.5" thickBot="1" x14ac:dyDescent="0.4">
      <c r="A3" s="11" t="s">
        <v>14</v>
      </c>
      <c r="B3" s="6">
        <v>0.03</v>
      </c>
      <c r="D3" t="s">
        <v>11</v>
      </c>
      <c r="E3" t="s">
        <v>15</v>
      </c>
    </row>
    <row r="7" spans="1:5" x14ac:dyDescent="0.25">
      <c r="A7" s="4" t="s">
        <v>4</v>
      </c>
      <c r="B7" s="2">
        <f>7*(((B1+B2)/(1+SQRT(B3)))^0.76/(0.3+0.011*((B1+B2)/(1+SQRT(B3)))^0.76))</f>
        <v>437.43274400925196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7" sqref="A7"/>
    </sheetView>
  </sheetViews>
  <sheetFormatPr defaultRowHeight="15" x14ac:dyDescent="0.25"/>
  <cols>
    <col min="1" max="1" width="32.5703125" customWidth="1"/>
    <col min="2" max="2" width="25.140625" customWidth="1"/>
    <col min="3" max="3" width="19.85546875" customWidth="1"/>
  </cols>
  <sheetData>
    <row r="1" spans="1:2" ht="18" x14ac:dyDescent="0.35">
      <c r="A1" s="8" t="s">
        <v>5</v>
      </c>
      <c r="B1">
        <v>512.97</v>
      </c>
    </row>
    <row r="2" spans="1:2" ht="18" x14ac:dyDescent="0.35">
      <c r="A2" s="8" t="s">
        <v>6</v>
      </c>
      <c r="B2">
        <v>481.36</v>
      </c>
    </row>
    <row r="3" spans="1:2" ht="18" x14ac:dyDescent="0.35">
      <c r="A3" s="8" t="s">
        <v>7</v>
      </c>
      <c r="B3">
        <v>2.02</v>
      </c>
    </row>
    <row r="4" spans="1:2" x14ac:dyDescent="0.25">
      <c r="A4" s="9" t="s">
        <v>2</v>
      </c>
      <c r="B4" s="10">
        <v>3.3</v>
      </c>
    </row>
    <row r="5" spans="1:2" ht="18.75" thickBot="1" x14ac:dyDescent="0.4">
      <c r="A5" s="11" t="s">
        <v>8</v>
      </c>
      <c r="B5" s="6"/>
    </row>
    <row r="7" spans="1:2" ht="18.75" x14ac:dyDescent="0.35">
      <c r="A7" s="15" t="s">
        <v>10</v>
      </c>
      <c r="B7" s="5" t="s">
        <v>21</v>
      </c>
    </row>
    <row r="8" spans="1:2" x14ac:dyDescent="0.25">
      <c r="A8" s="7" t="s">
        <v>3</v>
      </c>
      <c r="B8" s="2">
        <f>1.02*((((B1+B2)*B3)/B4)/(1+SQRT(B3)))^0.88</f>
        <v>132.09501241072562</v>
      </c>
    </row>
    <row r="10" spans="1:2" ht="18.75" x14ac:dyDescent="0.35">
      <c r="A10" s="18" t="s">
        <v>19</v>
      </c>
      <c r="B10" s="5" t="s">
        <v>20</v>
      </c>
    </row>
    <row r="11" spans="1:2" x14ac:dyDescent="0.25">
      <c r="A11" s="7" t="s">
        <v>3</v>
      </c>
      <c r="B11" s="2">
        <f>1.55*((((B1+B2)*B3)/B4)/(1+SQRT(B3)))^0.82</f>
        <v>144.07825154858517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A19" sqref="A19"/>
    </sheetView>
  </sheetViews>
  <sheetFormatPr defaultRowHeight="15" x14ac:dyDescent="0.25"/>
  <cols>
    <col min="1" max="1" width="34.140625" customWidth="1"/>
    <col min="2" max="2" width="31.5703125" customWidth="1"/>
    <col min="4" max="4" width="10.140625" customWidth="1"/>
  </cols>
  <sheetData>
    <row r="1" spans="1:4" ht="18" x14ac:dyDescent="0.35">
      <c r="A1" s="8" t="s">
        <v>5</v>
      </c>
      <c r="B1" s="12">
        <v>1984.34</v>
      </c>
    </row>
    <row r="2" spans="1:4" ht="18" x14ac:dyDescent="0.35">
      <c r="A2" s="8" t="s">
        <v>6</v>
      </c>
      <c r="B2" s="12">
        <v>1548.95</v>
      </c>
    </row>
    <row r="3" spans="1:4" ht="18" x14ac:dyDescent="0.35">
      <c r="A3" s="8" t="s">
        <v>7</v>
      </c>
      <c r="B3" s="12">
        <v>0.14000000000000001</v>
      </c>
    </row>
    <row r="4" spans="1:4" x14ac:dyDescent="0.25">
      <c r="A4" s="8" t="s">
        <v>2</v>
      </c>
      <c r="B4" s="12">
        <v>5.15</v>
      </c>
      <c r="D4" t="s">
        <v>156</v>
      </c>
    </row>
    <row r="5" spans="1:4" ht="18.75" thickBot="1" x14ac:dyDescent="0.4">
      <c r="A5" s="11" t="s">
        <v>8</v>
      </c>
      <c r="B5" s="13">
        <v>19.690000000000001</v>
      </c>
    </row>
    <row r="7" spans="1:4" ht="18.75" x14ac:dyDescent="0.35">
      <c r="A7" s="23" t="s">
        <v>9</v>
      </c>
      <c r="B7" s="5" t="s">
        <v>53</v>
      </c>
    </row>
    <row r="8" spans="1:4" x14ac:dyDescent="0.25">
      <c r="A8" s="7" t="s">
        <v>3</v>
      </c>
      <c r="B8" s="14">
        <f>(B1+B2)/(((18*B4)/(10+B4))+((1.05*(B4/B3))*EXP(0.012*(B4/B3))))</f>
        <v>53.390812299026116</v>
      </c>
    </row>
    <row r="9" spans="1:4" x14ac:dyDescent="0.25">
      <c r="A9" s="7"/>
      <c r="B9" s="14"/>
    </row>
    <row r="10" spans="1:4" ht="18.75" x14ac:dyDescent="0.35">
      <c r="A10" s="23" t="s">
        <v>51</v>
      </c>
      <c r="B10" s="5" t="s">
        <v>52</v>
      </c>
    </row>
    <row r="11" spans="1:4" x14ac:dyDescent="0.25">
      <c r="A11" s="7" t="s">
        <v>3</v>
      </c>
      <c r="B11" s="14">
        <f>(B1+B2)/(((2.77*B4)+((1.05*(B4/B3))*EXP(0.012*(B4/B3)))))</f>
        <v>47.538664193011421</v>
      </c>
    </row>
    <row r="13" spans="1:4" ht="18.75" thickBot="1" x14ac:dyDescent="0.4">
      <c r="A13" s="11" t="s">
        <v>47</v>
      </c>
      <c r="B13" s="6" t="s">
        <v>48</v>
      </c>
    </row>
    <row r="14" spans="1:4" x14ac:dyDescent="0.25">
      <c r="A14" s="7" t="s">
        <v>3</v>
      </c>
      <c r="B14" s="14">
        <f>((1000*(B1+B2))/((11.6+(1.2*B5))))</f>
        <v>100297.77449755876</v>
      </c>
    </row>
    <row r="16" spans="1:4" ht="18.75" thickBot="1" x14ac:dyDescent="0.4">
      <c r="A16" s="11" t="s">
        <v>49</v>
      </c>
      <c r="B16" s="6" t="s">
        <v>50</v>
      </c>
    </row>
    <row r="17" spans="1:2" x14ac:dyDescent="0.25">
      <c r="A17" s="7" t="s">
        <v>3</v>
      </c>
      <c r="B17" s="14">
        <f>(B1+B2)/(((0.17*B4)+(1.13*B4))/B3)</f>
        <v>73.885078416728902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8" sqref="D18"/>
    </sheetView>
  </sheetViews>
  <sheetFormatPr defaultRowHeight="15" x14ac:dyDescent="0.25"/>
  <cols>
    <col min="1" max="1" width="28" customWidth="1"/>
    <col min="2" max="2" width="15.28515625" customWidth="1"/>
  </cols>
  <sheetData>
    <row r="1" spans="1:3" x14ac:dyDescent="0.25">
      <c r="A1" s="1" t="s">
        <v>22</v>
      </c>
      <c r="B1">
        <v>64.599999999999994</v>
      </c>
    </row>
    <row r="2" spans="1:3" x14ac:dyDescent="0.25">
      <c r="A2" s="1" t="s">
        <v>37</v>
      </c>
      <c r="B2">
        <v>0.14000000000000001</v>
      </c>
    </row>
    <row r="3" spans="1:3" x14ac:dyDescent="0.25">
      <c r="A3" t="s">
        <v>23</v>
      </c>
      <c r="B3" s="3" t="s">
        <v>30</v>
      </c>
      <c r="C3">
        <f>10/(10+B1)</f>
        <v>0.13404825737265416</v>
      </c>
    </row>
    <row r="4" spans="1:3" x14ac:dyDescent="0.25">
      <c r="A4" t="s">
        <v>24</v>
      </c>
      <c r="B4" s="3" t="s">
        <v>31</v>
      </c>
      <c r="C4">
        <f>13.2/(13.2+B1)</f>
        <v>0.16966580976863752</v>
      </c>
    </row>
    <row r="5" spans="1:3" x14ac:dyDescent="0.25">
      <c r="A5" t="s">
        <v>25</v>
      </c>
      <c r="B5" s="3" t="s">
        <v>32</v>
      </c>
      <c r="C5">
        <f>16/(16+B1)</f>
        <v>0.19851116625310175</v>
      </c>
    </row>
    <row r="6" spans="1:3" x14ac:dyDescent="0.25">
      <c r="A6" t="s">
        <v>26</v>
      </c>
      <c r="B6" s="3" t="s">
        <v>33</v>
      </c>
      <c r="C6">
        <f>24/(30+B1)</f>
        <v>0.25369978858350956</v>
      </c>
    </row>
    <row r="7" spans="1:3" x14ac:dyDescent="0.25">
      <c r="A7" t="s">
        <v>27</v>
      </c>
      <c r="B7" s="3" t="s">
        <v>34</v>
      </c>
      <c r="C7">
        <f>(0.426*EXP(-0.271*B1))+(0.547*EXP(-0.00949*B1))</f>
        <v>0.29630663236620158</v>
      </c>
    </row>
    <row r="8" spans="1:3" x14ac:dyDescent="0.25">
      <c r="A8" t="s">
        <v>28</v>
      </c>
      <c r="B8" s="3" t="s">
        <v>35</v>
      </c>
      <c r="C8">
        <f>1/(1+(1/SQRT(B2)))</f>
        <v>0.27228574264813271</v>
      </c>
    </row>
    <row r="9" spans="1:3" x14ac:dyDescent="0.25">
      <c r="A9" t="s">
        <v>29</v>
      </c>
      <c r="B9" s="3" t="s">
        <v>36</v>
      </c>
      <c r="C9">
        <f>15/(18+B1)</f>
        <v>0.18159806295399517</v>
      </c>
    </row>
    <row r="11" spans="1:3" x14ac:dyDescent="0.25">
      <c r="A11" s="5"/>
      <c r="B11" s="19" t="s">
        <v>38</v>
      </c>
      <c r="C11" s="5"/>
    </row>
    <row r="12" spans="1:3" ht="17.25" x14ac:dyDescent="0.25">
      <c r="A12" s="3" t="s">
        <v>41</v>
      </c>
      <c r="B12" s="32">
        <v>54390</v>
      </c>
    </row>
    <row r="13" spans="1:3" x14ac:dyDescent="0.25">
      <c r="A13" s="3" t="s">
        <v>39</v>
      </c>
      <c r="B13">
        <v>60</v>
      </c>
    </row>
    <row r="14" spans="1:3" ht="17.25" x14ac:dyDescent="0.25">
      <c r="A14" s="3" t="s">
        <v>40</v>
      </c>
      <c r="B14">
        <v>73</v>
      </c>
    </row>
    <row r="15" spans="1:3" ht="17.25" x14ac:dyDescent="0.25">
      <c r="A15" s="3" t="s">
        <v>42</v>
      </c>
      <c r="B15">
        <v>153800</v>
      </c>
    </row>
    <row r="16" spans="1:3" ht="18" x14ac:dyDescent="0.35">
      <c r="B16" s="20" t="s">
        <v>43</v>
      </c>
      <c r="C16" s="21">
        <f>B12*B13*B14/B15</f>
        <v>1548.9479843953186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6" sqref="A6"/>
    </sheetView>
  </sheetViews>
  <sheetFormatPr defaultRowHeight="15" x14ac:dyDescent="0.25"/>
  <cols>
    <col min="1" max="1" width="43" customWidth="1"/>
    <col min="2" max="2" width="28.42578125" customWidth="1"/>
  </cols>
  <sheetData>
    <row r="1" spans="1:4" ht="18" x14ac:dyDescent="0.35">
      <c r="A1" s="8" t="s">
        <v>5</v>
      </c>
      <c r="B1" s="12">
        <v>2738</v>
      </c>
    </row>
    <row r="2" spans="1:4" ht="18" x14ac:dyDescent="0.35">
      <c r="A2" s="8" t="s">
        <v>6</v>
      </c>
      <c r="B2" s="12">
        <v>1669.14</v>
      </c>
    </row>
    <row r="3" spans="1:4" x14ac:dyDescent="0.25">
      <c r="A3" s="9" t="s">
        <v>2</v>
      </c>
      <c r="B3" s="12">
        <v>1.8</v>
      </c>
    </row>
    <row r="4" spans="1:4" ht="15.75" thickBot="1" x14ac:dyDescent="0.3">
      <c r="A4" s="22" t="s">
        <v>45</v>
      </c>
      <c r="B4" s="13">
        <v>35.25</v>
      </c>
      <c r="C4" s="6"/>
      <c r="D4" s="6"/>
    </row>
    <row r="6" spans="1:4" ht="17.25" x14ac:dyDescent="0.25">
      <c r="A6" s="15" t="s">
        <v>116</v>
      </c>
      <c r="B6" s="5" t="s">
        <v>44</v>
      </c>
      <c r="C6" s="5"/>
      <c r="D6" s="5"/>
    </row>
    <row r="7" spans="1:4" x14ac:dyDescent="0.25">
      <c r="A7" s="7" t="s">
        <v>3</v>
      </c>
      <c r="B7" s="14">
        <f>(0.8*(B1+B2))/((B3*(0.0569*((B1+B2)^0.639)))+B4)</f>
        <v>61.770773327408264</v>
      </c>
    </row>
    <row r="9" spans="1:4" ht="17.25" x14ac:dyDescent="0.25">
      <c r="A9" s="15" t="s">
        <v>117</v>
      </c>
      <c r="B9" s="5" t="s">
        <v>46</v>
      </c>
      <c r="C9" s="5"/>
      <c r="D9" s="5"/>
    </row>
    <row r="10" spans="1:4" x14ac:dyDescent="0.25">
      <c r="A10" s="7" t="s">
        <v>3</v>
      </c>
      <c r="B10" s="14">
        <f>(0.8*(B1+B2))/((B3*(0.0569*((B1+B2)^0.422)))+B4)</f>
        <v>90.907260680584031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7" sqref="A7"/>
    </sheetView>
  </sheetViews>
  <sheetFormatPr defaultRowHeight="15" x14ac:dyDescent="0.25"/>
  <cols>
    <col min="1" max="1" width="42.5703125" customWidth="1"/>
    <col min="2" max="2" width="27.42578125" customWidth="1"/>
    <col min="4" max="4" width="20.28515625" customWidth="1"/>
    <col min="5" max="5" width="5.42578125" customWidth="1"/>
  </cols>
  <sheetData>
    <row r="1" spans="1:6" ht="18" x14ac:dyDescent="0.35">
      <c r="A1" s="8" t="s">
        <v>5</v>
      </c>
      <c r="B1" s="12">
        <v>2738</v>
      </c>
    </row>
    <row r="2" spans="1:6" ht="18" x14ac:dyDescent="0.35">
      <c r="A2" s="8" t="s">
        <v>6</v>
      </c>
      <c r="B2" s="12">
        <v>1669.14</v>
      </c>
    </row>
    <row r="3" spans="1:6" ht="18" x14ac:dyDescent="0.35">
      <c r="A3" s="8" t="s">
        <v>7</v>
      </c>
      <c r="B3" s="12">
        <v>4.7300000000000004</v>
      </c>
    </row>
    <row r="4" spans="1:6" x14ac:dyDescent="0.25">
      <c r="A4" s="9" t="s">
        <v>2</v>
      </c>
      <c r="B4" s="12">
        <v>45</v>
      </c>
    </row>
    <row r="5" spans="1:6" ht="18.75" thickBot="1" x14ac:dyDescent="0.4">
      <c r="A5" s="11" t="s">
        <v>8</v>
      </c>
      <c r="B5" s="13">
        <v>37</v>
      </c>
    </row>
    <row r="7" spans="1:6" ht="18.75" x14ac:dyDescent="0.35">
      <c r="A7" s="15" t="s">
        <v>54</v>
      </c>
      <c r="B7" s="5" t="s">
        <v>55</v>
      </c>
    </row>
    <row r="8" spans="1:6" x14ac:dyDescent="0.25">
      <c r="A8" s="7" t="s">
        <v>3</v>
      </c>
      <c r="B8" s="14">
        <f>((B1+B2))*(1/((1+0.824*B3)^0.454))</f>
        <v>2142.4349464276634</v>
      </c>
    </row>
    <row r="11" spans="1:6" ht="15.75" thickBot="1" x14ac:dyDescent="0.3">
      <c r="A11" s="11" t="s">
        <v>108</v>
      </c>
      <c r="B11" s="6" t="s">
        <v>95</v>
      </c>
      <c r="C11" t="s">
        <v>96</v>
      </c>
      <c r="D11" t="s">
        <v>97</v>
      </c>
      <c r="E11" s="26" t="s">
        <v>100</v>
      </c>
      <c r="F11" s="27">
        <f>1+(1-SQRT(1+(4*F12)))/(2*F12)</f>
        <v>0.92623543920009244</v>
      </c>
    </row>
    <row r="12" spans="1:6" ht="18" x14ac:dyDescent="0.35">
      <c r="A12" s="7" t="s">
        <v>3</v>
      </c>
      <c r="B12" s="14">
        <f>((B1+B2)*B3*(1-F11))/B4</f>
        <v>34.170649574842734</v>
      </c>
      <c r="D12" t="s">
        <v>98</v>
      </c>
      <c r="E12" s="26" t="s">
        <v>101</v>
      </c>
      <c r="F12" s="27">
        <f>(F13*B1*B3^2)/B4</f>
        <v>170.22599127810915</v>
      </c>
    </row>
    <row r="13" spans="1:6" ht="18" x14ac:dyDescent="0.35">
      <c r="D13" t="s">
        <v>99</v>
      </c>
      <c r="E13" s="26" t="s">
        <v>102</v>
      </c>
      <c r="F13" s="27">
        <f>(0.17*B5)/(B5+13.3)</f>
        <v>0.12504970178926442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8" sqref="A8"/>
    </sheetView>
  </sheetViews>
  <sheetFormatPr defaultRowHeight="15" x14ac:dyDescent="0.25"/>
  <cols>
    <col min="1" max="1" width="34.28515625" customWidth="1"/>
    <col min="2" max="2" width="14.42578125" customWidth="1"/>
  </cols>
  <sheetData>
    <row r="1" spans="1:2" ht="18" x14ac:dyDescent="0.35">
      <c r="A1" s="8" t="s">
        <v>5</v>
      </c>
    </row>
    <row r="2" spans="1:2" ht="18" x14ac:dyDescent="0.35">
      <c r="A2" s="8" t="s">
        <v>6</v>
      </c>
    </row>
    <row r="3" spans="1:2" x14ac:dyDescent="0.25">
      <c r="A3" s="3" t="s">
        <v>88</v>
      </c>
    </row>
    <row r="4" spans="1:2" x14ac:dyDescent="0.25">
      <c r="A4" s="9" t="s">
        <v>2</v>
      </c>
    </row>
    <row r="5" spans="1:2" ht="15.75" thickBot="1" x14ac:dyDescent="0.3">
      <c r="A5" s="22" t="s">
        <v>45</v>
      </c>
      <c r="B5" s="6"/>
    </row>
    <row r="8" spans="1:2" ht="15.75" thickBot="1" x14ac:dyDescent="0.3">
      <c r="A8" s="11" t="s">
        <v>92</v>
      </c>
      <c r="B8" s="6" t="s">
        <v>94</v>
      </c>
    </row>
    <row r="9" spans="1:2" x14ac:dyDescent="0.25">
      <c r="A9" s="7" t="s">
        <v>3</v>
      </c>
      <c r="B9" t="e">
        <f>((B1+B2)*(1-B3))/(B4*B5)</f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"/>
    </sheetView>
  </sheetViews>
  <sheetFormatPr defaultRowHeight="15" x14ac:dyDescent="0.25"/>
  <cols>
    <col min="1" max="1" width="30.140625" customWidth="1"/>
    <col min="2" max="2" width="16.28515625" customWidth="1"/>
  </cols>
  <sheetData>
    <row r="1" spans="1:2" ht="18" x14ac:dyDescent="0.35">
      <c r="A1" s="8" t="s">
        <v>5</v>
      </c>
    </row>
    <row r="2" spans="1:2" ht="18" x14ac:dyDescent="0.35">
      <c r="A2" s="8" t="s">
        <v>6</v>
      </c>
    </row>
    <row r="3" spans="1:2" x14ac:dyDescent="0.25">
      <c r="A3" s="9" t="s">
        <v>2</v>
      </c>
    </row>
    <row r="4" spans="1:2" ht="15.75" thickBot="1" x14ac:dyDescent="0.3">
      <c r="A4" s="22" t="s">
        <v>88</v>
      </c>
      <c r="B4" s="6"/>
    </row>
    <row r="7" spans="1:2" ht="18.75" thickBot="1" x14ac:dyDescent="0.4">
      <c r="A7" s="11" t="s">
        <v>91</v>
      </c>
      <c r="B7" s="6" t="s">
        <v>93</v>
      </c>
    </row>
    <row r="8" spans="1:2" x14ac:dyDescent="0.25">
      <c r="A8" s="7" t="s">
        <v>3</v>
      </c>
      <c r="B8" t="e">
        <f>((B1+B2)/B3)*(1-B4)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Chlorophyll a</vt:lpstr>
      <vt:lpstr>Primary Productivity</vt:lpstr>
      <vt:lpstr>Vollenweider</vt:lpstr>
      <vt:lpstr>Reckhow</vt:lpstr>
      <vt:lpstr>Nurnberg</vt:lpstr>
      <vt:lpstr>Canfield-Bachmann</vt:lpstr>
      <vt:lpstr>Walker</vt:lpstr>
      <vt:lpstr>Dillion-Rigler-Kirchner</vt:lpstr>
      <vt:lpstr>Larsen-Mercier</vt:lpstr>
      <vt:lpstr>Model Variables</vt:lpstr>
      <vt:lpstr>Parameter Range Values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jeremyw</dc:creator>
  <cp:lastModifiedBy>Jeremy Williamson</cp:lastModifiedBy>
  <cp:lastPrinted>2013-06-12T17:41:06Z</cp:lastPrinted>
  <dcterms:created xsi:type="dcterms:W3CDTF">2013-03-01T17:11:22Z</dcterms:created>
  <dcterms:modified xsi:type="dcterms:W3CDTF">2016-03-17T18:57:28Z</dcterms:modified>
</cp:coreProperties>
</file>