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nat_com\"/>
    </mc:Choice>
  </mc:AlternateContent>
  <xr:revisionPtr revIDLastSave="0" documentId="10_ncr:100000_{45DEE6FA-6062-49F9-AF55-DED81CEB447F}" xr6:coauthVersionLast="31" xr6:coauthVersionMax="31" xr10:uidLastSave="{00000000-0000-0000-0000-000000000000}"/>
  <bookViews>
    <workbookView xWindow="0" yWindow="0" windowWidth="21570" windowHeight="7980" tabRatio="811" activeTab="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O31" i="1" l="1"/>
  <c r="K31" i="1"/>
  <c r="G31" i="1"/>
  <c r="E31" i="1"/>
  <c r="Q31" i="1" s="1"/>
  <c r="D31" i="1"/>
  <c r="N31" i="1" s="1"/>
  <c r="C31" i="1"/>
  <c r="R31" i="1" s="1"/>
  <c r="G30" i="1"/>
  <c r="K30" i="1" s="1"/>
  <c r="E30" i="1"/>
  <c r="Q30" i="1" s="1"/>
  <c r="D30" i="1"/>
  <c r="N30" i="1" s="1"/>
  <c r="C30" i="1"/>
  <c r="R30" i="1" s="1"/>
  <c r="H31" i="1" l="1"/>
  <c r="L31" i="1"/>
  <c r="P31" i="1"/>
  <c r="I31" i="1"/>
  <c r="M31" i="1"/>
  <c r="F31" i="1" s="1"/>
  <c r="J31" i="1"/>
  <c r="O30" i="1"/>
  <c r="H30" i="1"/>
  <c r="L30" i="1"/>
  <c r="P30" i="1"/>
  <c r="I30" i="1"/>
  <c r="M30" i="1"/>
  <c r="F30" i="1" s="1"/>
  <c r="J30" i="1"/>
  <c r="D18" i="4"/>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2" i="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2" i="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R32" i="1" l="1"/>
  <c r="H32" i="1"/>
  <c r="J32" i="1"/>
  <c r="M32" i="1"/>
  <c r="F32" i="1" s="1"/>
  <c r="N32" i="1"/>
  <c r="G32" i="1"/>
  <c r="L32" i="1" s="1"/>
  <c r="K32" i="1"/>
  <c r="P29" i="1"/>
  <c r="O29" i="1"/>
  <c r="R29" i="1"/>
  <c r="H29" i="1"/>
  <c r="J29" i="1"/>
  <c r="G29" i="1"/>
  <c r="I29" i="1" s="1"/>
  <c r="L29" i="1"/>
  <c r="M29" i="1"/>
  <c r="F29" i="1" s="1"/>
  <c r="N29" i="1"/>
  <c r="K29" i="1"/>
  <c r="P32" i="1"/>
  <c r="Q32" i="1"/>
  <c r="O32" i="1"/>
  <c r="M38" i="1"/>
  <c r="F38" i="1" s="1"/>
  <c r="H52" i="1"/>
  <c r="H48" i="1"/>
  <c r="H44" i="1"/>
  <c r="C29" i="9"/>
  <c r="D100" i="4" s="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28"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Q27" i="1"/>
  <c r="P27" i="1"/>
  <c r="O27" i="1"/>
  <c r="Q23" i="1"/>
  <c r="P23" i="1"/>
  <c r="O23" i="1"/>
  <c r="L38" i="1"/>
  <c r="N38" i="1"/>
  <c r="K38" i="1"/>
  <c r="N37" i="1"/>
  <c r="L37" i="1"/>
  <c r="K37" i="1"/>
  <c r="G37" i="1"/>
  <c r="J37" i="1"/>
  <c r="I37" i="1"/>
  <c r="H37" i="1"/>
  <c r="N36" i="1"/>
  <c r="L36" i="1"/>
  <c r="K36" i="1"/>
  <c r="G22" i="1"/>
  <c r="I22" i="1" s="1"/>
  <c r="G52" i="1"/>
  <c r="G48" i="1"/>
  <c r="G44" i="1"/>
  <c r="G40" i="1"/>
  <c r="G36" i="1"/>
  <c r="G25" i="1"/>
  <c r="L25" i="1" s="1"/>
  <c r="H21" i="1"/>
  <c r="H50" i="1"/>
  <c r="H46" i="1"/>
  <c r="N23" i="1"/>
  <c r="L23" i="1"/>
  <c r="K23" i="1"/>
  <c r="I32" i="1" l="1"/>
  <c r="Q29" i="1"/>
  <c r="I27" i="1"/>
  <c r="I26" i="1"/>
  <c r="L28" i="1"/>
  <c r="L26" i="1"/>
  <c r="Q28" i="1"/>
  <c r="I28" i="1"/>
  <c r="O25" i="1"/>
  <c r="N24" i="1"/>
  <c r="K22" i="1"/>
  <c r="Q22" i="1"/>
  <c r="N22" i="1"/>
  <c r="J22" i="1"/>
  <c r="N21" i="1"/>
  <c r="I21" i="1"/>
  <c r="O21" i="1"/>
  <c r="K21" i="1"/>
  <c r="K24" i="1"/>
  <c r="Q24" i="1"/>
  <c r="K25" i="1"/>
  <c r="J24" i="1"/>
  <c r="Q21" i="1"/>
  <c r="Q25" i="1"/>
  <c r="H22" i="1"/>
  <c r="I25" i="1"/>
  <c r="H24" i="1"/>
  <c r="P22" i="1"/>
  <c r="P24"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<sst xmlns="http://schemas.openxmlformats.org/spreadsheetml/2006/main" count="2059" uniqueCount="946">
  <si>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</si>
  <si>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</si>
  <si>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</si>
  <si>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</si>
  <si>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</si>
  <si>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</si>
  <si>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</si>
  <si>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</si>
  <si>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</si>
  <si>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</si>
  <si>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</si>
  <si>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</si>
  <si>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</si>
  <si>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</si>
  <si>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</si>
  <si>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</si>
  <si>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</si>
  <si>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</si>
  <si>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</si>
  <si>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</si>
  <si>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</si>
  <si>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</si>
  <si>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</si>
  <si>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</si>
  <si>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</si>
  <si>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</si>
  <si>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</si>
  <si>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</si>
  <si>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</si>
  <si>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</si>
  <si>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</si>
  <si>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</si>
  <si>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</si>
  <si>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</si>
  <si>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</si>
  <si>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</si>
  <si>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</si>
  <si>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</si>
  <si>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</si>
  <si>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</si>
  <si>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</si>
  <si>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</si>
  <si>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</si>
  <si>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</si>
  <si>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</si>
  <si>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</si>
  <si>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</si>
  <si>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</si>
  <si>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</si>
  <si>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</si>
  <si>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</si>
  <si>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</si>
  <si>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</si>
  <si>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</si>
  <si>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</si>
  <si>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</si>
  <si>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</si>
  <si>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</si>
  <si>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</si>
  <si>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</si>
  <si>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</si>
  <si>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</si>
  <si>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</si>
  <si>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</si>
  <si>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</si>
  <si>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</si>
  <si>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</si>
  <si>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</si>
  <si>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</si>
  <si>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</si>
  <si>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</si>
  <si>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</si>
  <si>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</si>
  <si>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</si>
  <si>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</si>
  <si>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</si>
  <si>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</si>
  <si>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</si>
  <si>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</si>
  <si>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</si>
  <si>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</si>
  <si>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</si>
  <si>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</si>
  <si>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</si>
  <si>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</si>
  <si>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</si>
  <si>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</si>
  <si>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</si>
  <si>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</si>
  <si>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</si>
  <si>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</si>
  <si>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</si>
  <si>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</si>
  <si>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</si>
  <si>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</si>
  <si>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</si>
  <si>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</si>
  <si>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</si>
  <si>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</si>
  <si>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</si>
  <si>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</si>
  <si>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</si>
  <si>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</si>
  <si>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</si>
  <si>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</si>
  <si>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</si>
  <si>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</si>
  <si>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</si>
  <si>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</si>
  <si>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</si>
  <si>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</si>
  <si>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</si>
  <si>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</si>
  <si>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</si>
  <si>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</si>
  <si>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</si>
  <si>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</si>
  <si>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</si>
  <si>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</si>
  <si>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</si>
  <si>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</si>
  <si>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</si>
  <si>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</si>
  <si>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</si>
  <si>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</si>
  <si>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</si>
  <si>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</si>
  <si>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</si>
  <si>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</si>
  <si>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</si>
  <si>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</si>
  <si>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</si>
  <si>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</si>
  <si>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</si>
  <si>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</si>
  <si>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</si>
  <si>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</si>
  <si>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</si>
  <si>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</si>
  <si>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</si>
  <si>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</si>
  <si>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</si>
  <si>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</si>
  <si>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</si>
  <si>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</si>
  <si>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</si>
  <si>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</si>
  <si>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</si>
  <si>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</si>
  <si>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</si>
  <si>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</si>
  <si>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</si>
  <si>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</si>
  <si>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</si>
  <si>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</si>
  <si>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</si>
  <si>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</si>
  <si>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</si>
  <si>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</si>
  <si>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</si>
  <si>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</si>
  <si>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</si>
  <si>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</si>
  <si>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</si>
  <si>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</si>
  <si>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</si>
  <si>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</si>
  <si>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</si>
  <si>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</si>
  <si>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</si>
  <si>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</si>
  <si>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</si>
  <si>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</si>
  <si>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</si>
  <si>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</si>
  <si>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</si>
  <si>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</si>
  <si>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</si>
  <si>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</si>
  <si>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</si>
  <si>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</si>
  <si>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</si>
  <si>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</si>
  <si>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</si>
  <si>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</si>
  <si>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</si>
  <si>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</si>
  <si>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</si>
  <si>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</si>
  <si>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</si>
  <si>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</si>
  <si>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</si>
  <si>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</si>
  <si>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</si>
  <si>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</si>
  <si>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</si>
  <si>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</si>
  <si>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</si>
  <si>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</si>
  <si>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</si>
  <si>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</si>
  <si>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</si>
  <si>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</si>
  <si>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</si>
  <si>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</si>
  <si>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</si>
  <si>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</si>
  <si>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</si>
  <si>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</si>
  <si>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</si>
  <si>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</si>
  <si>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</si>
  <si>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</si>
  <si>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</si>
  <si>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</si>
  <si>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</si>
  <si>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</si>
  <si>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</si>
  <si>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</si>
  <si>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</si>
  <si>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</si>
  <si>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</si>
  <si>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</si>
  <si>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</si>
  <si>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</si>
  <si>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</si>
  <si>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</si>
  <si>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</si>
  <si>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</si>
  <si>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</si>
  <si>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</si>
  <si>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</si>
  <si>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</si>
  <si>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</si>
  <si>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</si>
  <si>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</si>
  <si>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</si>
  <si>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</si>
  <si>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</si>
  <si>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</si>
  <si>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</si>
  <si>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</si>
  <si>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</si>
  <si>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</si>
  <si>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</si>
  <si>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</si>
  <si>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</si>
  <si>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</si>
  <si>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</si>
  <si>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</si>
  <si>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</si>
  <si>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</si>
  <si>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</si>
  <si>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</si>
  <si>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</si>
  <si>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</si>
  <si>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</si>
  <si>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</si>
  <si>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</si>
  <si>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</si>
  <si>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</si>
  <si>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</si>
  <si>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</si>
  <si>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</si>
  <si>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</si>
  <si>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</si>
  <si>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</si>
  <si>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</si>
  <si>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</si>
  <si>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</si>
  <si>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</si>
  <si>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</si>
  <si>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</si>
  <si>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</si>
  <si>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</si>
  <si>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</si>
  <si>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</si>
  <si>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</si>
  <si>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</si>
  <si>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</si>
  <si>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</si>
  <si>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</si>
  <si>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</si>
  <si>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</si>
  <si>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</si>
  <si>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</si>
  <si>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</si>
  <si>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</si>
  <si>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</si>
  <si>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</si>
  <si>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</si>
  <si>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</si>
  <si>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</si>
  <si>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</si>
  <si>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</si>
  <si>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</si>
  <si>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</si>
  <si>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</si>
  <si>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</si>
  <si>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</si>
  <si>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</si>
  <si>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</si>
  <si>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</si>
  <si>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</si>
  <si>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</si>
  <si>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</si>
  <si>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</si>
  <si>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</si>
  <si>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</si>
  <si>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</si>
  <si>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</si>
  <si>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</si>
  <si>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</si>
  <si>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</si>
  <si>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</si>
  <si>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</si>
  <si>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</si>
  <si>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</si>
  <si>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</si>
  <si>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</si>
  <si>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</si>
  <si>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</si>
  <si>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</si>
  <si>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</si>
  <si>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</si>
  <si>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</si>
  <si>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</si>
  <si>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</si>
  <si>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</si>
  <si>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</si>
  <si>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</si>
  <si>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</si>
  <si>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</si>
  <si>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</si>
  <si>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</si>
  <si>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</si>
  <si>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</si>
  <si>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</si>
  <si>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</si>
  <si>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</si>
  <si>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</si>
  <si>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</si>
  <si>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</si>
  <si>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</si>
  <si>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</si>
  <si>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</si>
  <si>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</si>
  <si>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</si>
  <si>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</si>
  <si>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</si>
  <si>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</si>
  <si>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</si>
  <si>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</si>
  <si>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</si>
  <si>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</si>
  <si>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</si>
  <si>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</si>
  <si>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</si>
  <si>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</si>
  <si>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</si>
  <si>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</si>
  <si>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</si>
  <si>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</si>
  <si>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</si>
  <si>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</si>
  <si>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</si>
  <si>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</si>
  <si>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</si>
  <si>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</si>
  <si>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</si>
  <si>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</si>
  <si>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</si>
  <si>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</si>
  <si>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</si>
  <si>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</si>
  <si>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</si>
  <si>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</si>
  <si>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</si>
  <si>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</si>
  <si>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</si>
  <si>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</si>
  <si>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</si>
  <si>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</si>
  <si>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</si>
  <si>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</si>
  <si>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</si>
  <si>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</si>
  <si>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</si>
  <si>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</si>
  <si>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</si>
  <si>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</si>
  <si>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</si>
  <si>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</si>
  <si>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</si>
  <si>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</si>
  <si>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</si>
  <si>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</si>
  <si>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</si>
  <si>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</si>
  <si>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</si>
  <si>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</si>
  <si>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</si>
  <si>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</si>
  <si>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</si>
  <si>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</si>
  <si>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</si>
  <si>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</si>
  <si>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</si>
  <si>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</si>
  <si>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</si>
  <si>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</si>
  <si>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</si>
  <si>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</si>
  <si>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</si>
  <si>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</si>
  <si>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</si>
  <si>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</si>
  <si>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</si>
  <si>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</si>
  <si>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</si>
  <si>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</si>
  <si>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</si>
  <si>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</si>
  <si>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</si>
  <si>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</si>
  <si>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</si>
  <si>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</si>
  <si>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</si>
  <si>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</si>
  <si>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</si>
  <si>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</si>
  <si>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</si>
  <si>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</si>
  <si>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</si>
  <si>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</si>
  <si>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</si>
  <si>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</si>
  <si>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</si>
  <si>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</si>
  <si>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</si>
  <si>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</si>
  <si>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</si>
  <si>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</si>
  <si>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</si>
  <si>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</si>
  <si>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</si>
  <si>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</si>
  <si>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</si>
  <si>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</si>
  <si>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</si>
  <si>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</si>
  <si>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</si>
  <si>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</si>
  <si>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</si>
  <si>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</si>
  <si>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</si>
  <si>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</si>
  <si>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</si>
  <si>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</si>
  <si>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</si>
  <si>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</si>
  <si>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</si>
  <si>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</si>
  <si>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</si>
  <si>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</si>
  <si>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</si>
  <si>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</si>
  <si>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</si>
  <si>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</si>
  <si>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</si>
  <si>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</si>
  <si>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</si>
  <si>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</si>
  <si>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</si>
  <si>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</si>
  <si>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</si>
  <si>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</si>
  <si>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</si>
  <si>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</si>
  <si>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</si>
  <si>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</si>
  <si>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</si>
  <si>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</si>
  <si>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</si>
  <si>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</si>
  <si>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</si>
  <si>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</si>
  <si>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</si>
  <si>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</si>
  <si>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</si>
  <si>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</si>
  <si>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</si>
  <si>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</si>
  <si>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</si>
  <si>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</si>
  <si>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</si>
  <si>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</si>
  <si>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</si>
  <si>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</si>
  <si>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</si>
  <si>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</si>
  <si>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</si>
  <si>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</si>
  <si>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</si>
  <si>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</si>
  <si>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</si>
  <si>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</si>
  <si>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</si>
  <si>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</si>
  <si>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</si>
  <si>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</si>
  <si>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</si>
  <si>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</si>
  <si>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</si>
  <si>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</si>
  <si>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</si>
  <si>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</si>
  <si>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</si>
  <si>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</si>
  <si>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</si>
  <si>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</si>
  <si>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</si>
  <si>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</si>
  <si>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</si>
  <si>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</si>
  <si>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</si>
  <si>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</si>
  <si>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</si>
  <si>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</si>
  <si>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</si>
  <si>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</si>
  <si>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</si>
  <si>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</si>
  <si>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</si>
  <si>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</si>
  <si>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</si>
  <si>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</si>
  <si>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</si>
  <si>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</si>
  <si>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</si>
  <si>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</si>
  <si>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</si>
  <si>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</si>
  <si>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</si>
  <si>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</si>
  <si>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</si>
  <si>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</si>
  <si>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</si>
  <si>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</si>
  <si>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</si>
  <si>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</si>
  <si>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</si>
  <si>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</si>
  <si>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</si>
  <si>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</si>
  <si>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</si>
  <si>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</si>
  <si>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</si>
  <si>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</si>
  <si>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</si>
  <si>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</si>
  <si>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</si>
  <si>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</si>
  <si>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</si>
  <si>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</si>
  <si>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</si>
  <si>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</si>
  <si>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</si>
  <si>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</si>
  <si>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</si>
  <si>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</si>
  <si>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</si>
  <si>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</si>
  <si>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</si>
  <si>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</si>
  <si>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</si>
  <si>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</si>
  <si>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</si>
  <si>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</si>
  <si>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</si>
  <si>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</si>
  <si>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</si>
  <si>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</si>
  <si>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</si>
  <si>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</si>
  <si>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</si>
  <si>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</si>
  <si>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</si>
  <si>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</si>
  <si>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</si>
  <si>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</si>
  <si>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</si>
  <si>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</si>
  <si>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</si>
  <si>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</si>
  <si>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</si>
  <si>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</si>
  <si>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</si>
  <si>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</si>
  <si>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</si>
  <si>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</si>
  <si>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</si>
  <si>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</si>
  <si>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</si>
  <si>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</si>
  <si>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</si>
  <si>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</si>
  <si>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</si>
  <si>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</si>
  <si>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</si>
  <si>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</si>
  <si>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</si>
  <si>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</si>
  <si>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</si>
  <si>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</si>
  <si>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</si>
  <si>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</si>
  <si>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</si>
  <si>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</si>
  <si>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</si>
  <si>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</si>
  <si>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</si>
  <si>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</si>
  <si>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</si>
  <si>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</si>
  <si>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</si>
  <si>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</si>
  <si>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</si>
  <si>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</si>
  <si>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</si>
  <si>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</si>
  <si>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</si>
  <si>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</si>
  <si>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</si>
  <si>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</si>
  <si>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</si>
  <si>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</si>
  <si>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</si>
  <si>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</si>
  <si>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</si>
  <si>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</si>
  <si>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</si>
  <si>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</si>
  <si>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</si>
  <si>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</si>
  <si>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</si>
  <si>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</si>
  <si>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</si>
  <si>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</si>
  <si>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</si>
  <si>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</si>
  <si>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</si>
  <si>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</si>
  <si>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</si>
  <si>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</si>
  <si>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</si>
  <si>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</si>
  <si>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</si>
  <si>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</si>
  <si>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</si>
  <si>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</si>
  <si>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</si>
  <si>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</si>
  <si>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</si>
  <si>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</si>
  <si>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</si>
  <si>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</si>
  <si>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</si>
  <si>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</si>
  <si>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</si>
  <si>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</si>
  <si>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</si>
  <si>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</si>
  <si>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</si>
  <si>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</si>
  <si>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</si>
  <si>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</si>
  <si>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</si>
  <si>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</si>
  <si>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</si>
  <si>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</si>
  <si>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</si>
  <si>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</si>
  <si>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</si>
  <si>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</si>
  <si>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</si>
  <si>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</si>
  <si>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</si>
  <si>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</si>
  <si>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</si>
  <si>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</si>
  <si>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</si>
  <si>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</si>
  <si>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</si>
  <si>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</si>
  <si>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</si>
  <si>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</si>
  <si>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</si>
  <si>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</si>
  <si>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</si>
  <si>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</si>
  <si>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</si>
  <si>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</si>
  <si>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</si>
  <si>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</si>
  <si>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</si>
  <si>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</si>
  <si>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</si>
  <si>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</si>
  <si>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</si>
  <si>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</si>
  <si>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</si>
  <si>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</si>
  <si>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</si>
  <si>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</si>
  <si>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</si>
  <si>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</si>
  <si>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</si>
  <si>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</si>
  <si>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</si>
  <si>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</si>
  <si>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</si>
  <si>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</si>
  <si>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</si>
  <si>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</si>
  <si>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</si>
  <si>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</si>
  <si>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</si>
  <si>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</si>
  <si>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</si>
  <si>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</si>
  <si>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</si>
  <si>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</si>
  <si>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</si>
  <si>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</si>
  <si>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</si>
  <si>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</si>
  <si>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</si>
  <si>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</si>
  <si>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</si>
  <si>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</si>
  <si>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</si>
  <si>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</si>
  <si>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</si>
  <si>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</si>
  <si>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</si>
  <si>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</si>
  <si>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</si>
  <si>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</si>
  <si>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</si>
  <si>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</si>
  <si>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</si>
  <si>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</si>
  <si>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</si>
  <si>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</si>
  <si>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</si>
  <si>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</si>
  <si>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</si>
  <si>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</si>
  <si>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</si>
  <si>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</si>
  <si>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</si>
  <si>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</si>
  <si>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</si>
  <si>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</si>
  <si>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</si>
  <si>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</si>
  <si>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</si>
  <si>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</si>
  <si>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</si>
  <si>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</si>
  <si>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</si>
  <si>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</si>
  <si>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</si>
  <si>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</si>
  <si>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</si>
  <si>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</si>
  <si>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</si>
  <si>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</si>
  <si>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</si>
  <si>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</si>
  <si>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</si>
  <si>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</si>
  <si>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</si>
  <si>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</si>
  <si>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</si>
  <si>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</si>
  <si>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</si>
  <si>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</si>
  <si>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</si>
  <si>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</si>
  <si>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</si>
  <si>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</si>
  <si>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</si>
  <si>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</si>
  <si>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</si>
  <si>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</si>
  <si>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</si>
  <si>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</si>
  <si>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</si>
  <si>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</si>
  <si>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</si>
  <si>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</si>
  <si>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</si>
  <si>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</si>
  <si>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</si>
  <si>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</si>
  <si>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</si>
  <si>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</si>
  <si>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</si>
  <si>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</si>
  <si>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</si>
  <si>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</si>
  <si>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</si>
  <si>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</si>
  <si>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</si>
  <si>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</si>
  <si>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</si>
  <si>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</si>
  <si>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</si>
  <si>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</si>
  <si>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</si>
  <si>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</si>
  <si>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</si>
  <si>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</si>
  <si>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</si>
  <si>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</si>
  <si>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</si>
  <si>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</si>
  <si>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</si>
  <si>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</si>
  <si>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</si>
  <si>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</si>
  <si>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</si>
  <si>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</si>
  <si>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</si>
  <si>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</si>
  <si>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</si>
  <si>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</si>
  <si>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</si>
  <si>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</si>
  <si>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</si>
  <si>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</si>
  <si>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</si>
  <si>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</si>
  <si>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</si>
  <si>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</si>
  <si>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</si>
  <si>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</si>
  <si>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</si>
  <si>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</si>
  <si>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</si>
  <si>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</si>
  <si>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</si>
  <si>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</si>
  <si>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</si>
  <si>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</si>
  <si>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</si>
  <si>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</si>
  <si>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</si>
  <si>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</si>
  <si>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</si>
  <si>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</si>
  <si>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</si>
  <si>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</si>
  <si>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</si>
  <si>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</si>
  <si>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</si>
  <si>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</si>
  <si>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</si>
  <si>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</si>
  <si>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</si>
  <si>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</si>
  <si>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</si>
  <si>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</si>
  <si>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</si>
  <si>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</si>
  <si>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</si>
  <si>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</si>
  <si>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</si>
  <si>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</si>
  <si>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</si>
  <si>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</si>
  <si>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</si>
  <si>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</si>
  <si>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</si>
  <si>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</si>
  <si>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</si>
  <si>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</si>
  <si>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</si>
  <si>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</si>
  <si>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</si>
  <si>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</si>
  <si>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</si>
  <si>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</si>
  <si>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</si>
  <si>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</si>
  <si>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</si>
  <si>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</si>
  <si>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</si>
  <si>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</si>
  <si>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</si>
  <si>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</si>
  <si>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</si>
  <si>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</si>
  <si>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</si>
  <si>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</si>
  <si>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</si>
  <si>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</si>
  <si>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</si>
  <si>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</si>
  <si>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</si>
  <si>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</si>
  <si>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</si>
  <si>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</si>
  <si>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</si>
  <si>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</si>
  <si>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</si>
  <si>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</si>
  <si>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</si>
  <si>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</si>
  <si>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</si>
  <si>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</si>
  <si>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</si>
  <si>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</si>
  <si>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</si>
  <si>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</si>
  <si>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</si>
  <si>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</si>
  <si>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</si>
  <si>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</si>
  <si>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</si>
  <si>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t>
  </si>
  <si>
    <t>Douglas</t>
  </si>
  <si>
    <t>CENTRAL MUDMINNOW</t>
  </si>
  <si>
    <t>COMMON SHINER</t>
  </si>
  <si>
    <t>WESTERN BLACKNOSE DACE</t>
  </si>
  <si>
    <t>LONGNOSE DACE</t>
  </si>
  <si>
    <t>CREEK CHUB</t>
  </si>
  <si>
    <t>WHITE SUCKER</t>
  </si>
  <si>
    <t>BROOK STICKLEBACK</t>
  </si>
  <si>
    <t>IOWA DARTER</t>
  </si>
  <si>
    <t>JOHNNY DARTER</t>
  </si>
  <si>
    <t>Black River 25m US Dietz Rd</t>
  </si>
  <si>
    <t>FINESCALE DACE</t>
  </si>
  <si>
    <t>NORTHERN PEARL DACE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</si>
</sst>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zoomScale="75" zoomScaleNormal="75" workbookViewId="0">
      <selection activeCell="B33" sqref="B33"/>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2"/>
      <c r="D4" s="163"/>
      <c r="F4" s="2" t="s">
        <v>836</v>
      </c>
    </row>
    <row r="5" spans="1:20" x14ac:dyDescent="0.25">
      <c r="A5" s="1" t="s">
        <v>832</v>
      </c>
      <c r="B5" s="175">
        <v>43363</v>
      </c>
      <c r="C5" s="162"/>
      <c r="D5" s="163"/>
      <c r="F5" s="84"/>
      <c r="G5" s="28"/>
      <c r="H5" s="28"/>
      <c r="I5" s="28"/>
      <c r="J5" s="28"/>
      <c r="K5" s="28"/>
      <c r="L5" s="28"/>
      <c r="M5" s="28"/>
      <c r="N5" s="28"/>
      <c r="O5" s="28"/>
      <c r="P5" s="28"/>
      <c r="Q5" s="28"/>
      <c r="R5" s="28" t="s">
        <v>866</v>
      </c>
    </row>
    <row r="6" spans="1:20" x14ac:dyDescent="0.25">
      <c r="A6" s="1" t="s">
        <v>830</v>
      </c>
      <c r="B6" s="176">
        <v>42597</v>
      </c>
      <c r="C6" s="159"/>
      <c r="D6" s="160"/>
      <c r="F6" s="26"/>
      <c r="G6" s="28"/>
      <c r="H6" s="28"/>
      <c r="I6" s="28"/>
      <c r="J6" s="28"/>
      <c r="K6" s="28"/>
      <c r="L6" s="28"/>
      <c r="M6" s="28"/>
      <c r="N6" s="28"/>
      <c r="O6" s="28"/>
      <c r="P6" s="28"/>
      <c r="Q6" s="28"/>
      <c r="R6" s="28" t="s">
        <v>378</v>
      </c>
    </row>
    <row r="7" spans="1:20" s="28" customFormat="1" x14ac:dyDescent="0.25">
      <c r="A7" s="28" t="s">
        <v>869</v>
      </c>
      <c r="B7" s="158">
        <v>10046990</v>
      </c>
      <c r="C7" s="159"/>
      <c r="D7" s="160"/>
      <c r="F7" s="27"/>
    </row>
    <row r="8" spans="1:20" s="28" customFormat="1" x14ac:dyDescent="0.25">
      <c r="A8" s="28" t="s">
        <v>872</v>
      </c>
      <c r="B8" s="158" t="s">
        <v>943</v>
      </c>
      <c r="C8" s="159"/>
      <c r="D8" s="160"/>
      <c r="F8" s="27"/>
    </row>
    <row r="9" spans="1:20" x14ac:dyDescent="0.25">
      <c r="A9" s="1" t="s">
        <v>49</v>
      </c>
      <c r="B9" s="168" t="s">
        <v>870</v>
      </c>
      <c r="C9" s="168"/>
      <c r="D9" s="168"/>
    </row>
    <row r="10" spans="1:20" x14ac:dyDescent="0.25">
      <c r="B10" s="88"/>
      <c r="C10" s="88"/>
      <c r="D10" s="88"/>
    </row>
    <row r="11" spans="1:20" x14ac:dyDescent="0.25">
      <c r="A11" s="1" t="s">
        <v>34</v>
      </c>
      <c r="B11" s="158" t="s">
        <v>932</v>
      </c>
      <c r="C11" s="159"/>
      <c r="D11" s="160"/>
      <c r="F11" s="27"/>
      <c r="G11" s="27"/>
      <c r="H11" s="27"/>
      <c r="I11" s="27"/>
      <c r="J11" s="27"/>
      <c r="K11" s="27"/>
      <c r="L11" s="27"/>
      <c r="M11" s="27"/>
      <c r="N11" s="27"/>
      <c r="O11" s="27"/>
      <c r="P11" s="27"/>
      <c r="Q11" s="27"/>
      <c r="R11" s="27"/>
    </row>
    <row r="12" spans="1:20" x14ac:dyDescent="0.25">
      <c r="A12" s="1" t="s">
        <v>37</v>
      </c>
      <c r="B12" s="168" t="s">
        <v>933</v>
      </c>
      <c r="C12" s="168"/>
      <c r="D12" s="168"/>
    </row>
    <row r="13" spans="1:20" x14ac:dyDescent="0.25">
      <c r="A13" s="1" t="s">
        <v>35</v>
      </c>
      <c r="B13" s="168"/>
      <c r="C13" s="168"/>
      <c r="D13" s="168"/>
      <c r="F13" s="27"/>
      <c r="G13" s="27"/>
      <c r="H13" s="27"/>
      <c r="I13" s="27"/>
      <c r="J13" s="27"/>
      <c r="K13" s="27"/>
      <c r="L13" s="27"/>
      <c r="M13" s="27"/>
      <c r="N13" s="27"/>
      <c r="O13" s="27"/>
      <c r="P13" s="27"/>
      <c r="Q13" s="27"/>
      <c r="R13" s="27"/>
    </row>
    <row r="14" spans="1:20" x14ac:dyDescent="0.25">
      <c r="A14" s="1" t="s">
        <v>36</v>
      </c>
      <c r="B14" s="168">
        <v>2836900</v>
      </c>
      <c r="C14" s="168"/>
      <c r="D14" s="168"/>
      <c r="F14" s="27"/>
      <c r="G14" s="27"/>
      <c r="H14" s="27"/>
      <c r="I14" s="27"/>
      <c r="J14" s="27"/>
      <c r="K14" s="27"/>
      <c r="L14" s="27"/>
      <c r="M14" s="27"/>
      <c r="N14" s="27"/>
      <c r="O14" s="27"/>
      <c r="P14" s="27"/>
      <c r="Q14" s="27"/>
      <c r="R14" s="27"/>
    </row>
    <row r="15" spans="1:20" s="28" customFormat="1" x14ac:dyDescent="0.25">
      <c r="A15" s="28" t="s">
        <v>835</v>
      </c>
      <c r="B15" s="161" t="s">
        <v>423</v>
      </c>
      <c r="C15" s="162"/>
      <c r="D15" s="163"/>
      <c r="E15" s="11" t="s">
        <v>868</v>
      </c>
      <c r="F15" s="27"/>
    </row>
    <row r="16" spans="1:20" x14ac:dyDescent="0.25">
      <c r="B16" s="132"/>
      <c r="C16" s="132"/>
      <c r="D16" s="132"/>
      <c r="T16" s="37"/>
    </row>
    <row r="17" spans="1:25" x14ac:dyDescent="0.25">
      <c r="A17" s="1" t="s">
        <v>33</v>
      </c>
      <c r="B17" s="167" t="s">
        <v>23</v>
      </c>
      <c r="C17" s="171"/>
      <c r="D17" s="172"/>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934</v>
      </c>
      <c r="B21" s="80">
        <v>5</v>
      </c>
      <c r="C21" s="26" t="str">
        <f>IFERROR(VLOOKUP($A21,'Species guilds'!$A$3:$F$301,3,FALSE),0)</f>
        <v>T</v>
      </c>
      <c r="D21" s="26" t="str">
        <f>IFERROR(VLOOKUP($A21,'Species guilds'!$A$3:$F$301,4,FALSE),0)</f>
        <v>S</v>
      </c>
      <c r="E21" s="26" t="str">
        <f>IFERROR(VLOOKUP($A21,'Species guilds'!$A$3:$F$301,5,FALSE),0)</f>
        <v>T</v>
      </c>
      <c r="F21" s="26">
        <f t="shared" ref="F21:F53" si="0">IF(AND(M21&gt;0,B21&gt;0)=FALSE,B21,0)</f>
        <v>5</v>
      </c>
      <c r="G21" s="26">
        <f>IF(D21="Lake",0,1)</f>
        <v>1</v>
      </c>
      <c r="H21" s="26">
        <f>IF($C21=H$20,$B21*G21,0)</f>
        <v>0</v>
      </c>
      <c r="I21" s="26">
        <f>IF($C21=I$20,$B21*G21,0)</f>
        <v>5</v>
      </c>
      <c r="J21" s="26">
        <f>IF($C21=J$20,$B21*G21,0)</f>
        <v>0</v>
      </c>
      <c r="K21" s="26">
        <f>IF($D21=K$20,$B21*G21,0)</f>
        <v>5</v>
      </c>
      <c r="L21" s="26">
        <f>IF($D21=L$20,$B21*G21,0)</f>
        <v>0</v>
      </c>
      <c r="M21" s="26">
        <f>IF($D21=M$20,$B21,0)</f>
        <v>0</v>
      </c>
      <c r="N21" s="26">
        <f>IF($D21=N$20,$B21*G21,0)</f>
        <v>0</v>
      </c>
      <c r="O21" s="26">
        <f>IF($E21=O$20,$B21*G21,0)</f>
        <v>0</v>
      </c>
      <c r="P21" s="26">
        <f>IF($E21=P$20,$B21*G21,0)</f>
        <v>0</v>
      </c>
      <c r="Q21" s="26">
        <f>IF($E21=Q$20,$B21*G21,0)</f>
        <v>5</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944</v>
      </c>
      <c r="B22" s="80">
        <v>2</v>
      </c>
      <c r="C22" s="26" t="str">
        <f>IFERROR(VLOOKUP($A22,'Species guilds'!$A$3:$F$301,3,FALSE),0)</f>
        <v>T</v>
      </c>
      <c r="D22" s="26" t="str">
        <f>IFERROR(VLOOKUP($A22,'Species guilds'!$A$3:$F$301,4,FALSE),0)</f>
        <v>S</v>
      </c>
      <c r="E22" s="26" t="str">
        <f>IFERROR(VLOOKUP($A22,'Species guilds'!$A$3:$F$301,5,FALSE),0)</f>
        <v>IM</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2</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935</v>
      </c>
      <c r="B23" s="80">
        <v>56</v>
      </c>
      <c r="C23" s="26" t="str">
        <f>IFERROR(VLOOKUP($A23,'Species guilds'!$A$3:$F$301,3,FALSE),0)</f>
        <v>W</v>
      </c>
      <c r="D23" s="26" t="str">
        <f>IFERROR(VLOOKUP($A23,'Species guilds'!$A$3:$F$301,4,FALSE),0)</f>
        <v>M</v>
      </c>
      <c r="E23" s="26" t="str">
        <f>IFERROR(VLOOKUP($A23,'Species guilds'!$A$3:$F$301,5,FALSE),0)</f>
        <v>IM</v>
      </c>
      <c r="F23" s="26">
        <f t="shared" si="0"/>
        <v>56</v>
      </c>
      <c r="G23" s="26">
        <f t="shared" si="1"/>
        <v>1</v>
      </c>
      <c r="H23" s="26">
        <f t="shared" si="2"/>
        <v>0</v>
      </c>
      <c r="I23" s="26">
        <f t="shared" si="3"/>
        <v>0</v>
      </c>
      <c r="J23" s="26">
        <f t="shared" si="4"/>
        <v>56</v>
      </c>
      <c r="K23" s="26">
        <f t="shared" si="5"/>
        <v>0</v>
      </c>
      <c r="L23" s="26">
        <f t="shared" si="6"/>
        <v>56</v>
      </c>
      <c r="M23" s="26">
        <f t="shared" si="7"/>
        <v>0</v>
      </c>
      <c r="N23" s="26">
        <f t="shared" si="8"/>
        <v>0</v>
      </c>
      <c r="O23" s="26">
        <f t="shared" si="9"/>
        <v>0</v>
      </c>
      <c r="P23" s="26">
        <f t="shared" si="10"/>
        <v>56</v>
      </c>
      <c r="Q23" s="26">
        <f t="shared" si="11"/>
        <v>0</v>
      </c>
      <c r="R23" s="81" t="str">
        <f t="shared" si="12"/>
        <v/>
      </c>
      <c r="T23" s="43"/>
      <c r="U23" s="43"/>
      <c r="V23" s="43"/>
      <c r="W23" s="43"/>
      <c r="X23" s="43"/>
      <c r="Y23" s="43"/>
    </row>
    <row r="24" spans="1:25" x14ac:dyDescent="0.25">
      <c r="A24" s="79" t="s">
        <v>945</v>
      </c>
      <c r="B24" s="80">
        <v>4</v>
      </c>
      <c r="C24" s="26" t="str">
        <f>IFERROR(VLOOKUP($A24,'Species guilds'!$A$3:$F$301,3,FALSE),0)</f>
        <v>T</v>
      </c>
      <c r="D24" s="26" t="str">
        <f>IFERROR(VLOOKUP($A24,'Species guilds'!$A$3:$F$301,4,FALSE),0)</f>
        <v>S</v>
      </c>
      <c r="E24" s="26" t="str">
        <f>IFERROR(VLOOKUP($A24,'Species guilds'!$A$3:$F$301,5,FALSE),0)</f>
        <v>IM</v>
      </c>
      <c r="F24" s="26">
        <f t="shared" si="0"/>
        <v>4</v>
      </c>
      <c r="G24" s="26">
        <f t="shared" si="1"/>
        <v>1</v>
      </c>
      <c r="H24" s="26">
        <f t="shared" si="2"/>
        <v>0</v>
      </c>
      <c r="I24" s="26">
        <f t="shared" si="3"/>
        <v>4</v>
      </c>
      <c r="J24" s="26">
        <f t="shared" si="4"/>
        <v>0</v>
      </c>
      <c r="K24" s="26">
        <f t="shared" si="5"/>
        <v>4</v>
      </c>
      <c r="L24" s="26">
        <f t="shared" si="6"/>
        <v>0</v>
      </c>
      <c r="M24" s="26">
        <f t="shared" si="7"/>
        <v>0</v>
      </c>
      <c r="N24" s="26">
        <f t="shared" si="8"/>
        <v>0</v>
      </c>
      <c r="O24" s="26">
        <f t="shared" si="9"/>
        <v>0</v>
      </c>
      <c r="P24" s="26">
        <f t="shared" si="10"/>
        <v>4</v>
      </c>
      <c r="Q24" s="26">
        <f t="shared" si="11"/>
        <v>0</v>
      </c>
      <c r="R24" s="81" t="str">
        <f t="shared" si="12"/>
        <v/>
      </c>
      <c r="T24" s="43"/>
      <c r="U24" s="43"/>
      <c r="V24" s="43"/>
      <c r="W24" s="43"/>
      <c r="X24" s="43"/>
      <c r="Y24" s="43"/>
    </row>
    <row r="25" spans="1:25" x14ac:dyDescent="0.25">
      <c r="A25" s="79" t="s">
        <v>936</v>
      </c>
      <c r="B25" s="80">
        <v>64</v>
      </c>
      <c r="C25" s="26" t="str">
        <f>IFERROR(VLOOKUP($A25,'Species guilds'!$A$3:$F$301,3,FALSE),0)</f>
        <v>T</v>
      </c>
      <c r="D25" s="26" t="str">
        <f>IFERROR(VLOOKUP($A25,'Species guilds'!$A$3:$F$301,4,FALSE),0)</f>
        <v>S</v>
      </c>
      <c r="E25" s="26" t="str">
        <f>IFERROR(VLOOKUP($A25,'Species guilds'!$A$3:$F$301,5,FALSE),0)</f>
        <v>T</v>
      </c>
      <c r="F25" s="26">
        <f t="shared" si="0"/>
        <v>64</v>
      </c>
      <c r="G25" s="26">
        <f t="shared" si="1"/>
        <v>1</v>
      </c>
      <c r="H25" s="26">
        <f t="shared" si="2"/>
        <v>0</v>
      </c>
      <c r="I25" s="26">
        <f t="shared" si="3"/>
        <v>64</v>
      </c>
      <c r="J25" s="26">
        <f t="shared" si="4"/>
        <v>0</v>
      </c>
      <c r="K25" s="26">
        <f t="shared" si="5"/>
        <v>64</v>
      </c>
      <c r="L25" s="26">
        <f t="shared" si="6"/>
        <v>0</v>
      </c>
      <c r="M25" s="26">
        <f t="shared" si="7"/>
        <v>0</v>
      </c>
      <c r="N25" s="26">
        <f t="shared" si="8"/>
        <v>0</v>
      </c>
      <c r="O25" s="26">
        <f t="shared" si="9"/>
        <v>0</v>
      </c>
      <c r="P25" s="26">
        <f t="shared" si="10"/>
        <v>0</v>
      </c>
      <c r="Q25" s="26">
        <f t="shared" si="11"/>
        <v>64</v>
      </c>
      <c r="R25" s="81" t="str">
        <f t="shared" si="12"/>
        <v/>
      </c>
      <c r="T25" s="43"/>
      <c r="U25" s="43"/>
      <c r="V25" s="43"/>
      <c r="W25" s="43"/>
      <c r="X25" s="43"/>
      <c r="Y25" s="43"/>
    </row>
    <row r="26" spans="1:25" x14ac:dyDescent="0.25">
      <c r="A26" s="25" t="s">
        <v>937</v>
      </c>
      <c r="B26" s="25">
        <v>14</v>
      </c>
      <c r="C26" s="26" t="str">
        <f>IFERROR(VLOOKUP($A26,'Species guilds'!$A$3:$F$301,3,FALSE),0)</f>
        <v>T</v>
      </c>
      <c r="D26" s="26" t="str">
        <f>IFERROR(VLOOKUP($A26,'Species guilds'!$A$3:$F$301,4,FALSE),0)</f>
        <v>M</v>
      </c>
      <c r="E26" s="26" t="str">
        <f>IFERROR(VLOOKUP($A26,'Species guilds'!$A$3:$F$301,5,FALSE),0)</f>
        <v>IM</v>
      </c>
      <c r="F26" s="26">
        <f t="shared" si="0"/>
        <v>14</v>
      </c>
      <c r="G26" s="26">
        <f t="shared" si="1"/>
        <v>1</v>
      </c>
      <c r="H26" s="26">
        <f t="shared" si="2"/>
        <v>0</v>
      </c>
      <c r="I26" s="26">
        <f t="shared" si="3"/>
        <v>14</v>
      </c>
      <c r="J26" s="26">
        <f t="shared" si="4"/>
        <v>0</v>
      </c>
      <c r="K26" s="26">
        <f t="shared" si="5"/>
        <v>0</v>
      </c>
      <c r="L26" s="26">
        <f t="shared" si="6"/>
        <v>14</v>
      </c>
      <c r="M26" s="26">
        <f t="shared" si="7"/>
        <v>0</v>
      </c>
      <c r="N26" s="26">
        <f t="shared" si="8"/>
        <v>0</v>
      </c>
      <c r="O26" s="26">
        <f t="shared" si="9"/>
        <v>0</v>
      </c>
      <c r="P26" s="26">
        <f t="shared" si="10"/>
        <v>14</v>
      </c>
      <c r="Q26" s="26">
        <f t="shared" si="11"/>
        <v>0</v>
      </c>
      <c r="R26" s="81" t="str">
        <f t="shared" si="12"/>
        <v/>
      </c>
      <c r="T26" s="43"/>
      <c r="U26" s="43"/>
      <c r="V26" s="43"/>
      <c r="W26" s="43"/>
      <c r="X26" s="43"/>
      <c r="Y26" s="43"/>
    </row>
    <row r="27" spans="1:25" x14ac:dyDescent="0.25">
      <c r="A27" s="25" t="s">
        <v>938</v>
      </c>
      <c r="B27" s="25">
        <v>97</v>
      </c>
      <c r="C27" s="26" t="str">
        <f>IFERROR(VLOOKUP($A27,'Species guilds'!$A$3:$F$301,3,FALSE),0)</f>
        <v>T</v>
      </c>
      <c r="D27" s="26" t="str">
        <f>IFERROR(VLOOKUP($A27,'Species guilds'!$A$3:$F$301,4,FALSE),0)</f>
        <v>S</v>
      </c>
      <c r="E27" s="26" t="str">
        <f>IFERROR(VLOOKUP($A27,'Species guilds'!$A$3:$F$301,5,FALSE),0)</f>
        <v>T</v>
      </c>
      <c r="F27" s="26">
        <f t="shared" si="0"/>
        <v>97</v>
      </c>
      <c r="G27" s="26">
        <f t="shared" si="1"/>
        <v>1</v>
      </c>
      <c r="H27" s="26">
        <f t="shared" si="2"/>
        <v>0</v>
      </c>
      <c r="I27" s="26">
        <f t="shared" si="3"/>
        <v>97</v>
      </c>
      <c r="J27" s="26">
        <f t="shared" si="4"/>
        <v>0</v>
      </c>
      <c r="K27" s="26">
        <f t="shared" si="5"/>
        <v>97</v>
      </c>
      <c r="L27" s="26">
        <f t="shared" si="6"/>
        <v>0</v>
      </c>
      <c r="M27" s="26">
        <f t="shared" si="7"/>
        <v>0</v>
      </c>
      <c r="N27" s="26">
        <f t="shared" si="8"/>
        <v>0</v>
      </c>
      <c r="O27" s="26">
        <f t="shared" si="9"/>
        <v>0</v>
      </c>
      <c r="P27" s="26">
        <f t="shared" si="10"/>
        <v>0</v>
      </c>
      <c r="Q27" s="26">
        <f t="shared" si="11"/>
        <v>97</v>
      </c>
      <c r="R27" s="81" t="str">
        <f t="shared" si="12"/>
        <v/>
      </c>
      <c r="T27" s="43"/>
      <c r="U27" s="43"/>
      <c r="V27" s="43"/>
      <c r="W27" s="43"/>
      <c r="X27" s="43"/>
      <c r="Y27" s="43"/>
    </row>
    <row r="28" spans="1:25" x14ac:dyDescent="0.25">
      <c r="A28" s="25" t="s">
        <v>939</v>
      </c>
      <c r="B28" s="25">
        <v>36</v>
      </c>
      <c r="C28" s="26" t="str">
        <f>IFERROR(VLOOKUP($A28,'Species guilds'!$A$3:$F$301,3,FALSE),0)</f>
        <v>T</v>
      </c>
      <c r="D28" s="26" t="str">
        <f>IFERROR(VLOOKUP($A28,'Species guilds'!$A$3:$F$301,4,FALSE),0)</f>
        <v>M</v>
      </c>
      <c r="E28" s="26" t="str">
        <f>IFERROR(VLOOKUP($A28,'Species guilds'!$A$3:$F$301,5,FALSE),0)</f>
        <v>T</v>
      </c>
      <c r="F28" s="26">
        <f t="shared" si="0"/>
        <v>36</v>
      </c>
      <c r="G28" s="26">
        <f t="shared" si="1"/>
        <v>1</v>
      </c>
      <c r="H28" s="26">
        <f t="shared" si="2"/>
        <v>0</v>
      </c>
      <c r="I28" s="26">
        <f t="shared" si="3"/>
        <v>36</v>
      </c>
      <c r="J28" s="26">
        <f t="shared" si="4"/>
        <v>0</v>
      </c>
      <c r="K28" s="26">
        <f t="shared" si="5"/>
        <v>0</v>
      </c>
      <c r="L28" s="26">
        <f t="shared" si="6"/>
        <v>36</v>
      </c>
      <c r="M28" s="26">
        <f t="shared" si="7"/>
        <v>0</v>
      </c>
      <c r="N28" s="26">
        <f t="shared" si="8"/>
        <v>0</v>
      </c>
      <c r="O28" s="26">
        <f t="shared" si="9"/>
        <v>0</v>
      </c>
      <c r="P28" s="26">
        <f t="shared" si="10"/>
        <v>0</v>
      </c>
      <c r="Q28" s="26">
        <f t="shared" si="11"/>
        <v>36</v>
      </c>
      <c r="R28" s="81" t="str">
        <f t="shared" si="12"/>
        <v/>
      </c>
      <c r="T28" s="31"/>
      <c r="U28" s="43"/>
      <c r="V28" s="43"/>
      <c r="W28" s="43"/>
      <c r="X28" s="43"/>
      <c r="Y28" s="43"/>
    </row>
    <row r="29" spans="1:25" x14ac:dyDescent="0.25">
      <c r="A29" s="25" t="s">
        <v>940</v>
      </c>
      <c r="B29" s="25">
        <v>5</v>
      </c>
      <c r="C29" s="26" t="str">
        <f>IFERROR(VLOOKUP($A29,'Species guilds'!$A$3:$F$301,3,FALSE),0)</f>
        <v>T</v>
      </c>
      <c r="D29" s="26" t="str">
        <f>IFERROR(VLOOKUP($A29,'Species guilds'!$A$3:$F$301,4,FALSE),0)</f>
        <v>S</v>
      </c>
      <c r="E29" s="26" t="str">
        <f>IFERROR(VLOOKUP($A29,'Species guilds'!$A$3:$F$301,5,FALSE),0)</f>
        <v>T</v>
      </c>
      <c r="F29" s="26">
        <f>IF(AND(M29&gt;0,B29&gt;0)=FALSE,B29,0)</f>
        <v>5</v>
      </c>
      <c r="G29" s="26">
        <f>IF(D29="Lake",0,1)</f>
        <v>1</v>
      </c>
      <c r="H29" s="26">
        <f>IF($C29=H$20,$B29*G29,0)</f>
        <v>0</v>
      </c>
      <c r="I29" s="26">
        <f>IF($C29=I$20,$B29*G29,0)</f>
        <v>5</v>
      </c>
      <c r="J29" s="26">
        <f>IF($C29=J$20,$B29*G29,0)</f>
        <v>0</v>
      </c>
      <c r="K29" s="26">
        <f>IF($D29=K$20,$B29*G29,0)</f>
        <v>5</v>
      </c>
      <c r="L29" s="26">
        <f>IF($D29=L$20,$B29*G29,0)</f>
        <v>0</v>
      </c>
      <c r="M29" s="26">
        <f>IF($D29=M$20,$B29,0)</f>
        <v>0</v>
      </c>
      <c r="N29" s="26">
        <f>IF($D29=N$20,$B29*G29,0)</f>
        <v>0</v>
      </c>
      <c r="O29" s="26">
        <f>IF($E29=O$20,$B29*G29,0)</f>
        <v>0</v>
      </c>
      <c r="P29" s="26">
        <f>IF($E29=P$20,$B29*G29,0)</f>
        <v>0</v>
      </c>
      <c r="Q29" s="26">
        <f>IF($E29=Q$20,$B29*G29,0)</f>
        <v>5</v>
      </c>
      <c r="R29" s="81" t="str">
        <f>IF(AND(B29&gt;0,C29=0)=TRUE,"SPECIES NOT FOUND, CHECK 'SPECIES GUILDS' TAB FOR CORRECT NOMENCLATURE",IF(A29="LAMPREYS (AMMOCOETE)","ASSUMES SPECIES ARE NOT CHESTNUT OR SILVER LAMPREYS",""))</f>
        <v/>
      </c>
      <c r="T29" s="45"/>
      <c r="U29" s="45"/>
      <c r="V29" s="45"/>
      <c r="W29" s="45"/>
      <c r="X29" s="45"/>
      <c r="Y29" s="43"/>
    </row>
    <row r="30" spans="1:25" s="28" customFormat="1" x14ac:dyDescent="0.25">
      <c r="A30" s="25" t="s">
        <v>941</v>
      </c>
      <c r="B30" s="25">
        <v>11</v>
      </c>
      <c r="C30" s="26" t="str">
        <f>IFERROR(VLOOKUP($A30,'Species guilds'!$A$3:$F$301,3,FALSE),0)</f>
        <v>W</v>
      </c>
      <c r="D30" s="26" t="str">
        <f>IFERROR(VLOOKUP($A30,'Species guilds'!$A$3:$F$301,4,FALSE),0)</f>
        <v>S</v>
      </c>
      <c r="E30" s="26" t="str">
        <f>IFERROR(VLOOKUP($A30,'Species guilds'!$A$3:$F$301,5,FALSE),0)</f>
        <v>IT</v>
      </c>
      <c r="F30" s="26">
        <f t="shared" ref="F30:F31" si="13">IF(AND(M30&gt;0,B30&gt;0)=FALSE,B30,0)</f>
        <v>11</v>
      </c>
      <c r="G30" s="26">
        <f t="shared" ref="G30:G31" si="14">IF(D30="Lake",0,1)</f>
        <v>1</v>
      </c>
      <c r="H30" s="26">
        <f t="shared" ref="H30:H31" si="15">IF($C30=H$20,$B30*G30,0)</f>
        <v>0</v>
      </c>
      <c r="I30" s="26">
        <f t="shared" ref="I30:I31" si="16">IF($C30=I$20,$B30*G30,0)</f>
        <v>0</v>
      </c>
      <c r="J30" s="26">
        <f t="shared" ref="J30:J31" si="17">IF($C30=J$20,$B30*G30,0)</f>
        <v>11</v>
      </c>
      <c r="K30" s="26">
        <f t="shared" ref="K30:K31" si="18">IF($D30=K$20,$B30*G30,0)</f>
        <v>11</v>
      </c>
      <c r="L30" s="26">
        <f t="shared" ref="L30:L31" si="19">IF($D30=L$20,$B30*G30,0)</f>
        <v>0</v>
      </c>
      <c r="M30" s="26">
        <f t="shared" si="7"/>
        <v>0</v>
      </c>
      <c r="N30" s="26">
        <f t="shared" ref="N30:N31" si="20">IF($D30=N$20,$B30*G30,0)</f>
        <v>0</v>
      </c>
      <c r="O30" s="26">
        <f t="shared" ref="O30:O31" si="21">IF($E30=O$20,$B30*G30,0)</f>
        <v>11</v>
      </c>
      <c r="P30" s="26">
        <f t="shared" ref="P30:P31" si="22">IF($E30=P$20,$B30*G30,0)</f>
        <v>0</v>
      </c>
      <c r="Q30" s="26">
        <f t="shared" ref="Q30:Q31" si="23">IF($E30=Q$20,$B30*G30,0)</f>
        <v>0</v>
      </c>
      <c r="R30" s="81" t="str">
        <f t="shared" ref="R30:R31" si="24">IF(AND(B30&gt;0,C30=0)=TRUE,"SPECIES NOT FOUND, CHECK 'SPECIES GUILDS' TAB FOR CORRECT NOMENCLATURE",IF(A30="LAMPREYS (AMMOCOETE)","ASSUMES SPECIES ARE NOT CHESTNUT OR SILVER LAMPREYS",""))</f>
        <v/>
      </c>
      <c r="T30" s="45"/>
      <c r="U30" s="45"/>
      <c r="V30" s="45"/>
      <c r="W30" s="45"/>
      <c r="X30" s="45"/>
      <c r="Y30" s="43"/>
    </row>
    <row r="31" spans="1:25" s="28" customFormat="1" x14ac:dyDescent="0.25">
      <c r="A31" s="25" t="s">
        <v>942</v>
      </c>
      <c r="B31" s="25">
        <v>16</v>
      </c>
      <c r="C31" s="26" t="str">
        <f>IFERROR(VLOOKUP($A31,'Species guilds'!$A$3:$F$301,3,FALSE),0)</f>
        <v>T</v>
      </c>
      <c r="D31" s="26" t="str">
        <f>IFERROR(VLOOKUP($A31,'Species guilds'!$A$3:$F$301,4,FALSE),0)</f>
        <v>M</v>
      </c>
      <c r="E31" s="26" t="str">
        <f>IFERROR(VLOOKUP($A31,'Species guilds'!$A$3:$F$301,5,FALSE),0)</f>
        <v>IM</v>
      </c>
      <c r="F31" s="26">
        <f t="shared" si="13"/>
        <v>16</v>
      </c>
      <c r="G31" s="26">
        <f t="shared" si="14"/>
        <v>1</v>
      </c>
      <c r="H31" s="26">
        <f t="shared" si="15"/>
        <v>0</v>
      </c>
      <c r="I31" s="26">
        <f t="shared" si="16"/>
        <v>16</v>
      </c>
      <c r="J31" s="26">
        <f t="shared" si="17"/>
        <v>0</v>
      </c>
      <c r="K31" s="26">
        <f t="shared" si="18"/>
        <v>0</v>
      </c>
      <c r="L31" s="26">
        <f t="shared" si="19"/>
        <v>16</v>
      </c>
      <c r="M31" s="26">
        <f t="shared" si="7"/>
        <v>0</v>
      </c>
      <c r="N31" s="26">
        <f t="shared" si="20"/>
        <v>0</v>
      </c>
      <c r="O31" s="26">
        <f t="shared" si="21"/>
        <v>0</v>
      </c>
      <c r="P31" s="26">
        <f t="shared" si="22"/>
        <v>16</v>
      </c>
      <c r="Q31" s="26">
        <f t="shared" si="23"/>
        <v>0</v>
      </c>
      <c r="R31" s="81" t="str">
        <f t="shared" si="24"/>
        <v/>
      </c>
      <c r="T31" s="43"/>
      <c r="U31" s="46"/>
      <c r="V31" s="46"/>
      <c r="W31" s="46"/>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25">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25"/>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25"/>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25"/>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25"/>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25"/>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25"/>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25"/>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25"/>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25"/>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25"/>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25"/>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25"/>
        <v>0</v>
      </c>
      <c r="N53" s="26">
        <f t="shared" si="8"/>
        <v>0</v>
      </c>
      <c r="O53" s="26">
        <f t="shared" si="9"/>
        <v>0</v>
      </c>
      <c r="P53" s="26">
        <f t="shared" si="10"/>
        <v>0</v>
      </c>
      <c r="Q53" s="26">
        <f t="shared" si="11"/>
        <v>0</v>
      </c>
      <c r="R53" s="81" t="str">
        <f t="shared" si="12"/>
        <v/>
      </c>
    </row>
    <row r="54" spans="1:25" x14ac:dyDescent="0.25">
      <c r="A54" s="64" t="s">
        <v>47</v>
      </c>
      <c r="B54" s="9">
        <f>SUM(B21:B53)</f>
        <v>310</v>
      </c>
      <c r="F54" s="9">
        <f>SUM(F21:F53)</f>
        <v>310</v>
      </c>
      <c r="G54" s="2"/>
      <c r="H54" s="9">
        <f>SUM(H21:H53)</f>
        <v>0</v>
      </c>
      <c r="I54" s="9">
        <f t="shared" ref="I54:Q54" si="26">SUM(I21:I53)</f>
        <v>243</v>
      </c>
      <c r="J54" s="9">
        <f t="shared" si="26"/>
        <v>67</v>
      </c>
      <c r="K54" s="9">
        <f t="shared" si="26"/>
        <v>188</v>
      </c>
      <c r="L54" s="9">
        <f t="shared" si="26"/>
        <v>122</v>
      </c>
      <c r="M54" s="9">
        <f t="shared" si="26"/>
        <v>0</v>
      </c>
      <c r="N54" s="9">
        <f t="shared" si="26"/>
        <v>0</v>
      </c>
      <c r="O54" s="9">
        <f t="shared" si="26"/>
        <v>11</v>
      </c>
      <c r="P54" s="9">
        <f t="shared" si="26"/>
        <v>92</v>
      </c>
      <c r="Q54" s="9">
        <f t="shared" si="26"/>
        <v>207</v>
      </c>
    </row>
  </sheetData>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abSelected="1" topLeftCell="A22" zoomScale="70" zoomScaleNormal="70" workbookViewId="0">
      <selection activeCell="A58" sqref="A58"/>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v>43361</v>
      </c>
      <c r="C5" s="209"/>
      <c r="D5" s="87"/>
      <c r="E5" s="65"/>
      <c r="F5" s="92"/>
      <c r="G5" s="85" t="s">
        <v>875</v>
      </c>
      <c r="H5" s="85"/>
      <c r="I5" s="85"/>
      <c r="J5" s="85"/>
      <c r="K5" s="85"/>
      <c r="L5" s="85"/>
      <c r="M5" s="85"/>
      <c r="N5" s="85"/>
      <c r="O5" s="85"/>
      <c r="P5" s="85"/>
    </row>
    <row r="6" spans="1:16" ht="15" x14ac:dyDescent="0.2">
      <c r="A6" s="65" t="s">
        <v>830</v>
      </c>
      <c r="B6" s="208">
        <f>'Enter field data'!B6</f>
        <v>42597</v>
      </c>
      <c r="C6" s="209"/>
      <c r="D6" s="87"/>
      <c r="E6" s="65"/>
      <c r="F6" s="93"/>
      <c r="G6" s="85" t="s">
        <v>876</v>
      </c>
      <c r="H6" s="85"/>
      <c r="I6" s="85"/>
      <c r="J6" s="85"/>
      <c r="K6" s="85"/>
      <c r="L6" s="85"/>
      <c r="M6" s="85"/>
      <c r="N6" s="85"/>
      <c r="O6" s="85"/>
      <c r="P6" s="85"/>
    </row>
    <row r="7" spans="1:16" x14ac:dyDescent="0.2">
      <c r="A7" s="65" t="s">
        <v>869</v>
      </c>
      <c r="B7" s="206">
        <f>'Enter field data'!B7</f>
        <v>10046990</v>
      </c>
      <c r="C7" s="210"/>
      <c r="D7" s="87"/>
      <c r="E7" s="65"/>
      <c r="F7" s="65"/>
    </row>
    <row r="8" spans="1:16" x14ac:dyDescent="0.2">
      <c r="A8" s="65" t="s">
        <v>872</v>
      </c>
      <c r="B8" s="206" t="str">
        <f>'Enter field data'!B8</f>
        <v>Black River 25m US Dietz Rd</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Black River</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2836900</v>
      </c>
      <c r="C14" s="210"/>
      <c r="D14" s="87"/>
      <c r="E14" s="65"/>
      <c r="F14" s="94"/>
    </row>
    <row r="15" spans="1:16" ht="15" x14ac:dyDescent="0.2">
      <c r="A15" s="65" t="s">
        <v>863</v>
      </c>
      <c r="B15" s="211" t="str">
        <f>'Enter field data'!B15</f>
        <v>0401030103</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Cool-Warm Headwater</v>
      </c>
      <c r="E18" s="174"/>
      <c r="F18" s="68"/>
      <c r="I18" s="143"/>
      <c r="J18" s="68"/>
      <c r="K18" s="68"/>
      <c r="L18" s="68"/>
      <c r="M18" s="68"/>
      <c r="N18" s="68"/>
    </row>
    <row r="19" spans="1:30" ht="12.75" customHeight="1" x14ac:dyDescent="0.2">
      <c r="A19" s="196" t="s">
        <v>850</v>
      </c>
      <c r="B19" s="196"/>
      <c r="C19" s="197"/>
      <c r="D19" s="198" t="s">
        <v>918</v>
      </c>
      <c r="E19" s="199"/>
      <c r="F19" s="95"/>
      <c r="I19" s="191"/>
      <c r="J19" s="191"/>
      <c r="K19" s="191"/>
      <c r="L19" s="145"/>
      <c r="M19" s="145"/>
      <c r="N19" s="144"/>
    </row>
    <row r="20" spans="1:30" x14ac:dyDescent="0.2">
      <c r="A20" s="65" t="s">
        <v>851</v>
      </c>
      <c r="B20" s="65"/>
      <c r="C20" s="67"/>
      <c r="D20" s="192" t="s">
        <v>23</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Cool-Warm Headwater</v>
      </c>
      <c r="E29" s="174"/>
      <c r="H29" s="150"/>
      <c r="I29" s="102" t="s">
        <v>913</v>
      </c>
      <c r="L29" s="177" t="s">
        <v>24</v>
      </c>
      <c r="M29" s="178"/>
      <c r="N29" s="11"/>
      <c r="P29" s="102" t="s">
        <v>914</v>
      </c>
      <c r="S29" s="177" t="s">
        <v>21</v>
      </c>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188</v>
      </c>
      <c r="E36" s="113" t="s">
        <v>12</v>
      </c>
      <c r="F36" s="114">
        <f>'Enter field data'!$O$54</f>
        <v>11</v>
      </c>
      <c r="H36" s="150"/>
      <c r="I36" s="110" t="s">
        <v>6</v>
      </c>
      <c r="J36" s="83">
        <f>'Enter field data'!$H$54</f>
        <v>0</v>
      </c>
      <c r="K36" s="111" t="s">
        <v>9</v>
      </c>
      <c r="L36" s="112">
        <f>'Enter field data'!$K$54</f>
        <v>188</v>
      </c>
      <c r="M36" s="113" t="s">
        <v>12</v>
      </c>
      <c r="N36" s="114">
        <f>'Enter field data'!$O$54</f>
        <v>11</v>
      </c>
      <c r="P36" s="110" t="s">
        <v>6</v>
      </c>
      <c r="Q36" s="83">
        <f>'Enter field data'!$H$54</f>
        <v>0</v>
      </c>
      <c r="R36" s="111" t="s">
        <v>9</v>
      </c>
      <c r="S36" s="112">
        <f>'Enter field data'!$K$54</f>
        <v>188</v>
      </c>
      <c r="T36" s="113" t="s">
        <v>12</v>
      </c>
      <c r="U36" s="114">
        <f>'Enter field data'!$O$54</f>
        <v>11</v>
      </c>
      <c r="W36" s="110" t="s">
        <v>6</v>
      </c>
      <c r="X36" s="83">
        <f>'Enter field data'!$H$54</f>
        <v>0</v>
      </c>
      <c r="Y36" s="111" t="s">
        <v>9</v>
      </c>
      <c r="Z36" s="112">
        <f>'Enter field data'!$K$54</f>
        <v>188</v>
      </c>
      <c r="AA36" s="113" t="s">
        <v>12</v>
      </c>
      <c r="AB36" s="114">
        <f>'Enter field data'!$O$54</f>
        <v>11</v>
      </c>
    </row>
    <row r="37" spans="1:28" x14ac:dyDescent="0.2">
      <c r="A37" s="110" t="s">
        <v>7</v>
      </c>
      <c r="B37" s="83">
        <f>'Enter field data'!$I$54</f>
        <v>243</v>
      </c>
      <c r="C37" s="111" t="s">
        <v>10</v>
      </c>
      <c r="D37" s="112">
        <f>'Enter field data'!$L$54</f>
        <v>122</v>
      </c>
      <c r="E37" s="113" t="s">
        <v>13</v>
      </c>
      <c r="F37" s="114">
        <f>'Enter field data'!$P$54</f>
        <v>92</v>
      </c>
      <c r="H37" s="150"/>
      <c r="I37" s="110" t="s">
        <v>7</v>
      </c>
      <c r="J37" s="83">
        <f>'Enter field data'!$I$54</f>
        <v>243</v>
      </c>
      <c r="K37" s="111" t="s">
        <v>10</v>
      </c>
      <c r="L37" s="112">
        <f>'Enter field data'!$L$54</f>
        <v>122</v>
      </c>
      <c r="M37" s="113" t="s">
        <v>13</v>
      </c>
      <c r="N37" s="114">
        <f>'Enter field data'!$P$54</f>
        <v>92</v>
      </c>
      <c r="P37" s="110" t="s">
        <v>7</v>
      </c>
      <c r="Q37" s="83">
        <f>'Enter field data'!$I$54</f>
        <v>243</v>
      </c>
      <c r="R37" s="111" t="s">
        <v>10</v>
      </c>
      <c r="S37" s="112">
        <f>'Enter field data'!$L$54</f>
        <v>122</v>
      </c>
      <c r="T37" s="113" t="s">
        <v>13</v>
      </c>
      <c r="U37" s="114">
        <f>'Enter field data'!$P$54</f>
        <v>92</v>
      </c>
      <c r="W37" s="110" t="s">
        <v>7</v>
      </c>
      <c r="X37" s="83">
        <f>'Enter field data'!$I$54</f>
        <v>243</v>
      </c>
      <c r="Y37" s="111" t="s">
        <v>10</v>
      </c>
      <c r="Z37" s="112">
        <f>'Enter field data'!$L$54</f>
        <v>122</v>
      </c>
      <c r="AA37" s="113" t="s">
        <v>13</v>
      </c>
      <c r="AB37" s="114">
        <f>'Enter field data'!$P$54</f>
        <v>92</v>
      </c>
    </row>
    <row r="38" spans="1:28" x14ac:dyDescent="0.2">
      <c r="A38" s="110" t="s">
        <v>8</v>
      </c>
      <c r="B38" s="83">
        <f>'Enter field data'!$J$54</f>
        <v>67</v>
      </c>
      <c r="C38" s="111" t="s">
        <v>11</v>
      </c>
      <c r="D38" s="112">
        <f>'Enter field data'!$N$54</f>
        <v>0</v>
      </c>
      <c r="E38" s="113" t="s">
        <v>14</v>
      </c>
      <c r="F38" s="114">
        <f>'Enter field data'!$Q$54</f>
        <v>207</v>
      </c>
      <c r="H38" s="150"/>
      <c r="I38" s="110" t="s">
        <v>8</v>
      </c>
      <c r="J38" s="83">
        <f>'Enter field data'!$J$54</f>
        <v>67</v>
      </c>
      <c r="K38" s="111" t="s">
        <v>11</v>
      </c>
      <c r="L38" s="112">
        <f>'Enter field data'!$N$54</f>
        <v>0</v>
      </c>
      <c r="M38" s="113" t="s">
        <v>14</v>
      </c>
      <c r="N38" s="114">
        <f>'Enter field data'!$Q$54</f>
        <v>207</v>
      </c>
      <c r="P38" s="110" t="s">
        <v>8</v>
      </c>
      <c r="Q38" s="83">
        <f>'Enter field data'!$J$54</f>
        <v>67</v>
      </c>
      <c r="R38" s="111" t="s">
        <v>11</v>
      </c>
      <c r="S38" s="112">
        <f>'Enter field data'!$N$54</f>
        <v>0</v>
      </c>
      <c r="T38" s="113" t="s">
        <v>14</v>
      </c>
      <c r="U38" s="114">
        <f>'Enter field data'!$Q$54</f>
        <v>207</v>
      </c>
      <c r="W38" s="110" t="s">
        <v>8</v>
      </c>
      <c r="X38" s="83">
        <f>'Enter field data'!$J$54</f>
        <v>67</v>
      </c>
      <c r="Y38" s="111" t="s">
        <v>11</v>
      </c>
      <c r="Z38" s="112">
        <f>'Enter field data'!$N$54</f>
        <v>0</v>
      </c>
      <c r="AA38" s="113" t="s">
        <v>14</v>
      </c>
      <c r="AB38" s="114">
        <f>'Enter field data'!$Q$54</f>
        <v>207</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f>VLOOKUP(S$29,'Expected guild %'!$A$5:$G$13,2,FALSE)</f>
        <v>0.05</v>
      </c>
      <c r="S44" s="120">
        <f>VLOOKUP(S$29,'Expected guild %'!$A$5:$G$13,3,FALSE)</f>
        <v>0.75</v>
      </c>
      <c r="T44" s="121" t="str">
        <f>IF(AND(R44&lt;=Q44,Q44&lt;= S44)=TRUE,"Y","N")</f>
        <v>N</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0.78387096774193543</v>
      </c>
      <c r="C45" s="120">
        <f>VLOOKUP($D$29,'Expected guild %'!$A$5:$G$13,4,FALSE)</f>
        <v>0.25</v>
      </c>
      <c r="D45" s="120">
        <f>VLOOKUP($D$29,'Expected guild %'!$A$5:$G$13,5,FALSE)</f>
        <v>1</v>
      </c>
      <c r="E45" s="121" t="str">
        <f>IF(AND(C45&lt;=B45,B45&lt;= D45)=TRUE,"Y","N")</f>
        <v>Y</v>
      </c>
      <c r="F45" s="65"/>
      <c r="H45" s="150"/>
      <c r="I45" s="110" t="s">
        <v>7</v>
      </c>
      <c r="J45" s="119">
        <f>($B$37/'Enter field data'!$F$54)</f>
        <v>0.78387096774193543</v>
      </c>
      <c r="K45" s="120">
        <f>VLOOKUP(L$29,'Expected guild %'!$A$5:$G$13,4,FALSE)</f>
        <v>0.25</v>
      </c>
      <c r="L45" s="120">
        <f>VLOOKUP(L$29,'Expected guild %'!$A$5:$G$13,5,FALSE)</f>
        <v>1</v>
      </c>
      <c r="M45" s="121" t="str">
        <f>IF(AND(K45&lt;=J45,J45&lt;= L45)=TRUE,"Y","N")</f>
        <v>Y</v>
      </c>
      <c r="N45" s="65"/>
      <c r="P45" s="110" t="s">
        <v>7</v>
      </c>
      <c r="Q45" s="119">
        <f>($B$37/'Enter field data'!$F$54)</f>
        <v>0.78387096774193543</v>
      </c>
      <c r="R45" s="120">
        <f>VLOOKUP(S$29,'Expected guild %'!$A$5:$G$13,4,FALSE)</f>
        <v>0.25</v>
      </c>
      <c r="S45" s="120">
        <f>VLOOKUP(S$29,'Expected guild %'!$A$5:$G$13,5,FALSE)</f>
        <v>1</v>
      </c>
      <c r="T45" s="121" t="str">
        <f>IF(AND(R45&lt;=Q45,Q45&lt;= S45)=TRUE,"Y","N")</f>
        <v>Y</v>
      </c>
      <c r="U45" s="65"/>
      <c r="W45" s="110" t="s">
        <v>7</v>
      </c>
      <c r="X45" s="119">
        <f>($B$37/'Enter field data'!$F$54)</f>
        <v>0.78387096774193543</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0.21612903225806451</v>
      </c>
      <c r="C46" s="120">
        <f>VLOOKUP($D$29,'Expected guild %'!$A$5:$G$13,6,FALSE)</f>
        <v>0</v>
      </c>
      <c r="D46" s="120">
        <f>VLOOKUP($D$29,'Expected guild %'!$A$5:$G$13,7,FALSE)</f>
        <v>0.75</v>
      </c>
      <c r="E46" s="121" t="str">
        <f>IF(AND(C46&lt;=B46,B46&lt;= D46)=TRUE,"Y","N")</f>
        <v>Y</v>
      </c>
      <c r="F46" s="65"/>
      <c r="H46" s="150"/>
      <c r="I46" s="110" t="s">
        <v>8</v>
      </c>
      <c r="J46" s="119">
        <f>($B$38/'Enter field data'!$F$54)</f>
        <v>0.21612903225806451</v>
      </c>
      <c r="K46" s="120">
        <f>VLOOKUP(L$29,'Expected guild %'!$A$5:$G$13,6,FALSE)</f>
        <v>0</v>
      </c>
      <c r="L46" s="120">
        <f>VLOOKUP(L$29,'Expected guild %'!$A$5:$G$13,7,FALSE)</f>
        <v>0.75</v>
      </c>
      <c r="M46" s="121" t="str">
        <f>IF(AND(K46&lt;=J46,J46&lt;= L46)=TRUE,"Y","N")</f>
        <v>Y</v>
      </c>
      <c r="N46" s="65"/>
      <c r="P46" s="110" t="s">
        <v>8</v>
      </c>
      <c r="Q46" s="119">
        <f>($B$38/'Enter field data'!$F$54)</f>
        <v>0.21612903225806451</v>
      </c>
      <c r="R46" s="120">
        <f>VLOOKUP(S$29,'Expected guild %'!$A$5:$G$13,6,FALSE)</f>
        <v>0</v>
      </c>
      <c r="S46" s="120">
        <f>VLOOKUP(S$29,'Expected guild %'!$A$5:$G$13,7,FALSE)</f>
        <v>0.25</v>
      </c>
      <c r="T46" s="121" t="str">
        <f>IF(AND(R46&lt;=Q46,Q46&lt;= S46)=TRUE,"Y","N")</f>
        <v>Y</v>
      </c>
      <c r="U46" s="65"/>
      <c r="W46" s="110" t="s">
        <v>8</v>
      </c>
      <c r="X46" s="119">
        <f>($B$38/'Enter field data'!$F$54)</f>
        <v>0.21612903225806451</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0.6064516129032258</v>
      </c>
      <c r="C51" s="122">
        <f>VLOOKUP($D$29,'Expected guild %'!$A$19:$G$27,2,FALSE)</f>
        <v>0.5</v>
      </c>
      <c r="D51" s="120">
        <f>VLOOKUP($D$29,'Expected guild %'!$A$19:$G$27,3,FALSE)</f>
        <v>1</v>
      </c>
      <c r="E51" s="121" t="str">
        <f>IF(AND(C51&lt;=B51,B51&lt;= D51)=TRUE,"Y","N")</f>
        <v>Y</v>
      </c>
      <c r="F51" s="65"/>
      <c r="H51" s="150"/>
      <c r="I51" s="110" t="s">
        <v>9</v>
      </c>
      <c r="J51" s="120">
        <f>($D$36/'Enter field data'!$F$54)</f>
        <v>0.6064516129032258</v>
      </c>
      <c r="K51" s="122">
        <f>VLOOKUP(L$29,'Expected guild %'!$A$19:$G$27,2,FALSE)</f>
        <v>0</v>
      </c>
      <c r="L51" s="120">
        <f>VLOOKUP(L$29,'Expected guild %'!$A$19:$G$27,3,FALSE)</f>
        <v>0.5</v>
      </c>
      <c r="M51" s="121" t="str">
        <f>IF(AND(K51&lt;=J51,J51&lt;= L51)=TRUE,"Y","N")</f>
        <v>N</v>
      </c>
      <c r="N51" s="65"/>
      <c r="P51" s="110" t="s">
        <v>9</v>
      </c>
      <c r="Q51" s="120">
        <f>($D$36/'Enter field data'!$F$54)</f>
        <v>0.6064516129032258</v>
      </c>
      <c r="R51" s="122">
        <f>VLOOKUP(S$29,'Expected guild %'!$A$19:$G$27,2,FALSE)</f>
        <v>0.5</v>
      </c>
      <c r="S51" s="120">
        <f>VLOOKUP(S$29,'Expected guild %'!$A$19:$G$27,3,FALSE)</f>
        <v>1</v>
      </c>
      <c r="T51" s="121" t="str">
        <f>IF(AND(R51&lt;=Q51,Q51&lt;= S51)=TRUE,"Y","N")</f>
        <v>Y</v>
      </c>
      <c r="U51" s="65"/>
      <c r="W51" s="110" t="s">
        <v>9</v>
      </c>
      <c r="X51" s="120">
        <f>($D$36/'Enter field data'!$F$54)</f>
        <v>0.6064516129032258</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0.3935483870967742</v>
      </c>
      <c r="C52" s="122">
        <f>VLOOKUP($D$29,'Expected guild %'!$A$19:$G$27,4,FALSE)</f>
        <v>0</v>
      </c>
      <c r="D52" s="120">
        <f>VLOOKUP($D$29,'Expected guild %'!$A$19:$G$27,5,FALSE)</f>
        <v>0.5</v>
      </c>
      <c r="E52" s="121" t="str">
        <f>IF(AND(C52&lt;=B52,B52&lt;= D52)=TRUE,"Y","N")</f>
        <v>Y</v>
      </c>
      <c r="F52" s="65"/>
      <c r="H52" s="150"/>
      <c r="I52" s="110" t="s">
        <v>10</v>
      </c>
      <c r="J52" s="120">
        <f>($D$37/'Enter field data'!$F$54)</f>
        <v>0.3935483870967742</v>
      </c>
      <c r="K52" s="122">
        <f>VLOOKUP(L$29,'Expected guild %'!$A$19:$G$27,4,FALSE)</f>
        <v>0.5</v>
      </c>
      <c r="L52" s="120">
        <f>VLOOKUP(L$29,'Expected guild %'!$A$19:$G$27,5,FALSE)</f>
        <v>1</v>
      </c>
      <c r="M52" s="121" t="str">
        <f>IF(AND(K52&lt;=J52,J52&lt;= L52)=TRUE,"Y","N")</f>
        <v>N</v>
      </c>
      <c r="N52" s="65"/>
      <c r="P52" s="110" t="s">
        <v>10</v>
      </c>
      <c r="Q52" s="120">
        <f>($D$37/'Enter field data'!$F$54)</f>
        <v>0.3935483870967742</v>
      </c>
      <c r="R52" s="122">
        <f>VLOOKUP(S$29,'Expected guild %'!$A$19:$G$27,4,FALSE)</f>
        <v>0</v>
      </c>
      <c r="S52" s="120">
        <f>VLOOKUP(S$29,'Expected guild %'!$A$19:$G$27,5,FALSE)</f>
        <v>0.5</v>
      </c>
      <c r="T52" s="121" t="str">
        <f>IF(AND(R52&lt;=Q52,Q52&lt;= S52)=TRUE,"Y","N")</f>
        <v>Y</v>
      </c>
      <c r="U52" s="65"/>
      <c r="W52" s="110" t="s">
        <v>10</v>
      </c>
      <c r="X52" s="120">
        <f>($D$37/'Enter field data'!$F$54)</f>
        <v>0.3935483870967742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0.5</v>
      </c>
      <c r="M53" s="121" t="str">
        <f>IF(AND(K53&lt;=J53,J53&lt;= L53)=TRUE,"Y","N")</f>
        <v>Y</v>
      </c>
      <c r="N53" s="65"/>
      <c r="P53" s="110" t="s">
        <v>11</v>
      </c>
      <c r="Q53" s="120">
        <f>($D$38/'Enter field data'!$F$54)</f>
        <v>0</v>
      </c>
      <c r="R53" s="122">
        <f>VLOOKUP(S$29,'Expected guild %'!$A$19:$G$27,6,FALSE)</f>
        <v>0</v>
      </c>
      <c r="S53" s="120">
        <f>VLOOKUP(S$29,'Expected guild %'!$A$19:$G$27,7,FALSE)</f>
        <v>0.1</v>
      </c>
      <c r="T53" s="121" t="str">
        <f>IF(AND(R53&lt;=Q53,Q53&lt;= S53)=TRUE,"Y","N")</f>
        <v>Y</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3.5483870967741936E-2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0.29677419354838708</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0.66774193548387095</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f>'Weather Results'!$C$18</f>
        <v>17.441500000000001</v>
      </c>
      <c r="H89" s="150"/>
    </row>
    <row r="90" spans="1:23" x14ac:dyDescent="0.2">
      <c r="A90" s="205"/>
      <c r="B90" s="71" t="s">
        <v>819</v>
      </c>
      <c r="C90" s="72"/>
      <c r="D90" s="73">
        <f>'Weather Results'!$C$19</f>
        <v>21.072959999999998</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f>'Weather Results'!$C$27</f>
        <v>2.0553620000000001</v>
      </c>
      <c r="H98" s="150"/>
    </row>
    <row r="99" spans="1:8" x14ac:dyDescent="0.2">
      <c r="A99" s="204"/>
      <c r="B99" s="71" t="s">
        <v>828</v>
      </c>
      <c r="C99" s="72"/>
      <c r="D99" s="73">
        <f>'Weather Results'!$C$28</f>
        <v>3.8555650000000004</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42597</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20160815</v>
      </c>
    </row>
    <row r="5" spans="1:5" hidden="1" x14ac:dyDescent="0.25">
      <c r="A5" s="37"/>
      <c r="B5" s="37" t="s">
        <v>805</v>
      </c>
      <c r="C5" s="50" t="str">
        <f>CONCATENATE(YEAR(C1-30),IF(MONTH(C1-30)&lt;10,"0"&amp;MONTH(C1-30),MONTH(C1-30)),IF(DAY(C1-30)&lt;10,"0"&amp;DAY(C1-30),DAY(C1-30)))</f>
        <v>20160716</v>
      </c>
    </row>
    <row r="6" spans="1:5" hidden="1" x14ac:dyDescent="0.25">
      <c r="A6" s="37"/>
      <c r="B6" s="37" t="s">
        <v>806</v>
      </c>
      <c r="C6" s="50" t="str">
        <f>CONCATENATE(YEAR(C1-90),IF(MONTH(C1-90)&lt;10,"0"&amp;MONTH(C1-90),MONTH(C1-90)),IF(DAY(C1-90)&lt;10,"0"&amp;DAY(C1-90),DAY(C1-90)))</f>
        <v>20160517</v>
      </c>
    </row>
    <row r="7" spans="1:5" hidden="1" x14ac:dyDescent="0.25">
      <c r="A7" s="37"/>
      <c r="B7" s="37" t="s">
        <v>807</v>
      </c>
      <c r="C7" s="50" t="str">
        <f>CONCATENATE(YEAR(C1-365),IF(MONTH(C1-365)&lt;10,"0"&amp;MONTH(C1-365),MONTH(C1-365)),IF(DAY(C1-365)&lt;10,"0"&amp;DAY(C1-365),DAY(C1-365)))</f>
        <v>20150816</v>
      </c>
    </row>
    <row r="8" spans="1:5" hidden="1" x14ac:dyDescent="0.25">
      <c r="A8" s="37"/>
      <c r="B8" s="37" t="s">
        <v>808</v>
      </c>
      <c r="C8" s="50" t="str">
        <f>CONCATENATE(YEAR(C1-1460),IF(MONTH(C1-1460)&lt;10,"0"&amp;MONTH(C1-1460),MONTH(C1-1460)),IF(DAY(C1-1460)&lt;10,"0"&amp;DAY(C1-1460),DAY(C1-1460)))</f>
        <v>20120816</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15</v>
      </c>
    </row>
    <row r="13" spans="1:5" hidden="1" x14ac:dyDescent="0.25">
      <c r="A13" s="37"/>
      <c r="B13" s="37" t="s">
        <v>813</v>
      </c>
      <c r="C13" s="50">
        <f>IF(MONTH($C$1)=8,DAY($C$1),0)+IF(MONTH($C$1)=9,30-DAY($C$1),0)</f>
        <v>15</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17.441500000000001</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21.072959999999998</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2.0553620000000001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3.8555650000000004</v>
      </c>
    </row>
    <row r="29" spans="1:3" x14ac:dyDescent="0.25">
      <c r="A29" s="214"/>
      <c r="B29" s="62" t="s">
        <v>829</v>
      </c>
      <c r="C29" s="63" t="e">
        <f>IF(C26&gt;C28,"WET",IF(C26&lt;C27,"DRY","NO"))</f>
        <v>#DIV/0!</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22" workbookViewId="0">
      <selection activeCell="A38" sqref="A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2018-09-20T17:26:40Z</dcterms:modified>
</cp:coreProperties>
</file>