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Pokegama NC\"/>
    </mc:Choice>
  </mc:AlternateContent>
  <xr:revisionPtr revIDLastSave="0" documentId="10_ncr:100000_{6D4D9141-9FC0-4769-BA90-A1B13CF2BE9A}"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G29" i="1"/>
  <c r="Q29" i="1" s="1"/>
  <c r="O31" i="1"/>
  <c r="M31" i="1"/>
  <c r="F31" i="1" s="1"/>
  <c r="M30" i="1"/>
  <c r="F30" i="1" s="1"/>
  <c r="G30" i="1"/>
  <c r="Q30" i="1" s="1"/>
  <c r="K30" i="1"/>
  <c r="H30" i="1"/>
  <c r="M38" i="1"/>
  <c r="F38" i="1" s="1"/>
  <c r="H31" i="1"/>
  <c r="H52" i="1"/>
  <c r="H48" i="1"/>
  <c r="H44" i="1"/>
  <c r="J29" i="1"/>
  <c r="C29" i="9"/>
  <c r="D100" i="4" s="1"/>
  <c r="O30" i="1"/>
  <c r="J30" i="1"/>
  <c r="M29" i="1"/>
  <c r="F29" i="1" s="1"/>
  <c r="K31" i="1"/>
  <c r="G31" i="1"/>
  <c r="J31" i="1" s="1"/>
  <c r="N29" i="1"/>
  <c r="O29" i="1"/>
  <c r="L31"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O33"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28" i="1"/>
  <c r="G28" i="1"/>
  <c r="H28" i="1" s="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7" i="1" l="1"/>
  <c r="L26" i="1"/>
  <c r="J25" i="1"/>
  <c r="L28" i="1"/>
  <c r="I30" i="1"/>
  <c r="I29" i="1"/>
  <c r="P32" i="1"/>
  <c r="P29" i="1"/>
  <c r="N28" i="1"/>
  <c r="P30" i="1"/>
  <c r="N30" i="1"/>
  <c r="P28" i="1"/>
  <c r="K27" i="1"/>
  <c r="I31" i="1"/>
  <c r="P31" i="1"/>
  <c r="N31" i="1"/>
  <c r="P33" i="1"/>
  <c r="L33" i="1"/>
  <c r="K32" i="1"/>
  <c r="I26" i="1"/>
  <c r="L30" i="1"/>
  <c r="L29" i="1"/>
  <c r="K26" i="1"/>
  <c r="Q28" i="1"/>
  <c r="I28" i="1"/>
  <c r="I32"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<sst xmlns="http://schemas.openxmlformats.org/spreadsheetml/2006/main" count="2053" uniqueCount="942">
  <si>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</si>
  <si>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</si>
  <si>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</si>
  <si>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</si>
  <si>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</si>
  <si>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</si>
  <si>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</si>
  <si>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</si>
  <si>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</si>
  <si>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</si>
  <si>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</si>
  <si>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</si>
  <si>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</si>
  <si>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</si>
  <si>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</si>
  <si>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</si>
  <si>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</si>
  <si>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</si>
  <si>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</si>
  <si>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</si>
  <si>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</si>
  <si>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</si>
  <si>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</si>
  <si>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</si>
  <si>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</si>
  <si>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</si>
  <si>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</si>
  <si>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</si>
  <si>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</si>
  <si>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</si>
  <si>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</si>
  <si>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</si>
  <si>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</si>
  <si>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</si>
  <si>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</si>
  <si>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</si>
  <si>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</si>
  <si>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</si>
  <si>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</si>
  <si>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</si>
  <si>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</si>
  <si>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</si>
  <si>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</si>
  <si>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</si>
  <si>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</si>
  <si>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</si>
  <si>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</si>
  <si>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</si>
  <si>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</si>
  <si>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</si>
  <si>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</si>
  <si>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</si>
  <si>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</si>
  <si>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</si>
  <si>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</si>
  <si>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</si>
  <si>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</si>
  <si>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</si>
  <si>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</si>
  <si>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</si>
  <si>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</si>
  <si>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</si>
  <si>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</si>
  <si>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</si>
  <si>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</si>
  <si>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</si>
  <si>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</si>
  <si>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</si>
  <si>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</si>
  <si>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</si>
  <si>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</si>
  <si>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</si>
  <si>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</si>
  <si>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</si>
  <si>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</si>
  <si>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</si>
  <si>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</si>
  <si>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</si>
  <si>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</si>
  <si>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</si>
  <si>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</si>
  <si>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</si>
  <si>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</si>
  <si>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</si>
  <si>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</si>
  <si>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</si>
  <si>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</si>
  <si>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</si>
  <si>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</si>
  <si>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</si>
  <si>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</si>
  <si>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</si>
  <si>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</si>
  <si>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</si>
  <si>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</si>
  <si>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</si>
  <si>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</si>
  <si>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</si>
  <si>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</si>
  <si>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</si>
  <si>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</si>
  <si>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</si>
  <si>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</si>
  <si>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</si>
  <si>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</si>
  <si>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</si>
  <si>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</si>
  <si>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</si>
  <si>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</si>
  <si>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</si>
  <si>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</si>
  <si>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</si>
  <si>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</si>
  <si>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</si>
  <si>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</si>
  <si>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</si>
  <si>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</si>
  <si>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</si>
  <si>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</si>
  <si>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</si>
  <si>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</si>
  <si>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</si>
  <si>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</si>
  <si>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</si>
  <si>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</si>
  <si>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</si>
  <si>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</si>
  <si>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</si>
  <si>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</si>
  <si>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</si>
  <si>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</si>
  <si>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</si>
  <si>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</si>
  <si>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</si>
  <si>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</si>
  <si>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</si>
  <si>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</si>
  <si>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</si>
  <si>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</si>
  <si>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</si>
  <si>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</si>
  <si>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</si>
  <si>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</si>
  <si>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</si>
  <si>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</si>
  <si>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</si>
  <si>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</si>
  <si>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</si>
  <si>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</si>
  <si>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</si>
  <si>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</si>
  <si>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</si>
  <si>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</si>
  <si>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</si>
  <si>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</si>
  <si>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</si>
  <si>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</si>
  <si>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</si>
  <si>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</si>
  <si>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</si>
  <si>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</si>
  <si>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</si>
  <si>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</si>
  <si>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</si>
  <si>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</si>
  <si>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</si>
  <si>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</si>
  <si>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</si>
  <si>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</si>
  <si>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</si>
  <si>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</si>
  <si>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</si>
  <si>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</si>
  <si>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</si>
  <si>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</si>
  <si>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</si>
  <si>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</si>
  <si>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</si>
  <si>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</si>
  <si>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</si>
  <si>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</si>
  <si>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</si>
  <si>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</si>
  <si>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</si>
  <si>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</si>
  <si>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</si>
  <si>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</si>
  <si>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</si>
  <si>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</si>
  <si>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</si>
  <si>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</si>
  <si>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</si>
  <si>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</si>
  <si>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</si>
  <si>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</si>
  <si>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</si>
  <si>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</si>
  <si>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</si>
  <si>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</si>
  <si>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</si>
  <si>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</si>
  <si>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</si>
  <si>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</si>
  <si>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</si>
  <si>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</si>
  <si>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</si>
  <si>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</si>
  <si>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</si>
  <si>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</si>
  <si>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</si>
  <si>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</si>
  <si>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</si>
  <si>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</si>
  <si>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</si>
  <si>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</si>
  <si>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</si>
  <si>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</si>
  <si>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</si>
  <si>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</si>
  <si>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</si>
  <si>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</si>
  <si>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</si>
  <si>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</si>
  <si>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</si>
  <si>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</si>
  <si>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</si>
  <si>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</si>
  <si>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</si>
  <si>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</si>
  <si>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</si>
  <si>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</si>
  <si>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</si>
  <si>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</si>
  <si>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</si>
  <si>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</si>
  <si>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</si>
  <si>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</si>
  <si>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</si>
  <si>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</si>
  <si>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</si>
  <si>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</si>
  <si>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</si>
  <si>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</si>
  <si>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</si>
  <si>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</si>
  <si>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</si>
  <si>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</si>
  <si>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</si>
  <si>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</si>
  <si>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</si>
  <si>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</si>
  <si>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</si>
  <si>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</si>
  <si>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</si>
  <si>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</si>
  <si>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</si>
  <si>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</si>
  <si>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</si>
  <si>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</si>
  <si>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</si>
  <si>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</si>
  <si>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</si>
  <si>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</si>
  <si>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</si>
  <si>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</si>
  <si>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</si>
  <si>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</si>
  <si>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</si>
  <si>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</si>
  <si>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</si>
  <si>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</si>
  <si>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</si>
  <si>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</si>
  <si>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</si>
  <si>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</si>
  <si>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</si>
  <si>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</si>
  <si>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</si>
  <si>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</si>
  <si>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</si>
  <si>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</si>
  <si>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</si>
  <si>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</si>
  <si>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</si>
  <si>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</si>
  <si>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</si>
  <si>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</si>
  <si>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</si>
  <si>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</si>
  <si>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</si>
  <si>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</si>
  <si>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</si>
  <si>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</si>
  <si>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</si>
  <si>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</si>
  <si>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</si>
  <si>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</si>
  <si>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</si>
  <si>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</si>
  <si>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</si>
  <si>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</si>
  <si>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</si>
  <si>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</si>
  <si>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</si>
  <si>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</si>
  <si>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</si>
  <si>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</si>
  <si>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</si>
  <si>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</si>
  <si>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</si>
  <si>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</si>
  <si>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</si>
  <si>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</si>
  <si>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</si>
  <si>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</si>
  <si>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</si>
  <si>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</si>
  <si>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</si>
  <si>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</si>
  <si>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</si>
  <si>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</si>
  <si>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</si>
  <si>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</si>
  <si>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</si>
  <si>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</si>
  <si>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</si>
  <si>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</si>
  <si>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</si>
  <si>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</si>
  <si>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</si>
  <si>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</si>
  <si>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</si>
  <si>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</si>
  <si>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</si>
  <si>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</si>
  <si>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</si>
  <si>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</si>
  <si>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</si>
  <si>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</si>
  <si>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</si>
  <si>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</si>
  <si>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</si>
  <si>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</si>
  <si>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</si>
  <si>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</si>
  <si>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</si>
  <si>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</si>
  <si>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</si>
  <si>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</si>
  <si>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</si>
  <si>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</si>
  <si>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</si>
  <si>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</si>
  <si>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</si>
  <si>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</si>
  <si>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</si>
  <si>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</si>
  <si>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</si>
  <si>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</si>
  <si>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</si>
  <si>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</si>
  <si>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</si>
  <si>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</si>
  <si>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</si>
  <si>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</si>
  <si>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</si>
  <si>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</si>
  <si>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</si>
  <si>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</si>
  <si>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</si>
  <si>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</si>
  <si>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</si>
  <si>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</si>
  <si>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</si>
  <si>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</si>
  <si>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</si>
  <si>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</si>
  <si>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</si>
  <si>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</si>
  <si>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</si>
  <si>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</si>
  <si>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</si>
  <si>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</si>
  <si>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</si>
  <si>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</si>
  <si>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</si>
  <si>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</si>
  <si>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</si>
  <si>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</si>
  <si>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</si>
  <si>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</si>
  <si>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</si>
  <si>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</si>
  <si>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</si>
  <si>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</si>
  <si>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</si>
  <si>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</si>
  <si>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</si>
  <si>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</si>
  <si>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</si>
  <si>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</si>
  <si>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</si>
  <si>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</si>
  <si>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</si>
  <si>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</si>
  <si>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</si>
  <si>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</si>
  <si>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</si>
  <si>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</si>
  <si>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</si>
  <si>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</si>
  <si>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</si>
  <si>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</si>
  <si>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</si>
  <si>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</si>
  <si>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</si>
  <si>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</si>
  <si>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</si>
  <si>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</si>
  <si>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</si>
  <si>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</si>
  <si>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</si>
  <si>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</si>
  <si>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</si>
  <si>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</si>
  <si>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</si>
  <si>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</si>
  <si>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</si>
  <si>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</si>
  <si>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</si>
  <si>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</si>
  <si>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</si>
  <si>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</si>
  <si>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</si>
  <si>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</si>
  <si>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</si>
  <si>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</si>
  <si>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</si>
  <si>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</si>
  <si>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</si>
  <si>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</si>
  <si>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</si>
  <si>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</si>
  <si>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</si>
  <si>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</si>
  <si>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</si>
  <si>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</si>
  <si>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</si>
  <si>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</si>
  <si>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</si>
  <si>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</si>
  <si>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</si>
  <si>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</si>
  <si>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</si>
  <si>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</si>
  <si>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</si>
  <si>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</si>
  <si>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</si>
  <si>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</si>
  <si>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</si>
  <si>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</si>
  <si>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</si>
  <si>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</si>
  <si>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</si>
  <si>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</si>
  <si>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</si>
  <si>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</si>
  <si>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</si>
  <si>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</si>
  <si>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</si>
  <si>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</si>
  <si>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</si>
  <si>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</si>
  <si>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</si>
  <si>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</si>
  <si>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</si>
  <si>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</si>
  <si>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</si>
  <si>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</si>
  <si>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</si>
  <si>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</si>
  <si>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</si>
  <si>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</si>
  <si>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</si>
  <si>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</si>
  <si>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</si>
  <si>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</si>
  <si>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</si>
  <si>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</si>
  <si>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</si>
  <si>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</si>
  <si>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</si>
  <si>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</si>
  <si>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</si>
  <si>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</si>
  <si>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</si>
  <si>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</si>
  <si>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</si>
  <si>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</si>
  <si>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</si>
  <si>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</si>
  <si>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</si>
  <si>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</si>
  <si>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</si>
  <si>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</si>
  <si>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</si>
  <si>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</si>
  <si>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</si>
  <si>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</si>
  <si>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</si>
  <si>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</si>
  <si>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</si>
  <si>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</si>
  <si>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</si>
  <si>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</si>
  <si>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</si>
  <si>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</si>
  <si>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</si>
  <si>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</si>
  <si>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</si>
  <si>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</si>
  <si>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</si>
  <si>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</si>
  <si>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</si>
  <si>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</si>
  <si>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</si>
  <si>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</si>
  <si>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</si>
  <si>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</si>
  <si>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</si>
  <si>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</si>
  <si>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</si>
  <si>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</si>
  <si>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</si>
  <si>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</si>
  <si>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</si>
  <si>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</si>
  <si>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</si>
  <si>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</si>
  <si>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</si>
  <si>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</si>
  <si>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</si>
  <si>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</si>
  <si>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</si>
  <si>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</si>
  <si>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</si>
  <si>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</si>
  <si>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</si>
  <si>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</si>
  <si>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</si>
  <si>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</si>
  <si>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</si>
  <si>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</si>
  <si>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</si>
  <si>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</si>
  <si>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</si>
  <si>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</si>
  <si>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</si>
  <si>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</si>
  <si>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</si>
  <si>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</si>
  <si>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</si>
  <si>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</si>
  <si>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</si>
  <si>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</si>
  <si>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</si>
  <si>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</si>
  <si>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</si>
  <si>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</si>
  <si>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</si>
  <si>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</si>
  <si>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</si>
  <si>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</si>
  <si>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</si>
  <si>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</si>
  <si>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</si>
  <si>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</si>
  <si>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</si>
  <si>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</si>
  <si>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</si>
  <si>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</si>
  <si>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</si>
  <si>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</si>
  <si>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</si>
  <si>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</si>
  <si>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</si>
  <si>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</si>
  <si>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</si>
  <si>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</si>
  <si>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</si>
  <si>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</si>
  <si>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</si>
  <si>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</si>
  <si>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</si>
  <si>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</si>
  <si>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</si>
  <si>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</si>
  <si>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</si>
  <si>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</si>
  <si>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</si>
  <si>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</si>
  <si>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</si>
  <si>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</si>
  <si>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</si>
  <si>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</si>
  <si>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</si>
  <si>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</si>
  <si>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</si>
  <si>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</si>
  <si>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</si>
  <si>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</si>
  <si>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</si>
  <si>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</si>
  <si>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</si>
  <si>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</si>
  <si>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</si>
  <si>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</si>
  <si>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</si>
  <si>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</si>
  <si>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</si>
  <si>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</si>
  <si>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</si>
  <si>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</si>
  <si>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</si>
  <si>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</si>
  <si>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</si>
  <si>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</si>
  <si>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</si>
  <si>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</si>
  <si>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</si>
  <si>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</si>
  <si>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</si>
  <si>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</si>
  <si>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</si>
  <si>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</si>
  <si>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</si>
  <si>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</si>
  <si>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</si>
  <si>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</si>
  <si>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</si>
  <si>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</si>
  <si>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</si>
  <si>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</si>
  <si>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</si>
  <si>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</si>
  <si>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</si>
  <si>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</si>
  <si>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</si>
  <si>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</si>
  <si>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</si>
  <si>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</si>
  <si>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</si>
  <si>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</si>
  <si>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</si>
  <si>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</si>
  <si>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</si>
  <si>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</si>
  <si>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</si>
  <si>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</si>
  <si>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</si>
  <si>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</si>
  <si>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</si>
  <si>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</si>
  <si>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</si>
  <si>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</si>
  <si>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</si>
  <si>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</si>
  <si>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</si>
  <si>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</si>
  <si>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</si>
  <si>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</si>
  <si>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</si>
  <si>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</si>
  <si>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</si>
  <si>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</si>
  <si>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</si>
  <si>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</si>
  <si>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</si>
  <si>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</si>
  <si>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</si>
  <si>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</si>
  <si>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</si>
  <si>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</si>
  <si>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</si>
  <si>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</si>
  <si>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</si>
  <si>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</si>
  <si>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</si>
  <si>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</si>
  <si>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</si>
  <si>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</si>
  <si>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</si>
  <si>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</si>
  <si>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</si>
  <si>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</si>
  <si>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</si>
  <si>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</si>
  <si>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</si>
  <si>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</si>
  <si>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</si>
  <si>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</si>
  <si>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</si>
  <si>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</si>
  <si>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</si>
  <si>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</si>
  <si>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</si>
  <si>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</si>
  <si>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</si>
  <si>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</si>
  <si>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</si>
  <si>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</si>
  <si>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</si>
  <si>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</si>
  <si>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</si>
  <si>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</si>
  <si>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</si>
  <si>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</si>
  <si>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</si>
  <si>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</si>
  <si>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</si>
  <si>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</si>
  <si>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</si>
  <si>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</si>
  <si>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</si>
  <si>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</si>
  <si>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</si>
  <si>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</si>
  <si>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</si>
  <si>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</si>
  <si>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</si>
  <si>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</si>
  <si>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</si>
  <si>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</si>
  <si>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</si>
  <si>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</si>
  <si>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</si>
  <si>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</si>
  <si>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</si>
  <si>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</si>
  <si>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</si>
  <si>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</si>
  <si>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</si>
  <si>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</si>
  <si>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</si>
  <si>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</si>
  <si>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</si>
  <si>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</si>
  <si>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</si>
  <si>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</si>
  <si>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</si>
  <si>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</si>
  <si>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</si>
  <si>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</si>
  <si>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</si>
  <si>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</si>
  <si>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</si>
  <si>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</si>
  <si>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</si>
  <si>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</si>
  <si>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</si>
  <si>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</si>
  <si>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</si>
  <si>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</si>
  <si>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</si>
  <si>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</si>
  <si>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</si>
  <si>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</si>
  <si>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</si>
  <si>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</si>
  <si>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</si>
  <si>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</si>
  <si>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</si>
  <si>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</si>
  <si>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</si>
  <si>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</si>
  <si>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</si>
  <si>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</si>
  <si>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</si>
  <si>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</si>
  <si>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</si>
  <si>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</si>
  <si>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</si>
  <si>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</si>
  <si>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</si>
  <si>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</si>
  <si>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</si>
  <si>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</si>
  <si>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</si>
  <si>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</si>
  <si>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</si>
  <si>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</si>
  <si>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</si>
  <si>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</si>
  <si>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</si>
  <si>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</si>
  <si>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</si>
  <si>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</si>
  <si>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</si>
  <si>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</si>
  <si>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</si>
  <si>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</si>
  <si>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</si>
  <si>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</si>
  <si>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</si>
  <si>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</si>
  <si>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</si>
  <si>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</si>
  <si>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</si>
  <si>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</si>
  <si>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</si>
  <si>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</si>
  <si>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</si>
  <si>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</si>
  <si>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</si>
  <si>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</si>
  <si>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</si>
  <si>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</si>
  <si>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</si>
  <si>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</si>
  <si>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</si>
  <si>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</si>
  <si>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</si>
  <si>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</si>
  <si>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</si>
  <si>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</si>
  <si>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</si>
  <si>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</si>
  <si>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</si>
  <si>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</si>
  <si>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</si>
  <si>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</si>
  <si>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</si>
  <si>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</si>
  <si>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</si>
  <si>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</si>
  <si>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</si>
  <si>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</si>
  <si>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</si>
  <si>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</si>
  <si>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</si>
  <si>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</si>
  <si>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</si>
  <si>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</si>
  <si>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</si>
  <si>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</si>
  <si>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</si>
  <si>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</si>
  <si>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</si>
  <si>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</si>
  <si>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</si>
  <si>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</si>
  <si>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</si>
  <si>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</si>
  <si>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</si>
  <si>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</si>
  <si>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</si>
  <si>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</si>
  <si>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</si>
  <si>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</si>
  <si>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</si>
  <si>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</si>
  <si>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</si>
  <si>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</si>
  <si>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</si>
  <si>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</si>
  <si>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</si>
  <si>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</si>
  <si>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</si>
  <si>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</si>
  <si>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</si>
  <si>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</si>
  <si>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</si>
  <si>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</si>
  <si>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</si>
  <si>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</si>
  <si>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</si>
  <si>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</si>
  <si>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</si>
  <si>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</si>
  <si>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</si>
  <si>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</si>
  <si>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</si>
  <si>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</si>
  <si>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</si>
  <si>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</si>
  <si>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</si>
  <si>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</si>
  <si>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</si>
  <si>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</si>
  <si>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</si>
  <si>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</si>
  <si>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</si>
  <si>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</si>
  <si>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</si>
  <si>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</si>
  <si>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</si>
  <si>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</si>
  <si>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</si>
  <si>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</si>
  <si>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</si>
  <si>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</si>
  <si>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</si>
  <si>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</si>
  <si>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</si>
  <si>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</si>
  <si>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</si>
  <si>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</si>
  <si>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</si>
  <si>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</si>
  <si>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</si>
  <si>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</si>
  <si>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</si>
  <si>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</si>
  <si>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</si>
  <si>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</si>
  <si>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</si>
  <si>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</si>
  <si>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</si>
  <si>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</si>
  <si>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</si>
  <si>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</si>
  <si>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</si>
  <si>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</si>
  <si>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</si>
  <si>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</si>
  <si>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</si>
  <si>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</si>
  <si>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</si>
  <si>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</si>
  <si>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</si>
  <si>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</si>
  <si>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</si>
  <si>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Douglas</t>
  </si>
  <si>
    <t>CENTRAL MUDMINNOW</t>
  </si>
  <si>
    <t>COMMON SHINER</t>
  </si>
  <si>
    <t>CREEK CHUB</t>
  </si>
  <si>
    <t>JOHNNY DARTER</t>
  </si>
  <si>
    <t>pokegama</t>
  </si>
  <si>
    <t>BROOK STICKLEBACK</t>
  </si>
  <si>
    <t>FATHEAD MINNOW</t>
  </si>
  <si>
    <t>WHITE SUCKER</t>
  </si>
  <si>
    <t>Pokegama River 6m US of Barnes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</si>
</sst>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5" borderId="7" xfId="0" applyFill="1" applyBorder="1" applyAlignment="1" applyProtection="1">
      <alignment horizontal="left" wrapText="1"/>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E8" sqref="E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8" t="s">
        <v>931</v>
      </c>
      <c r="C4" s="159"/>
      <c r="D4" s="160"/>
      <c r="F4" s="2" t="s">
        <v>836</v>
      </c>
    </row>
    <row r="5" spans="1:20" x14ac:dyDescent="0.25">
      <c r="A5" s="1" t="s">
        <v>832</v>
      </c>
      <c r="B5" s="171">
        <v>43377</v>
      </c>
      <c r="C5" s="159"/>
      <c r="D5" s="160"/>
      <c r="F5" s="84"/>
      <c r="G5" s="28"/>
      <c r="H5" s="28"/>
      <c r="I5" s="28"/>
      <c r="J5" s="28"/>
      <c r="K5" s="28"/>
      <c r="L5" s="28"/>
      <c r="M5" s="28"/>
      <c r="N5" s="28"/>
      <c r="O5" s="28"/>
      <c r="P5" s="28"/>
      <c r="Q5" s="28"/>
      <c r="R5" s="28" t="s">
        <v>866</v>
      </c>
    </row>
    <row r="6" spans="1:20" x14ac:dyDescent="0.25">
      <c r="A6" s="1" t="s">
        <v>830</v>
      </c>
      <c r="B6" s="172">
        <v>42982</v>
      </c>
      <c r="C6" s="173"/>
      <c r="D6" s="174"/>
      <c r="F6" s="26"/>
      <c r="G6" s="28"/>
      <c r="H6" s="28"/>
      <c r="I6" s="28"/>
      <c r="J6" s="28"/>
      <c r="K6" s="28"/>
      <c r="L6" s="28"/>
      <c r="M6" s="28"/>
      <c r="N6" s="28"/>
      <c r="O6" s="28"/>
      <c r="P6" s="28"/>
      <c r="Q6" s="28"/>
      <c r="R6" s="28" t="s">
        <v>378</v>
      </c>
    </row>
    <row r="7" spans="1:20" s="28" customFormat="1" x14ac:dyDescent="0.25">
      <c r="A7" s="28" t="s">
        <v>869</v>
      </c>
      <c r="B7" s="175">
        <v>10043824</v>
      </c>
      <c r="C7" s="173"/>
      <c r="D7" s="174"/>
      <c r="F7" s="27"/>
    </row>
    <row r="8" spans="1:20" s="28" customFormat="1" x14ac:dyDescent="0.25">
      <c r="A8" s="28" t="s">
        <v>872</v>
      </c>
      <c r="B8" s="219" t="s">
        <v>941</v>
      </c>
      <c r="C8" s="173"/>
      <c r="D8" s="174"/>
      <c r="F8" s="27"/>
    </row>
    <row r="9" spans="1:20" x14ac:dyDescent="0.25">
      <c r="A9" s="1" t="s">
        <v>49</v>
      </c>
      <c r="B9" s="161" t="s">
        <v>870</v>
      </c>
      <c r="C9" s="161"/>
      <c r="D9" s="161"/>
    </row>
    <row r="10" spans="1:20" x14ac:dyDescent="0.25">
      <c r="B10" s="88"/>
      <c r="C10" s="88"/>
      <c r="D10" s="88"/>
    </row>
    <row r="11" spans="1:20" x14ac:dyDescent="0.25">
      <c r="A11" s="1" t="s">
        <v>34</v>
      </c>
      <c r="B11" s="175" t="s">
        <v>937</v>
      </c>
      <c r="C11" s="173"/>
      <c r="D11" s="174"/>
      <c r="F11" s="27"/>
      <c r="G11" s="27"/>
      <c r="H11" s="27"/>
      <c r="I11" s="27"/>
      <c r="J11" s="27"/>
      <c r="K11" s="27"/>
      <c r="L11" s="27"/>
      <c r="M11" s="27"/>
      <c r="N11" s="27"/>
      <c r="O11" s="27"/>
      <c r="P11" s="27"/>
      <c r="Q11" s="27"/>
      <c r="R11" s="27"/>
    </row>
    <row r="12" spans="1:20" x14ac:dyDescent="0.25">
      <c r="A12" s="1" t="s">
        <v>37</v>
      </c>
      <c r="B12" s="161" t="s">
        <v>932</v>
      </c>
      <c r="C12" s="161"/>
      <c r="D12" s="161"/>
    </row>
    <row r="13" spans="1:20" x14ac:dyDescent="0.25">
      <c r="A13" s="1" t="s">
        <v>35</v>
      </c>
      <c r="B13" s="161"/>
      <c r="C13" s="161"/>
      <c r="D13" s="161"/>
      <c r="F13" s="27"/>
      <c r="G13" s="27"/>
      <c r="H13" s="27"/>
      <c r="I13" s="27"/>
      <c r="J13" s="27"/>
      <c r="K13" s="27"/>
      <c r="L13" s="27"/>
      <c r="M13" s="27"/>
      <c r="N13" s="27"/>
      <c r="O13" s="27"/>
      <c r="P13" s="27"/>
      <c r="Q13" s="27"/>
      <c r="R13" s="27"/>
    </row>
    <row r="14" spans="1:20" x14ac:dyDescent="0.25">
      <c r="A14" s="1" t="s">
        <v>36</v>
      </c>
      <c r="B14" s="161">
        <v>2844000</v>
      </c>
      <c r="C14" s="161"/>
      <c r="D14" s="161"/>
      <c r="F14" s="27"/>
      <c r="G14" s="27"/>
      <c r="H14" s="27"/>
      <c r="I14" s="27"/>
      <c r="J14" s="27"/>
      <c r="K14" s="27"/>
      <c r="L14" s="27"/>
      <c r="M14" s="27"/>
      <c r="N14" s="27"/>
      <c r="O14" s="27"/>
      <c r="P14" s="27"/>
      <c r="Q14" s="27"/>
      <c r="R14" s="27"/>
    </row>
    <row r="15" spans="1:20" s="28" customFormat="1" x14ac:dyDescent="0.25">
      <c r="A15" s="28" t="s">
        <v>835</v>
      </c>
      <c r="B15" s="176"/>
      <c r="C15" s="159"/>
      <c r="D15" s="160"/>
      <c r="E15" s="11" t="s">
        <v>868</v>
      </c>
      <c r="F15" s="27"/>
    </row>
    <row r="16" spans="1:20" x14ac:dyDescent="0.25">
      <c r="B16" s="132"/>
      <c r="C16" s="132"/>
      <c r="D16" s="132"/>
      <c r="T16" s="37"/>
    </row>
    <row r="17" spans="1:25" x14ac:dyDescent="0.25">
      <c r="A17" s="1" t="s">
        <v>33</v>
      </c>
      <c r="B17" s="158"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2"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938</v>
      </c>
      <c r="B21" s="80">
        <v>13</v>
      </c>
      <c r="C21" s="26" t="str">
        <f>IFERROR(VLOOKUP($A21,'Species guilds'!$A$3:$F$301,3,FALSE),0)</f>
        <v>T</v>
      </c>
      <c r="D21" s="26" t="str">
        <f>IFERROR(VLOOKUP($A21,'Species guilds'!$A$3:$F$301,4,FALSE),0)</f>
        <v>S</v>
      </c>
      <c r="E21" s="26" t="str">
        <f>IFERROR(VLOOKUP($A21,'Species guilds'!$A$3:$F$301,5,FALSE),0)</f>
        <v>T</v>
      </c>
      <c r="F21" s="26">
        <f t="shared" ref="F21:F53" si="0">IF(AND(M21&gt;0,B21&gt;0)=FALSE,B21,0)</f>
        <v>13</v>
      </c>
      <c r="G21" s="26">
        <f>IF(D21="Lake",0,1)</f>
        <v>1</v>
      </c>
      <c r="H21" s="26">
        <f>IF($C21=H$20,$B21*G21,0)</f>
        <v>0</v>
      </c>
      <c r="I21" s="26">
        <f>IF($C21=I$20,$B21*G21,0)</f>
        <v>13</v>
      </c>
      <c r="J21" s="26">
        <f>IF($C21=J$20,$B21*G21,0)</f>
        <v>0</v>
      </c>
      <c r="K21" s="26">
        <f>IF($D21=K$20,$B21*G21,0)</f>
        <v>13</v>
      </c>
      <c r="L21" s="26">
        <f>IF($D21=L$20,$B21*G21,0)</f>
        <v>0</v>
      </c>
      <c r="M21" s="26">
        <f>IF($D21=M$20,$B21,0)</f>
        <v>0</v>
      </c>
      <c r="N21" s="26">
        <f>IF($D21=N$20,$B21*G21,0)</f>
        <v>0</v>
      </c>
      <c r="O21" s="26">
        <f>IF($E21=O$20,$B21*G21,0)</f>
        <v>0</v>
      </c>
      <c r="P21" s="26">
        <f>IF($E21=P$20,$B21*G21,0)</f>
        <v>0</v>
      </c>
      <c r="Q21" s="26">
        <f>IF($E21=Q$20,$B21*G21,0)</f>
        <v>13</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933</v>
      </c>
      <c r="B22" s="80">
        <v>23</v>
      </c>
      <c r="C22" s="26" t="str">
        <f>IFERROR(VLOOKUP($A22,'Species guilds'!$A$3:$F$301,3,FALSE),0)</f>
        <v>T</v>
      </c>
      <c r="D22" s="26" t="str">
        <f>IFERROR(VLOOKUP($A22,'Species guilds'!$A$3:$F$301,4,FALSE),0)</f>
        <v>S</v>
      </c>
      <c r="E22" s="26" t="str">
        <f>IFERROR(VLOOKUP($A22,'Species guilds'!$A$3:$F$301,5,FALSE),0)</f>
        <v>T</v>
      </c>
      <c r="F22" s="26">
        <f t="shared" si="0"/>
        <v>23</v>
      </c>
      <c r="G22" s="26">
        <f t="shared" ref="G22:G53" si="1">IF(D22="Lake",0,1)</f>
        <v>1</v>
      </c>
      <c r="H22" s="26">
        <f t="shared" ref="H22:H53" si="2">IF($C22=H$20,$B22*G22,0)</f>
        <v>0</v>
      </c>
      <c r="I22" s="26">
        <f t="shared" ref="I22:I53" si="3">IF($C22=I$20,$B22*G22,0)</f>
        <v>23</v>
      </c>
      <c r="J22" s="26">
        <f t="shared" ref="J22:J53" si="4">IF($C22=J$20,$B22*G22,0)</f>
        <v>0</v>
      </c>
      <c r="K22" s="26">
        <f t="shared" ref="K22:K53" si="5">IF($D22=K$20,$B22*G22,0)</f>
        <v>23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934</v>
      </c>
      <c r="B23" s="80">
        <v>64</v>
      </c>
      <c r="C23" s="26" t="str">
        <f>IFERROR(VLOOKUP($A23,'Species guilds'!$A$3:$F$301,3,FALSE),0)</f>
        <v>W</v>
      </c>
      <c r="D23" s="26" t="str">
        <f>IFERROR(VLOOKUP($A23,'Species guilds'!$A$3:$F$301,4,FALSE),0)</f>
        <v>M</v>
      </c>
      <c r="E23" s="26" t="str">
        <f>IFERROR(VLOOKUP($A23,'Species guilds'!$A$3:$F$301,5,FALSE),0)</f>
        <v>IM</v>
      </c>
      <c r="F23" s="26">
        <f t="shared" si="0"/>
        <v>64</v>
      </c>
      <c r="G23" s="26">
        <f t="shared" si="1"/>
        <v>1</v>
      </c>
      <c r="H23" s="26">
        <f t="shared" si="2"/>
        <v>0</v>
      </c>
      <c r="I23" s="26">
        <f t="shared" si="3"/>
        <v>0</v>
      </c>
      <c r="J23" s="26">
        <f t="shared" si="4"/>
        <v>64</v>
      </c>
      <c r="K23" s="26">
        <f t="shared" si="5"/>
        <v>0</v>
      </c>
      <c r="L23" s="26">
        <f t="shared" si="6"/>
        <v>64</v>
      </c>
      <c r="M23" s="26">
        <f t="shared" si="7"/>
        <v>0</v>
      </c>
      <c r="N23" s="26">
        <f t="shared" si="8"/>
        <v>0</v>
      </c>
      <c r="O23" s="26">
        <f t="shared" si="9"/>
        <v>0</v>
      </c>
      <c r="P23" s="26">
        <f t="shared" si="10"/>
        <v>64</v>
      </c>
      <c r="Q23" s="26">
        <f t="shared" si="11"/>
        <v>0</v>
      </c>
      <c r="R23" s="81" t="str">
        <f t="shared" si="12"/>
        <v/>
      </c>
      <c r="T23" s="43"/>
      <c r="U23" s="43"/>
      <c r="V23" s="43"/>
      <c r="W23" s="43"/>
      <c r="X23" s="43"/>
      <c r="Y23" s="43"/>
    </row>
    <row r="24" spans="1:25" x14ac:dyDescent="0.25">
      <c r="A24" s="79" t="s">
        <v>935</v>
      </c>
      <c r="B24" s="80">
        <v>174</v>
      </c>
      <c r="C24" s="26" t="str">
        <f>IFERROR(VLOOKUP($A24,'Species guilds'!$A$3:$F$301,3,FALSE),0)</f>
        <v>T</v>
      </c>
      <c r="D24" s="26" t="str">
        <f>IFERROR(VLOOKUP($A24,'Species guilds'!$A$3:$F$301,4,FALSE),0)</f>
        <v>S</v>
      </c>
      <c r="E24" s="26" t="str">
        <f>IFERROR(VLOOKUP($A24,'Species guilds'!$A$3:$F$301,5,FALSE),0)</f>
        <v>T</v>
      </c>
      <c r="F24" s="26">
        <f t="shared" si="0"/>
        <v>174</v>
      </c>
      <c r="G24" s="26">
        <f t="shared" si="1"/>
        <v>1</v>
      </c>
      <c r="H24" s="26">
        <f t="shared" si="2"/>
        <v>0</v>
      </c>
      <c r="I24" s="26">
        <f t="shared" si="3"/>
        <v>174</v>
      </c>
      <c r="J24" s="26">
        <f t="shared" si="4"/>
        <v>0</v>
      </c>
      <c r="K24" s="26">
        <f t="shared" si="5"/>
        <v>174</v>
      </c>
      <c r="L24" s="26">
        <f t="shared" si="6"/>
        <v>0</v>
      </c>
      <c r="M24" s="26">
        <f t="shared" si="7"/>
        <v>0</v>
      </c>
      <c r="N24" s="26">
        <f t="shared" si="8"/>
        <v>0</v>
      </c>
      <c r="O24" s="26">
        <f t="shared" si="9"/>
        <v>0</v>
      </c>
      <c r="P24" s="26">
        <f t="shared" si="10"/>
        <v>0</v>
      </c>
      <c r="Q24" s="26">
        <f t="shared" si="11"/>
        <v>174</v>
      </c>
      <c r="R24" s="81" t="str">
        <f t="shared" si="12"/>
        <v/>
      </c>
      <c r="T24" s="43"/>
      <c r="U24" s="43"/>
      <c r="V24" s="43"/>
      <c r="W24" s="43"/>
      <c r="X24" s="43"/>
      <c r="Y24" s="43"/>
    </row>
    <row r="25" spans="1:25" x14ac:dyDescent="0.25">
      <c r="A25" s="25" t="s">
        <v>939</v>
      </c>
      <c r="B25" s="25">
        <v>12</v>
      </c>
      <c r="C25" s="26" t="str">
        <f>IFERROR(VLOOKUP($A25,'Species guilds'!$A$3:$F$301,3,FALSE),0)</f>
        <v>W</v>
      </c>
      <c r="D25" s="26" t="str">
        <f>IFERROR(VLOOKUP($A25,'Species guilds'!$A$3:$F$301,4,FALSE),0)</f>
        <v>S</v>
      </c>
      <c r="E25" s="26" t="str">
        <f>IFERROR(VLOOKUP($A25,'Species guilds'!$A$3:$F$301,5,FALSE),0)</f>
        <v>T</v>
      </c>
      <c r="F25" s="26">
        <f t="shared" si="0"/>
        <v>12</v>
      </c>
      <c r="G25" s="26">
        <f t="shared" si="1"/>
        <v>1</v>
      </c>
      <c r="H25" s="26">
        <f t="shared" si="2"/>
        <v>0</v>
      </c>
      <c r="I25" s="26">
        <f t="shared" si="3"/>
        <v>0</v>
      </c>
      <c r="J25" s="26">
        <f t="shared" si="4"/>
        <v>12</v>
      </c>
      <c r="K25" s="26">
        <f t="shared" si="5"/>
        <v>12</v>
      </c>
      <c r="L25" s="26">
        <f t="shared" si="6"/>
        <v>0</v>
      </c>
      <c r="M25" s="26">
        <f t="shared" si="7"/>
        <v>0</v>
      </c>
      <c r="N25" s="26">
        <f t="shared" si="8"/>
        <v>0</v>
      </c>
      <c r="O25" s="26">
        <f t="shared" si="9"/>
        <v>0</v>
      </c>
      <c r="P25" s="26">
        <f t="shared" si="10"/>
        <v>0</v>
      </c>
      <c r="Q25" s="26">
        <f t="shared" si="11"/>
        <v>12</v>
      </c>
      <c r="R25" s="81" t="str">
        <f t="shared" si="12"/>
        <v/>
      </c>
      <c r="T25" s="43"/>
      <c r="U25" s="43"/>
      <c r="V25" s="43"/>
      <c r="W25" s="43"/>
      <c r="X25" s="43"/>
      <c r="Y25" s="43"/>
    </row>
    <row r="26" spans="1:25" x14ac:dyDescent="0.25">
      <c r="A26" s="25" t="s">
        <v>936</v>
      </c>
      <c r="B26" s="25">
        <v>2</v>
      </c>
      <c r="C26" s="26" t="str">
        <f>IFERROR(VLOOKUP($A26,'Species guilds'!$A$3:$F$301,3,FALSE),0)</f>
        <v>T</v>
      </c>
      <c r="D26" s="26" t="str">
        <f>IFERROR(VLOOKUP($A26,'Species guilds'!$A$3:$F$301,4,FALSE),0)</f>
        <v>M</v>
      </c>
      <c r="E26" s="26" t="str">
        <f>IFERROR(VLOOKUP($A26,'Species guilds'!$A$3:$F$301,5,FALSE),0)</f>
        <v>IM</v>
      </c>
      <c r="F26" s="26">
        <f t="shared" si="0"/>
        <v>2</v>
      </c>
      <c r="G26" s="26">
        <f t="shared" si="1"/>
        <v>1</v>
      </c>
      <c r="H26" s="26">
        <f t="shared" si="2"/>
        <v>0</v>
      </c>
      <c r="I26" s="26">
        <f t="shared" si="3"/>
        <v>2</v>
      </c>
      <c r="J26" s="26">
        <f t="shared" si="4"/>
        <v>0</v>
      </c>
      <c r="K26" s="26">
        <f t="shared" si="5"/>
        <v>0</v>
      </c>
      <c r="L26" s="26">
        <f t="shared" si="6"/>
        <v>2</v>
      </c>
      <c r="M26" s="26">
        <f t="shared" si="7"/>
        <v>0</v>
      </c>
      <c r="N26" s="26">
        <f t="shared" si="8"/>
        <v>0</v>
      </c>
      <c r="O26" s="26">
        <f t="shared" si="9"/>
        <v>0</v>
      </c>
      <c r="P26" s="26">
        <f t="shared" si="10"/>
        <v>2</v>
      </c>
      <c r="Q26" s="26">
        <f t="shared" si="11"/>
        <v>0</v>
      </c>
      <c r="R26" s="81" t="str">
        <f t="shared" si="12"/>
        <v/>
      </c>
      <c r="T26" s="43"/>
      <c r="U26" s="43"/>
      <c r="V26" s="43"/>
      <c r="W26" s="43"/>
      <c r="X26" s="43"/>
      <c r="Y26" s="43"/>
    </row>
    <row r="27" spans="1:25" x14ac:dyDescent="0.25">
      <c r="A27" s="25" t="s">
        <v>940</v>
      </c>
      <c r="B27" s="25">
        <v>46</v>
      </c>
      <c r="C27" s="26" t="str">
        <f>IFERROR(VLOOKUP($A27,'Species guilds'!$A$3:$F$301,3,FALSE),0)</f>
        <v>T</v>
      </c>
      <c r="D27" s="26" t="str">
        <f>IFERROR(VLOOKUP($A27,'Species guilds'!$A$3:$F$301,4,FALSE),0)</f>
        <v>M</v>
      </c>
      <c r="E27" s="26" t="str">
        <f>IFERROR(VLOOKUP($A27,'Species guilds'!$A$3:$F$301,5,FALSE),0)</f>
        <v>T</v>
      </c>
      <c r="F27" s="26">
        <f t="shared" si="0"/>
        <v>46</v>
      </c>
      <c r="G27" s="26">
        <f t="shared" si="1"/>
        <v>1</v>
      </c>
      <c r="H27" s="26">
        <f t="shared" si="2"/>
        <v>0</v>
      </c>
      <c r="I27" s="26">
        <f t="shared" si="3"/>
        <v>46</v>
      </c>
      <c r="J27" s="26">
        <f t="shared" si="4"/>
        <v>0</v>
      </c>
      <c r="K27" s="26">
        <f t="shared" si="5"/>
        <v>0</v>
      </c>
      <c r="L27" s="26">
        <f t="shared" si="6"/>
        <v>46</v>
      </c>
      <c r="M27" s="26">
        <f t="shared" si="7"/>
        <v>0</v>
      </c>
      <c r="N27" s="26">
        <f t="shared" si="8"/>
        <v>0</v>
      </c>
      <c r="O27" s="26">
        <f t="shared" si="9"/>
        <v>0</v>
      </c>
      <c r="P27" s="26">
        <f t="shared" si="10"/>
        <v>0</v>
      </c>
      <c r="Q27" s="26">
        <f t="shared" si="11"/>
        <v>46</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334</v>
      </c>
      <c r="F54" s="9">
        <f>SUM(F21:F53)</f>
        <v>334</v>
      </c>
      <c r="G54" s="2"/>
      <c r="H54" s="9">
        <f>SUM(H21:H53)</f>
        <v>0</v>
      </c>
      <c r="I54" s="9">
        <f t="shared" ref="I54:Q54" si="14">SUM(I21:I53)</f>
        <v>258</v>
      </c>
      <c r="J54" s="9">
        <f t="shared" si="14"/>
        <v>76</v>
      </c>
      <c r="K54" s="9">
        <f t="shared" si="14"/>
        <v>222</v>
      </c>
      <c r="L54" s="9">
        <f t="shared" si="14"/>
        <v>112</v>
      </c>
      <c r="M54" s="9">
        <f t="shared" si="14"/>
        <v>0</v>
      </c>
      <c r="N54" s="9">
        <f t="shared" si="14"/>
        <v>0</v>
      </c>
      <c r="O54" s="9">
        <f t="shared" si="14"/>
        <v>0</v>
      </c>
      <c r="P54" s="9">
        <f t="shared" si="14"/>
        <v>66</v>
      </c>
      <c r="Q54" s="9">
        <f t="shared" si="14"/>
        <v>268</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topLeftCell="A10" zoomScaleNormal="100" workbookViewId="0">
      <selection activeCell="I25" sqref="I2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43377</v>
      </c>
      <c r="C5" s="209"/>
      <c r="D5" s="87"/>
      <c r="E5" s="65"/>
      <c r="F5" s="92"/>
      <c r="G5" s="85" t="s">
        <v>875</v>
      </c>
      <c r="H5" s="85"/>
      <c r="I5" s="85"/>
      <c r="J5" s="85"/>
      <c r="K5" s="85"/>
      <c r="L5" s="85"/>
      <c r="M5" s="85"/>
      <c r="N5" s="85"/>
      <c r="O5" s="85"/>
      <c r="P5" s="85"/>
    </row>
    <row r="6" spans="1:16" ht="15" x14ac:dyDescent="0.2">
      <c r="A6" s="65" t="s">
        <v>830</v>
      </c>
      <c r="B6" s="208">
        <f>'Enter field data'!B6</f>
        <v>42982</v>
      </c>
      <c r="C6" s="209"/>
      <c r="D6" s="87"/>
      <c r="E6" s="65"/>
      <c r="F6" s="93"/>
      <c r="G6" s="85" t="s">
        <v>876</v>
      </c>
      <c r="H6" s="85"/>
      <c r="I6" s="85"/>
      <c r="J6" s="85"/>
      <c r="K6" s="85"/>
      <c r="L6" s="85"/>
      <c r="M6" s="85"/>
      <c r="N6" s="85"/>
      <c r="O6" s="85"/>
      <c r="P6" s="85"/>
    </row>
    <row r="7" spans="1:16" x14ac:dyDescent="0.2">
      <c r="A7" s="65" t="s">
        <v>869</v>
      </c>
      <c r="B7" s="206">
        <f>'Enter field data'!B7</f>
        <v>10043824</v>
      </c>
      <c r="C7" s="210"/>
      <c r="D7" s="87"/>
      <c r="E7" s="65"/>
      <c r="F7" s="65"/>
    </row>
    <row r="8" spans="1:16" x14ac:dyDescent="0.2">
      <c r="A8" s="65" t="s">
        <v>872</v>
      </c>
      <c r="B8" s="206" t="str">
        <f>'Enter field data'!B8</f>
        <v>Pokegama River 6m US of Barnes Rd</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pokegama</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2844000</v>
      </c>
      <c r="C14" s="210"/>
      <c r="D14" s="87"/>
      <c r="E14" s="65"/>
      <c r="F14" s="94"/>
    </row>
    <row r="15" spans="1:16" ht="15" x14ac:dyDescent="0.2">
      <c r="A15" s="65" t="s">
        <v>863</v>
      </c>
      <c r="B15" s="211">
        <f>'Enter field data'!B15</f>
        <v>0</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Cool-Cold Headwater</v>
      </c>
      <c r="E18" s="170"/>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Cool-Cold Headwater</v>
      </c>
      <c r="E29" s="170"/>
      <c r="H29" s="150"/>
      <c r="I29" s="102" t="s">
        <v>913</v>
      </c>
      <c r="L29" s="177" t="s">
        <v>23</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222</v>
      </c>
      <c r="E36" s="113" t="s">
        <v>12</v>
      </c>
      <c r="F36" s="114">
        <f>'Enter field data'!$O$54</f>
        <v>0</v>
      </c>
      <c r="H36" s="150"/>
      <c r="I36" s="110" t="s">
        <v>6</v>
      </c>
      <c r="J36" s="83">
        <f>'Enter field data'!$H$54</f>
        <v>0</v>
      </c>
      <c r="K36" s="111" t="s">
        <v>9</v>
      </c>
      <c r="L36" s="112">
        <f>'Enter field data'!$K$54</f>
        <v>222</v>
      </c>
      <c r="M36" s="113" t="s">
        <v>12</v>
      </c>
      <c r="N36" s="114">
        <f>'Enter field data'!$O$54</f>
        <v>0</v>
      </c>
      <c r="P36" s="110" t="s">
        <v>6</v>
      </c>
      <c r="Q36" s="83">
        <f>'Enter field data'!$H$54</f>
        <v>0</v>
      </c>
      <c r="R36" s="111" t="s">
        <v>9</v>
      </c>
      <c r="S36" s="112">
        <f>'Enter field data'!$K$54</f>
        <v>222</v>
      </c>
      <c r="T36" s="113" t="s">
        <v>12</v>
      </c>
      <c r="U36" s="114">
        <f>'Enter field data'!$O$54</f>
        <v>0</v>
      </c>
      <c r="W36" s="110" t="s">
        <v>6</v>
      </c>
      <c r="X36" s="83">
        <f>'Enter field data'!$H$54</f>
        <v>0</v>
      </c>
      <c r="Y36" s="111" t="s">
        <v>9</v>
      </c>
      <c r="Z36" s="112">
        <f>'Enter field data'!$K$54</f>
        <v>222</v>
      </c>
      <c r="AA36" s="113" t="s">
        <v>12</v>
      </c>
      <c r="AB36" s="114">
        <f>'Enter field data'!$O$54</f>
        <v>0</v>
      </c>
    </row>
    <row r="37" spans="1:28" x14ac:dyDescent="0.2">
      <c r="A37" s="110" t="s">
        <v>7</v>
      </c>
      <c r="B37" s="83">
        <f>'Enter field data'!$I$54</f>
        <v>258</v>
      </c>
      <c r="C37" s="111" t="s">
        <v>10</v>
      </c>
      <c r="D37" s="112">
        <f>'Enter field data'!$L$54</f>
        <v>112</v>
      </c>
      <c r="E37" s="113" t="s">
        <v>13</v>
      </c>
      <c r="F37" s="114">
        <f>'Enter field data'!$P$54</f>
        <v>66</v>
      </c>
      <c r="H37" s="150"/>
      <c r="I37" s="110" t="s">
        <v>7</v>
      </c>
      <c r="J37" s="83">
        <f>'Enter field data'!$I$54</f>
        <v>258</v>
      </c>
      <c r="K37" s="111" t="s">
        <v>10</v>
      </c>
      <c r="L37" s="112">
        <f>'Enter field data'!$L$54</f>
        <v>112</v>
      </c>
      <c r="M37" s="113" t="s">
        <v>13</v>
      </c>
      <c r="N37" s="114">
        <f>'Enter field data'!$P$54</f>
        <v>66</v>
      </c>
      <c r="P37" s="110" t="s">
        <v>7</v>
      </c>
      <c r="Q37" s="83">
        <f>'Enter field data'!$I$54</f>
        <v>258</v>
      </c>
      <c r="R37" s="111" t="s">
        <v>10</v>
      </c>
      <c r="S37" s="112">
        <f>'Enter field data'!$L$54</f>
        <v>112</v>
      </c>
      <c r="T37" s="113" t="s">
        <v>13</v>
      </c>
      <c r="U37" s="114">
        <f>'Enter field data'!$P$54</f>
        <v>66</v>
      </c>
      <c r="W37" s="110" t="s">
        <v>7</v>
      </c>
      <c r="X37" s="83">
        <f>'Enter field data'!$I$54</f>
        <v>258</v>
      </c>
      <c r="Y37" s="111" t="s">
        <v>10</v>
      </c>
      <c r="Z37" s="112">
        <f>'Enter field data'!$L$54</f>
        <v>112</v>
      </c>
      <c r="AA37" s="113" t="s">
        <v>13</v>
      </c>
      <c r="AB37" s="114">
        <f>'Enter field data'!$P$54</f>
        <v>66</v>
      </c>
    </row>
    <row r="38" spans="1:28" x14ac:dyDescent="0.2">
      <c r="A38" s="110" t="s">
        <v>8</v>
      </c>
      <c r="B38" s="83">
        <f>'Enter field data'!$J$54</f>
        <v>76</v>
      </c>
      <c r="C38" s="111" t="s">
        <v>11</v>
      </c>
      <c r="D38" s="112">
        <f>'Enter field data'!$N$54</f>
        <v>0</v>
      </c>
      <c r="E38" s="113" t="s">
        <v>14</v>
      </c>
      <c r="F38" s="114">
        <f>'Enter field data'!$Q$54</f>
        <v>268</v>
      </c>
      <c r="H38" s="150"/>
      <c r="I38" s="110" t="s">
        <v>8</v>
      </c>
      <c r="J38" s="83">
        <f>'Enter field data'!$J$54</f>
        <v>76</v>
      </c>
      <c r="K38" s="111" t="s">
        <v>11</v>
      </c>
      <c r="L38" s="112">
        <f>'Enter field data'!$N$54</f>
        <v>0</v>
      </c>
      <c r="M38" s="113" t="s">
        <v>14</v>
      </c>
      <c r="N38" s="114">
        <f>'Enter field data'!$Q$54</f>
        <v>268</v>
      </c>
      <c r="P38" s="110" t="s">
        <v>8</v>
      </c>
      <c r="Q38" s="83">
        <f>'Enter field data'!$J$54</f>
        <v>76</v>
      </c>
      <c r="R38" s="111" t="s">
        <v>11</v>
      </c>
      <c r="S38" s="112">
        <f>'Enter field data'!$N$54</f>
        <v>0</v>
      </c>
      <c r="T38" s="113" t="s">
        <v>14</v>
      </c>
      <c r="U38" s="114">
        <f>'Enter field data'!$Q$54</f>
        <v>268</v>
      </c>
      <c r="W38" s="110" t="s">
        <v>8</v>
      </c>
      <c r="X38" s="83">
        <f>'Enter field data'!$J$54</f>
        <v>76</v>
      </c>
      <c r="Y38" s="111" t="s">
        <v>11</v>
      </c>
      <c r="Z38" s="112">
        <f>'Enter field data'!$N$54</f>
        <v>0</v>
      </c>
      <c r="AA38" s="113" t="s">
        <v>14</v>
      </c>
      <c r="AB38" s="114">
        <f>'Enter field data'!$Q$54</f>
        <v>268</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0.77245508982035926</v>
      </c>
      <c r="C45" s="120">
        <f>VLOOKUP($D$29,'Expected guild %'!$A$5:$G$13,4,FALSE)</f>
        <v>0.25</v>
      </c>
      <c r="D45" s="120">
        <f>VLOOKUP($D$29,'Expected guild %'!$A$5:$G$13,5,FALSE)</f>
        <v>1</v>
      </c>
      <c r="E45" s="121" t="str">
        <f>IF(AND(C45&lt;=B45,B45&lt;= D45)=TRUE,"Y","N")</f>
        <v>Y</v>
      </c>
      <c r="F45" s="65"/>
      <c r="H45" s="150"/>
      <c r="I45" s="110" t="s">
        <v>7</v>
      </c>
      <c r="J45" s="119">
        <f>($B$37/'Enter field data'!$F$54)</f>
        <v>0.77245508982035926</v>
      </c>
      <c r="K45" s="120">
        <f>VLOOKUP(L$29,'Expected guild %'!$A$5:$G$13,4,FALSE)</f>
        <v>0.25</v>
      </c>
      <c r="L45" s="120">
        <f>VLOOKUP(L$29,'Expected guild %'!$A$5:$G$13,5,FALSE)</f>
        <v>1</v>
      </c>
      <c r="M45" s="121" t="str">
        <f>IF(AND(K45&lt;=J45,J45&lt;= L45)=TRUE,"Y","N")</f>
        <v>Y</v>
      </c>
      <c r="N45" s="65"/>
      <c r="P45" s="110" t="s">
        <v>7</v>
      </c>
      <c r="Q45" s="119">
        <f>($B$37/'Enter field data'!$F$54)</f>
        <v>0.77245508982035926</v>
      </c>
      <c r="R45" s="120" t="e">
        <f>VLOOKUP(S$29,'Expected guild %'!$A$5:$G$13,4,FALSE)</f>
        <v>#N/A</v>
      </c>
      <c r="S45" s="120" t="e">
        <f>VLOOKUP(S$29,'Expected guild %'!$A$5:$G$13,5,FALSE)</f>
        <v>#N/A</v>
      </c>
      <c r="T45" s="121" t="e">
        <f>IF(AND(R45&lt;=Q45,Q45&lt;= S45)=TRUE,"Y","N")</f>
        <v>#N/A</v>
      </c>
      <c r="U45" s="65"/>
      <c r="W45" s="110" t="s">
        <v>7</v>
      </c>
      <c r="X45" s="119">
        <f>($B$37/'Enter field data'!$F$54)</f>
        <v>0.77245508982035926</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0.22754491017964071</v>
      </c>
      <c r="C46" s="120">
        <f>VLOOKUP($D$29,'Expected guild %'!$A$5:$G$13,6,FALSE)</f>
        <v>0</v>
      </c>
      <c r="D46" s="120">
        <f>VLOOKUP($D$29,'Expected guild %'!$A$5:$G$13,7,FALSE)</f>
        <v>0.25</v>
      </c>
      <c r="E46" s="121" t="str">
        <f>IF(AND(C46&lt;=B46,B46&lt;= D46)=TRUE,"Y","N")</f>
        <v>Y</v>
      </c>
      <c r="F46" s="65"/>
      <c r="H46" s="150"/>
      <c r="I46" s="110" t="s">
        <v>8</v>
      </c>
      <c r="J46" s="119">
        <f>($B$38/'Enter field data'!$F$54)</f>
        <v>0.22754491017964071</v>
      </c>
      <c r="K46" s="120">
        <f>VLOOKUP(L$29,'Expected guild %'!$A$5:$G$13,6,FALSE)</f>
        <v>0</v>
      </c>
      <c r="L46" s="120">
        <f>VLOOKUP(L$29,'Expected guild %'!$A$5:$G$13,7,FALSE)</f>
        <v>0.75</v>
      </c>
      <c r="M46" s="121" t="str">
        <f>IF(AND(K46&lt;=J46,J46&lt;= L46)=TRUE,"Y","N")</f>
        <v>Y</v>
      </c>
      <c r="N46" s="65"/>
      <c r="P46" s="110" t="s">
        <v>8</v>
      </c>
      <c r="Q46" s="119">
        <f>($B$38/'Enter field data'!$F$54)</f>
        <v>0.22754491017964071</v>
      </c>
      <c r="R46" s="120" t="e">
        <f>VLOOKUP(S$29,'Expected guild %'!$A$5:$G$13,6,FALSE)</f>
        <v>#N/A</v>
      </c>
      <c r="S46" s="120" t="e">
        <f>VLOOKUP(S$29,'Expected guild %'!$A$5:$G$13,7,FALSE)</f>
        <v>#N/A</v>
      </c>
      <c r="T46" s="121" t="e">
        <f>IF(AND(R46&lt;=Q46,Q46&lt;= S46)=TRUE,"Y","N")</f>
        <v>#N/A</v>
      </c>
      <c r="U46" s="65"/>
      <c r="W46" s="110" t="s">
        <v>8</v>
      </c>
      <c r="X46" s="119">
        <f>($B$38/'Enter field data'!$F$54)</f>
        <v>0.22754491017964071</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0.66467065868263475</v>
      </c>
      <c r="C51" s="122">
        <f>VLOOKUP($D$29,'Expected guild %'!$A$19:$G$27,2,FALSE)</f>
        <v>0.5</v>
      </c>
      <c r="D51" s="120">
        <f>VLOOKUP($D$29,'Expected guild %'!$A$19:$G$27,3,FALSE)</f>
        <v>1</v>
      </c>
      <c r="E51" s="121" t="str">
        <f>IF(AND(C51&lt;=B51,B51&lt;= D51)=TRUE,"Y","N")</f>
        <v>Y</v>
      </c>
      <c r="F51" s="65"/>
      <c r="H51" s="150"/>
      <c r="I51" s="110" t="s">
        <v>9</v>
      </c>
      <c r="J51" s="120">
        <f>($D$36/'Enter field data'!$F$54)</f>
        <v>0.66467065868263475</v>
      </c>
      <c r="K51" s="122">
        <f>VLOOKUP(L$29,'Expected guild %'!$A$19:$G$27,2,FALSE)</f>
        <v>0.5</v>
      </c>
      <c r="L51" s="120">
        <f>VLOOKUP(L$29,'Expected guild %'!$A$19:$G$27,3,FALSE)</f>
        <v>1</v>
      </c>
      <c r="M51" s="121" t="str">
        <f>IF(AND(K51&lt;=J51,J51&lt;= L51)=TRUE,"Y","N")</f>
        <v>Y</v>
      </c>
      <c r="N51" s="65"/>
      <c r="P51" s="110" t="s">
        <v>9</v>
      </c>
      <c r="Q51" s="120">
        <f>($D$36/'Enter field data'!$F$54)</f>
        <v>0.66467065868263475</v>
      </c>
      <c r="R51" s="122" t="e">
        <f>VLOOKUP(S$29,'Expected guild %'!$A$19:$G$27,2,FALSE)</f>
        <v>#N/A</v>
      </c>
      <c r="S51" s="120" t="e">
        <f>VLOOKUP(S$29,'Expected guild %'!$A$19:$G$27,3,FALSE)</f>
        <v>#N/A</v>
      </c>
      <c r="T51" s="121" t="e">
        <f>IF(AND(R51&lt;=Q51,Q51&lt;= S51)=TRUE,"Y","N")</f>
        <v>#N/A</v>
      </c>
      <c r="U51" s="65"/>
      <c r="W51" s="110" t="s">
        <v>9</v>
      </c>
      <c r="X51" s="120">
        <f>($D$36/'Enter field data'!$F$54)</f>
        <v>0.66467065868263475</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0.33532934131736525</v>
      </c>
      <c r="C52" s="122">
        <f>VLOOKUP($D$29,'Expected guild %'!$A$19:$G$27,4,FALSE)</f>
        <v>0</v>
      </c>
      <c r="D52" s="120">
        <f>VLOOKUP($D$29,'Expected guild %'!$A$19:$G$27,5,FALSE)</f>
        <v>0.5</v>
      </c>
      <c r="E52" s="121" t="str">
        <f>IF(AND(C52&lt;=B52,B52&lt;= D52)=TRUE,"Y","N")</f>
        <v>Y</v>
      </c>
      <c r="F52" s="65"/>
      <c r="H52" s="150"/>
      <c r="I52" s="110" t="s">
        <v>10</v>
      </c>
      <c r="J52" s="120">
        <f>($D$37/'Enter field data'!$F$54)</f>
        <v>0.33532934131736525</v>
      </c>
      <c r="K52" s="122">
        <f>VLOOKUP(L$29,'Expected guild %'!$A$19:$G$27,4,FALSE)</f>
        <v>0</v>
      </c>
      <c r="L52" s="120">
        <f>VLOOKUP(L$29,'Expected guild %'!$A$19:$G$27,5,FALSE)</f>
        <v>0.5</v>
      </c>
      <c r="M52" s="121" t="str">
        <f>IF(AND(K52&lt;=J52,J52&lt;= L52)=TRUE,"Y","N")</f>
        <v>Y</v>
      </c>
      <c r="N52" s="65"/>
      <c r="P52" s="110" t="s">
        <v>10</v>
      </c>
      <c r="Q52" s="120">
        <f>($D$37/'Enter field data'!$F$54)</f>
        <v>0.33532934131736525</v>
      </c>
      <c r="R52" s="122" t="e">
        <f>VLOOKUP(S$29,'Expected guild %'!$A$19:$G$27,4,FALSE)</f>
        <v>#N/A</v>
      </c>
      <c r="S52" s="120" t="e">
        <f>VLOOKUP(S$29,'Expected guild %'!$A$19:$G$27,5,FALSE)</f>
        <v>#N/A</v>
      </c>
      <c r="T52" s="121" t="e">
        <f>IF(AND(R52&lt;=Q52,Q52&lt;= S52)=TRUE,"Y","N")</f>
        <v>#N/A</v>
      </c>
      <c r="U52" s="65"/>
      <c r="W52" s="110" t="s">
        <v>10</v>
      </c>
      <c r="X52" s="120">
        <f>($D$37/'Enter field data'!$F$54)</f>
        <v>0.33532934131736525</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0.19760479041916168</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0.80239520958083832</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t="e">
        <f>'Weather Results'!$C$18</f>
        <v>#N/A</v>
      </c>
      <c r="H89" s="150"/>
    </row>
    <row r="90" spans="1:23" x14ac:dyDescent="0.2">
      <c r="A90" s="205"/>
      <c r="B90" s="71" t="s">
        <v>819</v>
      </c>
      <c r="C90" s="72"/>
      <c r="D90" s="73" t="e">
        <f>'Weather Results'!$C$19</f>
        <v>#N/A</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t="e">
        <f>'Weather Results'!$C$27</f>
        <v>#N/A</v>
      </c>
      <c r="H98" s="150"/>
    </row>
    <row r="99" spans="1:8" x14ac:dyDescent="0.2">
      <c r="A99" s="204"/>
      <c r="B99" s="71" t="s">
        <v>828</v>
      </c>
      <c r="C99" s="72"/>
      <c r="D99" s="73" t="e">
        <f>'Weather Results'!$C$28</f>
        <v>#N/A</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42982</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20170904</v>
      </c>
    </row>
    <row r="5" spans="1:5" hidden="1" x14ac:dyDescent="0.25">
      <c r="A5" s="37"/>
      <c r="B5" s="37" t="s">
        <v>805</v>
      </c>
      <c r="C5" s="50" t="str">
        <f>CONCATENATE(YEAR(C1-30),IF(MONTH(C1-30)&lt;10,"0"&amp;MONTH(C1-30),MONTH(C1-30)),IF(DAY(C1-30)&lt;10,"0"&amp;DAY(C1-30),DAY(C1-30)))</f>
        <v>20170805</v>
      </c>
    </row>
    <row r="6" spans="1:5" hidden="1" x14ac:dyDescent="0.25">
      <c r="A6" s="37"/>
      <c r="B6" s="37" t="s">
        <v>806</v>
      </c>
      <c r="C6" s="50" t="str">
        <f>CONCATENATE(YEAR(C1-90),IF(MONTH(C1-90)&lt;10,"0"&amp;MONTH(C1-90),MONTH(C1-90)),IF(DAY(C1-90)&lt;10,"0"&amp;DAY(C1-90),DAY(C1-90)))</f>
        <v>20170606</v>
      </c>
    </row>
    <row r="7" spans="1:5" hidden="1" x14ac:dyDescent="0.25">
      <c r="A7" s="37"/>
      <c r="B7" s="37" t="s">
        <v>807</v>
      </c>
      <c r="C7" s="50" t="str">
        <f>CONCATENATE(YEAR(C1-365),IF(MONTH(C1-365)&lt;10,"0"&amp;MONTH(C1-365),MONTH(C1-365)),IF(DAY(C1-365)&lt;10,"0"&amp;DAY(C1-365),DAY(C1-365)))</f>
        <v>20160904</v>
      </c>
    </row>
    <row r="8" spans="1:5" hidden="1" x14ac:dyDescent="0.25">
      <c r="A8" s="37"/>
      <c r="B8" s="37" t="s">
        <v>808</v>
      </c>
      <c r="C8" s="50" t="str">
        <f>CONCATENATE(YEAR(C1-1460),IF(MONTH(C1-1460)&lt;10,"0"&amp;MONTH(C1-1460),MONTH(C1-1460)),IF(DAY(C1-1460)&lt;10,"0"&amp;DAY(C1-1460),DAY(C1-1460)))</f>
        <v>20130905</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26</v>
      </c>
    </row>
    <row r="14" spans="1:5" hidden="1" x14ac:dyDescent="0.25">
      <c r="A14" s="37"/>
      <c r="B14" s="37" t="s">
        <v>814</v>
      </c>
      <c r="C14" s="50">
        <f>IF(MONTH($C$1)=9,DAY($C$1),0)+IF(MONTH($C$1)=10,30-DAY($C$1),0)</f>
        <v>4</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2018-10-04T16:35:25Z</dcterms:modified>
</cp:coreProperties>
</file>