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8850" windowHeight="4545" activeTab="0"/>
  </bookViews>
  <sheets>
    <sheet name="IBILIST" sheetId="1" r:id="rId1"/>
  </sheets>
  <definedNames>
    <definedName name="FISHLIST">'IBILIST'!$BA$2:$BA$8</definedName>
    <definedName name="_xlnm.Print_Area" localSheetId="0">'IBILIST'!$AA$1:$AM$177</definedName>
  </definedNames>
  <calcPr fullCalcOnLoad="1"/>
</workbook>
</file>

<file path=xl/sharedStrings.xml><?xml version="1.0" encoding="utf-8"?>
<sst xmlns="http://schemas.openxmlformats.org/spreadsheetml/2006/main" count="354" uniqueCount="278">
  <si>
    <t>IBI Calculator for Central and Southern WI</t>
  </si>
  <si>
    <t>Sample Date</t>
  </si>
  <si>
    <t>fish_list</t>
  </si>
  <si>
    <t>SITE</t>
  </si>
  <si>
    <t># of Fish</t>
  </si>
  <si>
    <t>Common Name</t>
  </si>
  <si>
    <t>TAXA</t>
  </si>
  <si>
    <t>TOLERANCE</t>
  </si>
  <si>
    <t>FEEDING</t>
  </si>
  <si>
    <t>SPAWNING</t>
  </si>
  <si>
    <t>Sorted block for fishlist macro.</t>
  </si>
  <si>
    <t>PERSONNEL</t>
  </si>
  <si>
    <t>C</t>
  </si>
  <si>
    <t>D</t>
  </si>
  <si>
    <t>E</t>
  </si>
  <si>
    <t>S</t>
  </si>
  <si>
    <t>I</t>
  </si>
  <si>
    <t>T</t>
  </si>
  <si>
    <t>Tc</t>
  </si>
  <si>
    <t>In</t>
  </si>
  <si>
    <t>Om</t>
  </si>
  <si>
    <t>SL</t>
  </si>
  <si>
    <t>MATRIX</t>
  </si>
  <si>
    <t>VALUE</t>
  </si>
  <si>
    <t>SCORE</t>
  </si>
  <si>
    <t>Back Pack</t>
  </si>
  <si>
    <t>Alewife</t>
  </si>
  <si>
    <t>Rainbow Trout</t>
  </si>
  <si>
    <t>total # of fish</t>
  </si>
  <si>
    <t>n/a</t>
  </si>
  <si>
    <t>Am. Brook Lamprey (adult)</t>
  </si>
  <si>
    <t>Rainbow Smelt</t>
  </si>
  <si>
    <t>total # of native spp.</t>
  </si>
  <si>
    <t>Ln stream width (m) =</t>
  </si>
  <si>
    <t>Am. Brook Lamprey (ammoceate)</t>
  </si>
  <si>
    <t>Red Shiner</t>
  </si>
  <si>
    <t>total # of darter spp.</t>
  </si>
  <si>
    <t>American Eel</t>
  </si>
  <si>
    <t>Redside Dace</t>
  </si>
  <si>
    <t>total # of sucker spp.</t>
  </si>
  <si>
    <t>Distance shocked (m)=</t>
  </si>
  <si>
    <t>Atlantic Salmon</t>
  </si>
  <si>
    <t>Redfin Shiner</t>
  </si>
  <si>
    <t>&lt;=8km from lake</t>
  </si>
  <si>
    <t>Banded Darter</t>
  </si>
  <si>
    <t>Pumpkinseed</t>
  </si>
  <si>
    <t>total # of sunfish spp.</t>
  </si>
  <si>
    <t>Banded Killifish</t>
  </si>
  <si>
    <t>Pugnose Shiner</t>
  </si>
  <si>
    <t>&gt;8km from lake</t>
  </si>
  <si>
    <t>Bigmouth Buffalo</t>
  </si>
  <si>
    <t>Pygmy Whitefish</t>
  </si>
  <si>
    <t>Bigmouth Shiner</t>
  </si>
  <si>
    <t>Rainbow Darter</t>
  </si>
  <si>
    <t>total # of intolerant spp.</t>
  </si>
  <si>
    <t>Black Buffalo</t>
  </si>
  <si>
    <t>Quillback</t>
  </si>
  <si>
    <t>total # of tolerant fish</t>
  </si>
  <si>
    <t>% of tolerant spp.</t>
  </si>
  <si>
    <t>Black Bullhead</t>
  </si>
  <si>
    <t>River Carpsucker</t>
  </si>
  <si>
    <t>total # of omnivores</t>
  </si>
  <si>
    <t>% of omnivorous spp.</t>
  </si>
  <si>
    <t>Black Crappie</t>
  </si>
  <si>
    <t>Rudd</t>
  </si>
  <si>
    <t>total # of insectivores</t>
  </si>
  <si>
    <t>% of insevtivores</t>
  </si>
  <si>
    <t>Black Redhorse</t>
  </si>
  <si>
    <t>Round Whitefish</t>
  </si>
  <si>
    <t>total # of top carnivores</t>
  </si>
  <si>
    <t>% of carnivores</t>
  </si>
  <si>
    <t>Blackchin Shiner</t>
  </si>
  <si>
    <t>Ruffe</t>
  </si>
  <si>
    <t>total # of simple lithophils</t>
  </si>
  <si>
    <t>% of simple lithophilous</t>
  </si>
  <si>
    <t>Blackfin Cisco</t>
  </si>
  <si>
    <t>S. Brook Lamprey (ammoceate)</t>
  </si>
  <si>
    <t>subtotal</t>
  </si>
  <si>
    <t>Correction Factors</t>
  </si>
  <si>
    <t>Blacknose Dace</t>
  </si>
  <si>
    <t>S. Brook Lamprey (adult)</t>
  </si>
  <si>
    <t># of nontolerant fish per 300m</t>
  </si>
  <si>
    <t>Blacknose Shiner</t>
  </si>
  <si>
    <t>River Redhorse</t>
  </si>
  <si>
    <t>total # of DELT fish</t>
  </si>
  <si>
    <t>% DELT</t>
  </si>
  <si>
    <t>Blackside Darter</t>
  </si>
  <si>
    <t>River Darter</t>
  </si>
  <si>
    <t>Total after correction factors =</t>
  </si>
  <si>
    <t>Blackstripe Topminnow</t>
  </si>
  <si>
    <t>River Shiner</t>
  </si>
  <si>
    <t>IBI SCORE =</t>
  </si>
  <si>
    <t>Bloater</t>
  </si>
  <si>
    <t>Rosyface Shiner</t>
  </si>
  <si>
    <t>Blue Sucker</t>
  </si>
  <si>
    <t>Rock Bass</t>
  </si>
  <si>
    <t>Biotic Integrity Rating</t>
  </si>
  <si>
    <t>Bluegill</t>
  </si>
  <si>
    <t>Muskellunge</t>
  </si>
  <si>
    <t>Bluntnose Darter</t>
  </si>
  <si>
    <t>Mud Darter</t>
  </si>
  <si>
    <t># of fish</t>
  </si>
  <si>
    <t>Fish species</t>
  </si>
  <si>
    <t>Bluntnose Minnow</t>
  </si>
  <si>
    <t>N. Brook Lamprey (adult)</t>
  </si>
  <si>
    <t>------------------------------------------</t>
  </si>
  <si>
    <t>Bowfin</t>
  </si>
  <si>
    <t>Ninespine Stickleback</t>
  </si>
  <si>
    <t>Brassy Minnow</t>
  </si>
  <si>
    <t>N. Brook Lamprey (ammoceate)</t>
  </si>
  <si>
    <t>Brook Silverside</t>
  </si>
  <si>
    <t>Mimic Shiner</t>
  </si>
  <si>
    <t>Brook Stickleback</t>
  </si>
  <si>
    <t>Longnose Sucker</t>
  </si>
  <si>
    <t>Brook Trout</t>
  </si>
  <si>
    <t>Mississippi Silvery Minnow</t>
  </si>
  <si>
    <t>Brown Bullhead</t>
  </si>
  <si>
    <t>Mottled Sculpin</t>
  </si>
  <si>
    <t>Brown Trout</t>
  </si>
  <si>
    <t>Mooneye</t>
  </si>
  <si>
    <t>Bullhead Minnow</t>
  </si>
  <si>
    <t>Northern Hog Sucker</t>
  </si>
  <si>
    <t>Burbot</t>
  </si>
  <si>
    <t>Pearl Dace</t>
  </si>
  <si>
    <t>Central Mudminnow</t>
  </si>
  <si>
    <t>Pallid Shiner</t>
  </si>
  <si>
    <t>Central Stoneroller</t>
  </si>
  <si>
    <t>Pink Salmon</t>
  </si>
  <si>
    <t>Channel Catfish</t>
  </si>
  <si>
    <t>Pugnose Minnow</t>
  </si>
  <si>
    <t>Channel Shiner</t>
  </si>
  <si>
    <t>Pirate Perch</t>
  </si>
  <si>
    <t>Chestnut Lamprey (adult)</t>
  </si>
  <si>
    <t>Northern Redbelly Dace</t>
  </si>
  <si>
    <t>Chestnut Lamprey (ammoceate)</t>
  </si>
  <si>
    <t>Northern Pike</t>
  </si>
  <si>
    <t>Chinook Salmon</t>
  </si>
  <si>
    <t>Orangespotted Sunfish</t>
  </si>
  <si>
    <t>Cisco</t>
  </si>
  <si>
    <t>Paddlefish</t>
  </si>
  <si>
    <t>Coho Salmon</t>
  </si>
  <si>
    <t>Ozark Minnow</t>
  </si>
  <si>
    <t>Common Carp</t>
  </si>
  <si>
    <t>Sand Shiner</t>
  </si>
  <si>
    <t>Common Shiner</t>
  </si>
  <si>
    <t>Suckermouth Minnow</t>
  </si>
  <si>
    <t>Creek Chub</t>
  </si>
  <si>
    <t>Striped Shiner</t>
  </si>
  <si>
    <t>Creek Chubsucker</t>
  </si>
  <si>
    <t>Tadpole Madtom</t>
  </si>
  <si>
    <t>Crystal Darter</t>
  </si>
  <si>
    <t>Trout Perch</t>
  </si>
  <si>
    <t>Deepwater Cisco</t>
  </si>
  <si>
    <t>Threespine Stickleback</t>
  </si>
  <si>
    <t>Deepwater Sculpin</t>
  </si>
  <si>
    <t>Spottail Shiner</t>
  </si>
  <si>
    <t>Emerald Shiner</t>
  </si>
  <si>
    <t>Spotfin Shiner</t>
  </si>
  <si>
    <t>Fantail Darter</t>
  </si>
  <si>
    <t>Spotted Sucker</t>
  </si>
  <si>
    <t>Fathead Minnow</t>
  </si>
  <si>
    <t>Stonecat</t>
  </si>
  <si>
    <t>Finescale Dace</t>
  </si>
  <si>
    <t>Starhead Topminnow</t>
  </si>
  <si>
    <t>Flathead Catfish</t>
  </si>
  <si>
    <t>Walleye</t>
  </si>
  <si>
    <t>Freshwater Drum</t>
  </si>
  <si>
    <t>White Sucker</t>
  </si>
  <si>
    <t>IBI Classification of Wisconsin Fishes (SED sublist)</t>
  </si>
  <si>
    <t>Ghost Shiner</t>
  </si>
  <si>
    <t>White Perch</t>
  </si>
  <si>
    <t xml:space="preserve">Central / Southern WI </t>
  </si>
  <si>
    <t>Gilt Darter</t>
  </si>
  <si>
    <t>Yellow Bass</t>
  </si>
  <si>
    <t>MSR #</t>
  </si>
  <si>
    <t>% of tolerant calc</t>
  </si>
  <si>
    <t>% of omnivorous calc</t>
  </si>
  <si>
    <t>Gizard Shad</t>
  </si>
  <si>
    <t>Yellow Perch</t>
  </si>
  <si>
    <t>1st</t>
  </si>
  <si>
    <t>y=16.7x</t>
  </si>
  <si>
    <t>y=1.9x</t>
  </si>
  <si>
    <t>y=2.4x</t>
  </si>
  <si>
    <t>Golden Redhorse</t>
  </si>
  <si>
    <t>Yellow Bullhead</t>
  </si>
  <si>
    <t>Golden Shiner</t>
  </si>
  <si>
    <t>Weed Shiner</t>
  </si>
  <si>
    <t>Goldeye</t>
  </si>
  <si>
    <t>Warmouth</t>
  </si>
  <si>
    <t>2nd</t>
  </si>
  <si>
    <t>y=8.3x</t>
  </si>
  <si>
    <t>y=0.9x</t>
  </si>
  <si>
    <t>y=1.2x</t>
  </si>
  <si>
    <t>Goldfish</t>
  </si>
  <si>
    <t>Western Sand Darter</t>
  </si>
  <si>
    <t>Grass Carp</t>
  </si>
  <si>
    <t>White Crappie</t>
  </si>
  <si>
    <t>Grass Pickeral</t>
  </si>
  <si>
    <t>White Bass</t>
  </si>
  <si>
    <t>% of insectivores calc</t>
  </si>
  <si>
    <t>% of carnivorous calc</t>
  </si>
  <si>
    <t>Gravel Chub</t>
  </si>
  <si>
    <t>Shortnose Gar</t>
  </si>
  <si>
    <t>Greater Redhorse</t>
  </si>
  <si>
    <t>Shortnose Cisco</t>
  </si>
  <si>
    <t>y=2.9x</t>
  </si>
  <si>
    <t>y=3.0x</t>
  </si>
  <si>
    <t>y=1.1x</t>
  </si>
  <si>
    <t>Green Sunfish</t>
  </si>
  <si>
    <t>Shovelnose Sturgeon</t>
  </si>
  <si>
    <t>Highfin Carpsucker</t>
  </si>
  <si>
    <t>Silver Lamprey (adult)</t>
  </si>
  <si>
    <t>Hornyhead Chub</t>
  </si>
  <si>
    <t>Silver Chub</t>
  </si>
  <si>
    <t>y=1.4x</t>
  </si>
  <si>
    <t>y=1.5x</t>
  </si>
  <si>
    <t>y=0.5x</t>
  </si>
  <si>
    <t>% of lithophiles calc</t>
  </si>
  <si>
    <t>Iowa Darter</t>
  </si>
  <si>
    <t>Sea Lamprey (adult)</t>
  </si>
  <si>
    <t>Iron Color Shiner</t>
  </si>
  <si>
    <t>Sauger</t>
  </si>
  <si>
    <t>Johnny Darter</t>
  </si>
  <si>
    <t>Sea Lamprey (ammoceate)</t>
  </si>
  <si>
    <t>Kiyi</t>
  </si>
  <si>
    <t>Shortjaw Cisco</t>
  </si>
  <si>
    <t>Lake Chub</t>
  </si>
  <si>
    <t>Shorthead Redhorse</t>
  </si>
  <si>
    <t>Lake Chubsucker</t>
  </si>
  <si>
    <t>Silver Lamprey (ammoceate)</t>
  </si>
  <si>
    <t>Lake Sturgeon</t>
  </si>
  <si>
    <t>Smallmouth Buffalo</t>
  </si>
  <si>
    <t>Lake Trout</t>
  </si>
  <si>
    <t>Smallmouth Bass</t>
  </si>
  <si>
    <t>Lake Whitefish</t>
  </si>
  <si>
    <t>Southern Redbelly Dace</t>
  </si>
  <si>
    <t>Largemouth Bass</t>
  </si>
  <si>
    <t>Spoonhead Sculpin</t>
  </si>
  <si>
    <t>Largescale Stoneroller</t>
  </si>
  <si>
    <t>Speckled Chub</t>
  </si>
  <si>
    <t>Least Darter</t>
  </si>
  <si>
    <t>Skipjack Herring</t>
  </si>
  <si>
    <t>Logperch</t>
  </si>
  <si>
    <t>Silver Redhorse</t>
  </si>
  <si>
    <t>Longear Sunfish</t>
  </si>
  <si>
    <t>Slender Madtom</t>
  </si>
  <si>
    <t>Longnose Dace</t>
  </si>
  <si>
    <t>Slimy Sculpin</t>
  </si>
  <si>
    <t>Longnose Gar</t>
  </si>
  <si>
    <t>Slenderhead Darter</t>
  </si>
  <si>
    <t>TOTALS</t>
  </si>
  <si>
    <t>meters</t>
  </si>
  <si>
    <t>Stream width (m) =</t>
  </si>
  <si>
    <t>Equipment Type =</t>
  </si>
  <si>
    <t>Macro to create fishlist (Ctrl+Shft+L)</t>
  </si>
  <si>
    <t>Draft 1/2000 Stream Class Guidelines</t>
  </si>
  <si>
    <t>Tolerant to Low DO</t>
  </si>
  <si>
    <t>SPORT FISH per Ball (1982) w/o salmonids and green sunfish</t>
  </si>
  <si>
    <t>Total # of DO tolerant fish</t>
  </si>
  <si>
    <t>%</t>
  </si>
  <si>
    <t>% of forage fish belonging to spp. that are tolerant to low DO</t>
  </si>
  <si>
    <t>salmonids</t>
  </si>
  <si>
    <t>to</t>
  </si>
  <si>
    <t>feet</t>
  </si>
  <si>
    <t>CONVERSION</t>
  </si>
  <si>
    <t>Notes</t>
  </si>
  <si>
    <t>Is your sample site greater than 8 km from a lake?</t>
  </si>
  <si>
    <t>total # of sunfish spp. &gt;8km from lake</t>
  </si>
  <si>
    <t>total # of sunfish spp. &lt; 8km from lake</t>
  </si>
  <si>
    <t>IBI Classification of fishes</t>
  </si>
  <si>
    <t>To create the fish list, type Ctrl+Sshift+L</t>
  </si>
  <si>
    <t>(REV. 10/12/2001)</t>
  </si>
  <si>
    <t>lamprey</t>
  </si>
  <si>
    <t>corr. Factor</t>
  </si>
  <si>
    <t>Aug. 13, 2001</t>
  </si>
  <si>
    <t>Baird Creek, upstream from Main St.</t>
  </si>
  <si>
    <t>Reyburn, Lange, Schroeder</t>
  </si>
  <si>
    <t>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</si>
</sst>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3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5" fillId="0" borderId="0" xfId="0" applyFont="1" applyFill="1" applyAlignment="1">
      <alignment/>
    </xf>
    <xf numFmtId="168" fontId="5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7" fillId="2" borderId="4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2" borderId="6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2" borderId="2" xfId="0" applyFont="1" applyFill="1" applyBorder="1" applyAlignment="1">
      <alignment/>
    </xf>
    <xf numFmtId="0" fontId="5" fillId="3" borderId="0" xfId="0" applyFont="1" applyFill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177"/>
  <sheetViews>
    <sheetView tabSelected="1" workbookViewId="0" topLeftCell="A1">
      <selection activeCell="K1" sqref="A1:K26"/>
    </sheetView>
  </sheetViews>
  <sheetFormatPr defaultColWidth="9.140625" defaultRowHeight="12" customHeight="1"/>
  <cols>
    <col min="1" max="1" width="14.8515625" style="0" customWidth="1"/>
    <col min="2" max="2" width="11.28125" style="0" customWidth="1"/>
    <col min="3" max="3" width="8.57421875" style="0" customWidth="1"/>
    <col min="4" max="4" width="8.7109375" style="0" customWidth="1"/>
    <col min="5" max="5" width="6.57421875" style="0" customWidth="1"/>
    <col min="6" max="6" width="3.28125" style="0" customWidth="1"/>
    <col min="7" max="7" width="10.28125" style="0" customWidth="1"/>
    <col min="8" max="8" width="12.421875" style="0" customWidth="1"/>
    <col min="9" max="9" width="8.28125" style="0" customWidth="1"/>
    <col min="10" max="10" width="5.28125" style="0" customWidth="1"/>
    <col min="11" max="11" width="3.00390625" style="0" customWidth="1"/>
    <col min="12" max="15" width="10.28125" style="0" customWidth="1"/>
    <col min="16" max="16" width="2.140625" style="0" customWidth="1"/>
    <col min="17" max="17" width="3.00390625" style="0" customWidth="1"/>
    <col min="18" max="18" width="3.421875" style="0" customWidth="1"/>
    <col min="19" max="19" width="2.421875" style="0" customWidth="1"/>
    <col min="20" max="21" width="2.8515625" style="0" customWidth="1"/>
    <col min="22" max="22" width="2.7109375" style="0" customWidth="1"/>
    <col min="23" max="23" width="3.00390625" style="0" customWidth="1"/>
    <col min="24" max="24" width="2.7109375" style="0" customWidth="1"/>
    <col min="25" max="25" width="2.28125" style="0" customWidth="1"/>
    <col min="26" max="26" width="2.8515625" style="0" customWidth="1"/>
    <col min="27" max="27" width="10.28125" style="0" customWidth="1"/>
    <col min="28" max="28" width="30.00390625" style="0" customWidth="1"/>
    <col min="29" max="29" width="3.421875" style="0" customWidth="1"/>
    <col min="30" max="31" width="3.7109375" style="0" customWidth="1"/>
    <col min="32" max="32" width="3.28125" style="0" customWidth="1"/>
    <col min="33" max="33" width="3.7109375" style="0" customWidth="1"/>
    <col min="34" max="34" width="8.8515625" style="0" customWidth="1"/>
    <col min="35" max="35" width="11.140625" style="0" customWidth="1"/>
    <col min="36" max="36" width="10.140625" style="0" customWidth="1"/>
    <col min="37" max="37" width="10.57421875" style="0" customWidth="1"/>
    <col min="38" max="39" width="10.421875" style="0" customWidth="1"/>
    <col min="40" max="40" width="16.28125" style="0" customWidth="1"/>
    <col min="41" max="16384" width="10.28125" style="0" customWidth="1"/>
  </cols>
  <sheetData>
    <row r="1" spans="1:27" s="8" customFormat="1" ht="12" customHeight="1">
      <c r="A1" s="31" t="s">
        <v>0</v>
      </c>
      <c r="B1" s="31"/>
      <c r="C1" s="31"/>
      <c r="D1" s="31"/>
      <c r="E1" s="31"/>
      <c r="F1" s="31"/>
      <c r="G1" s="31"/>
      <c r="H1" s="31"/>
      <c r="I1" s="31" t="s">
        <v>271</v>
      </c>
      <c r="J1" s="31"/>
      <c r="K1" s="31"/>
      <c r="L1" s="31" t="s">
        <v>264</v>
      </c>
      <c r="M1" s="31"/>
      <c r="AA1" s="8" t="s">
        <v>269</v>
      </c>
    </row>
    <row r="2" spans="1:40" s="8" customFormat="1" ht="12" customHeight="1">
      <c r="A2" s="9" t="s">
        <v>1</v>
      </c>
      <c r="B2" s="10" t="s">
        <v>274</v>
      </c>
      <c r="C2" s="11"/>
      <c r="D2" s="11"/>
      <c r="E2" s="11"/>
      <c r="F2" s="11"/>
      <c r="G2" s="11"/>
      <c r="H2" s="12"/>
      <c r="I2" s="11"/>
      <c r="L2" s="13" t="s">
        <v>263</v>
      </c>
      <c r="AN2" s="8" t="s">
        <v>255</v>
      </c>
    </row>
    <row r="3" spans="1:92" s="8" customFormat="1" ht="12" customHeight="1">
      <c r="A3" s="9" t="s">
        <v>3</v>
      </c>
      <c r="B3" s="14" t="s">
        <v>275</v>
      </c>
      <c r="C3" s="15"/>
      <c r="D3" s="15"/>
      <c r="E3" s="15"/>
      <c r="F3" s="15"/>
      <c r="G3" s="15"/>
      <c r="H3" s="15"/>
      <c r="I3" s="15"/>
      <c r="J3" s="16"/>
      <c r="L3" s="17">
        <v>7.6</v>
      </c>
      <c r="AA3" s="18" t="s">
        <v>4</v>
      </c>
      <c r="AB3" s="8" t="s">
        <v>5</v>
      </c>
      <c r="AC3" s="8" t="s">
        <v>6</v>
      </c>
      <c r="AG3" s="8" t="s">
        <v>7</v>
      </c>
      <c r="AI3" s="8" t="s">
        <v>272</v>
      </c>
      <c r="AJ3" s="8" t="s">
        <v>8</v>
      </c>
      <c r="AM3" s="8" t="s">
        <v>9</v>
      </c>
      <c r="AN3" s="8" t="s">
        <v>256</v>
      </c>
      <c r="AO3" s="8" t="s">
        <v>257</v>
      </c>
      <c r="CN3" s="8" t="s">
        <v>10</v>
      </c>
    </row>
    <row r="4" spans="1:42" s="8" customFormat="1" ht="12" customHeight="1">
      <c r="A4" s="9" t="s">
        <v>11</v>
      </c>
      <c r="B4" s="19" t="s">
        <v>276</v>
      </c>
      <c r="C4" s="15"/>
      <c r="D4" s="15"/>
      <c r="E4" s="15"/>
      <c r="F4" s="20"/>
      <c r="G4" s="16"/>
      <c r="H4" s="21"/>
      <c r="L4" s="13" t="s">
        <v>262</v>
      </c>
      <c r="AC4" s="22" t="s">
        <v>12</v>
      </c>
      <c r="AD4" s="22" t="s">
        <v>13</v>
      </c>
      <c r="AE4" s="22" t="s">
        <v>14</v>
      </c>
      <c r="AF4" s="22" t="s">
        <v>15</v>
      </c>
      <c r="AG4" s="22" t="s">
        <v>16</v>
      </c>
      <c r="AH4" s="22" t="s">
        <v>17</v>
      </c>
      <c r="AI4" s="22" t="s">
        <v>273</v>
      </c>
      <c r="AJ4" s="22" t="s">
        <v>18</v>
      </c>
      <c r="AK4" s="22" t="s">
        <v>19</v>
      </c>
      <c r="AL4" s="22" t="s">
        <v>20</v>
      </c>
      <c r="AM4" s="22" t="s">
        <v>21</v>
      </c>
      <c r="AP4" s="8" t="s">
        <v>261</v>
      </c>
    </row>
    <row r="5" spans="1:93" s="8" customFormat="1" ht="12" customHeight="1">
      <c r="A5" s="8" t="s">
        <v>22</v>
      </c>
      <c r="D5" s="8" t="s">
        <v>23</v>
      </c>
      <c r="E5" s="8" t="s">
        <v>24</v>
      </c>
      <c r="G5" s="18" t="s">
        <v>253</v>
      </c>
      <c r="I5" s="23" t="s">
        <v>25</v>
      </c>
      <c r="L5" s="13" t="s">
        <v>251</v>
      </c>
      <c r="M5" s="8" t="s">
        <v>254</v>
      </c>
      <c r="AA5" s="24">
        <v>53</v>
      </c>
      <c r="AB5" s="8" t="s">
        <v>142</v>
      </c>
      <c r="AE5" s="8">
        <f>IF(AA5&gt;0,1," ")</f>
        <v>1</v>
      </c>
      <c r="AH5" s="8">
        <f>IF(AA5&gt;0,AA5," ")</f>
        <v>53</v>
      </c>
      <c r="AL5" s="8">
        <f>IF(AA5&gt;0,AA5," ")</f>
        <v>53</v>
      </c>
      <c r="AN5" s="8">
        <f>IF($AA5&gt;0,$AA5," ")</f>
        <v>53</v>
      </c>
      <c r="AO5" s="21"/>
      <c r="CM5" s="24">
        <v>53</v>
      </c>
      <c r="CN5" s="8" t="s">
        <v>142</v>
      </c>
      <c r="CO5" s="21" t="s">
        <v>26</v>
      </c>
    </row>
    <row r="6" spans="1:93" s="8" customFormat="1" ht="12" customHeight="1">
      <c r="A6" s="8" t="s">
        <v>28</v>
      </c>
      <c r="D6" s="8">
        <f>(AA176)</f>
        <v>121</v>
      </c>
      <c r="E6" s="25" t="s">
        <v>29</v>
      </c>
      <c r="F6" s="21"/>
      <c r="G6" s="18" t="s">
        <v>252</v>
      </c>
      <c r="I6" s="23">
        <v>10.54</v>
      </c>
      <c r="L6" s="13">
        <f>ROUND((0.3048*L3),2)</f>
        <v>2.32</v>
      </c>
      <c r="M6" s="8" t="s">
        <v>2</v>
      </c>
      <c r="AA6" s="24">
        <v>21</v>
      </c>
      <c r="AB6" s="8" t="s">
        <v>146</v>
      </c>
      <c r="AH6" s="8">
        <f>IF(AA6&gt;0,AA6," ")</f>
        <v>21</v>
      </c>
      <c r="AN6" s="21"/>
      <c r="AO6" s="21"/>
      <c r="CM6" s="24">
        <v>21</v>
      </c>
      <c r="CN6" s="8" t="s">
        <v>146</v>
      </c>
      <c r="CO6" s="21" t="s">
        <v>30</v>
      </c>
    </row>
    <row r="7" spans="1:93" s="8" customFormat="1" ht="12" customHeight="1">
      <c r="A7" s="8" t="s">
        <v>32</v>
      </c>
      <c r="D7" s="8">
        <f>(AA177-AE176-AI176)</f>
        <v>10</v>
      </c>
      <c r="E7" s="8">
        <f>SUM(C63:C67)</f>
        <v>2</v>
      </c>
      <c r="G7" s="8" t="s">
        <v>33</v>
      </c>
      <c r="I7" s="11">
        <f>ROUND(LN(I6),2)</f>
        <v>2.36</v>
      </c>
      <c r="AA7" s="24">
        <v>18</v>
      </c>
      <c r="AB7" s="8" t="s">
        <v>208</v>
      </c>
      <c r="AF7" s="8">
        <f>IF(AA7&gt;0,1," ")</f>
        <v>1</v>
      </c>
      <c r="AH7" s="8">
        <f>IF(AA7&gt;0,AA7," ")</f>
        <v>18</v>
      </c>
      <c r="AK7" s="8">
        <f>IF(AA7&gt;0,AA7," ")</f>
        <v>18</v>
      </c>
      <c r="AN7" s="8">
        <f>IF($AA7&gt;0,$AA7," ")</f>
        <v>18</v>
      </c>
      <c r="AO7" s="21"/>
      <c r="CM7" s="24">
        <v>18</v>
      </c>
      <c r="CN7" s="8" t="s">
        <v>208</v>
      </c>
      <c r="CO7" s="21" t="s">
        <v>34</v>
      </c>
    </row>
    <row r="8" spans="1:93" s="8" customFormat="1" ht="12" customHeight="1">
      <c r="A8" s="8" t="s">
        <v>36</v>
      </c>
      <c r="D8" s="8">
        <f>(AD176)</f>
        <v>0</v>
      </c>
      <c r="E8" s="8">
        <f>SUM(C71:C75)</f>
        <v>0</v>
      </c>
      <c r="G8" s="18" t="s">
        <v>40</v>
      </c>
      <c r="I8" s="23">
        <v>368.9</v>
      </c>
      <c r="AA8" s="26">
        <v>8</v>
      </c>
      <c r="AB8" s="8" t="s">
        <v>59</v>
      </c>
      <c r="AK8" s="8">
        <f>IF(AA8&gt;0,AA8," ")</f>
        <v>8</v>
      </c>
      <c r="AN8" s="8">
        <f>IF($AA8&gt;0,$AA8," ")</f>
        <v>8</v>
      </c>
      <c r="AO8" s="21"/>
      <c r="CM8" s="26">
        <v>8</v>
      </c>
      <c r="CN8" s="8" t="s">
        <v>59</v>
      </c>
      <c r="CO8" s="21" t="s">
        <v>37</v>
      </c>
    </row>
    <row r="9" spans="1:93" s="8" customFormat="1" ht="12" customHeight="1">
      <c r="A9" s="8" t="s">
        <v>39</v>
      </c>
      <c r="D9" s="8">
        <f>($AC$176)</f>
        <v>1</v>
      </c>
      <c r="E9" s="8">
        <f>SUM(F63:F67)</f>
        <v>0</v>
      </c>
      <c r="G9" s="8" t="s">
        <v>266</v>
      </c>
      <c r="K9" s="23" t="s">
        <v>277</v>
      </c>
      <c r="AA9" s="24">
        <v>7</v>
      </c>
      <c r="AB9" s="8" t="s">
        <v>160</v>
      </c>
      <c r="AH9" s="8">
        <f>IF(AA9&gt;0,AA9," ")</f>
        <v>7</v>
      </c>
      <c r="AL9" s="8">
        <f>IF(AA9&gt;0,AA9," ")</f>
        <v>7</v>
      </c>
      <c r="AN9" s="8">
        <f>IF($AA9&gt;0,$AA9," ")</f>
        <v>7</v>
      </c>
      <c r="AP9" s="8">
        <f>IF(AA9&gt;0,AA9," ")</f>
        <v>7</v>
      </c>
      <c r="CM9" s="24">
        <v>7</v>
      </c>
      <c r="CN9" s="8" t="s">
        <v>160</v>
      </c>
      <c r="CO9" s="8" t="s">
        <v>41</v>
      </c>
    </row>
    <row r="10" spans="1:93" s="8" customFormat="1" ht="12" customHeight="1">
      <c r="A10" s="8" t="s">
        <v>268</v>
      </c>
      <c r="D10" s="8">
        <f>IF($K$9="n",($AF$176),0)</f>
        <v>2</v>
      </c>
      <c r="E10" s="8">
        <f>SUM(F71:F75)</f>
        <v>5</v>
      </c>
      <c r="AA10" s="26">
        <v>5</v>
      </c>
      <c r="AB10" s="8" t="s">
        <v>144</v>
      </c>
      <c r="AK10" s="8">
        <f>IF(AA10&gt;0,AA10," ")</f>
        <v>5</v>
      </c>
      <c r="AM10" s="8">
        <f>IF(AA10&gt;0,AA10," ")</f>
        <v>5</v>
      </c>
      <c r="CM10" s="26">
        <v>5</v>
      </c>
      <c r="CN10" s="8" t="s">
        <v>144</v>
      </c>
      <c r="CO10" s="8" t="s">
        <v>44</v>
      </c>
    </row>
    <row r="11" spans="1:93" s="8" customFormat="1" ht="12" customHeight="1">
      <c r="A11" s="8" t="s">
        <v>267</v>
      </c>
      <c r="D11" s="8">
        <f>IF($K$9="y",($AF$176),0)</f>
        <v>0</v>
      </c>
      <c r="E11" s="8">
        <f>SUM(I71:I75)</f>
        <v>0</v>
      </c>
      <c r="L11" s="27" t="s">
        <v>270</v>
      </c>
      <c r="M11" s="27"/>
      <c r="N11" s="27"/>
      <c r="AA11" s="24">
        <v>3</v>
      </c>
      <c r="AB11" s="8" t="s">
        <v>103</v>
      </c>
      <c r="AH11" s="8">
        <f>IF(AA11&gt;0,AA11," ")</f>
        <v>3</v>
      </c>
      <c r="AL11" s="8">
        <f>IF(AA11&gt;0,AA11," ")</f>
        <v>3</v>
      </c>
      <c r="AN11" s="21"/>
      <c r="CM11" s="24">
        <v>3</v>
      </c>
      <c r="CN11" s="8" t="s">
        <v>103</v>
      </c>
      <c r="CO11" s="8" t="s">
        <v>47</v>
      </c>
    </row>
    <row r="12" spans="1:93" s="8" customFormat="1" ht="12" customHeight="1">
      <c r="A12" s="8" t="s">
        <v>54</v>
      </c>
      <c r="D12" s="8">
        <f>(AG176)</f>
        <v>1</v>
      </c>
      <c r="E12" s="8">
        <f>SUM(I63:I67)</f>
        <v>0</v>
      </c>
      <c r="AA12" s="24">
        <v>3</v>
      </c>
      <c r="AB12" s="8" t="s">
        <v>95</v>
      </c>
      <c r="AF12" s="8">
        <f>IF(AA12&gt;0,1," ")</f>
        <v>1</v>
      </c>
      <c r="AG12" s="8">
        <f>IF(AA12&gt;0,1," ")</f>
        <v>1</v>
      </c>
      <c r="AJ12" s="8">
        <f>IF(AA12&gt;0,AA12," ")</f>
        <v>3</v>
      </c>
      <c r="AN12" s="21"/>
      <c r="AO12" s="21"/>
      <c r="CM12" s="24">
        <v>3</v>
      </c>
      <c r="CN12" s="8" t="s">
        <v>95</v>
      </c>
      <c r="CO12" s="21" t="s">
        <v>50</v>
      </c>
    </row>
    <row r="13" spans="1:93" s="8" customFormat="1" ht="12" customHeight="1">
      <c r="A13" s="8" t="s">
        <v>57</v>
      </c>
      <c r="D13" s="8">
        <f>(AH176)</f>
        <v>103</v>
      </c>
      <c r="E13" s="8">
        <f>SUM(J63:J66)</f>
        <v>0</v>
      </c>
      <c r="AA13" s="26">
        <v>1</v>
      </c>
      <c r="AB13" s="8" t="s">
        <v>156</v>
      </c>
      <c r="AK13" s="8">
        <f>IF(AA13&gt;0,AA13," ")</f>
        <v>1</v>
      </c>
      <c r="AM13" s="8">
        <f>IF(AA13&gt;0,AA13," ")</f>
        <v>1</v>
      </c>
      <c r="CM13" s="26">
        <v>1</v>
      </c>
      <c r="CN13" s="8" t="s">
        <v>156</v>
      </c>
      <c r="CO13" s="8" t="s">
        <v>52</v>
      </c>
    </row>
    <row r="14" spans="1:93" s="8" customFormat="1" ht="12" customHeight="1">
      <c r="A14" s="8" t="s">
        <v>61</v>
      </c>
      <c r="D14" s="8">
        <f>(AL176)</f>
        <v>64</v>
      </c>
      <c r="E14" s="8">
        <f>SUM(L63:L66)</f>
        <v>0</v>
      </c>
      <c r="AA14" s="24">
        <v>1</v>
      </c>
      <c r="AB14" s="8" t="s">
        <v>167</v>
      </c>
      <c r="AC14" s="8">
        <f>IF(AA14&gt;0,1," ")</f>
        <v>1</v>
      </c>
      <c r="AH14" s="8">
        <f>IF(AA14&gt;0,AA14," ")</f>
        <v>1</v>
      </c>
      <c r="AL14" s="8">
        <f>IF(AA14&gt;0,AA14," ")</f>
        <v>1</v>
      </c>
      <c r="AM14" s="8">
        <f>IF(AA14&gt;0,AA14," ")</f>
        <v>1</v>
      </c>
      <c r="AN14" s="21"/>
      <c r="AO14" s="21"/>
      <c r="CM14" s="24">
        <v>1</v>
      </c>
      <c r="CN14" s="8" t="s">
        <v>167</v>
      </c>
      <c r="CO14" s="21" t="s">
        <v>55</v>
      </c>
    </row>
    <row r="15" spans="1:93" s="8" customFormat="1" ht="12" customHeight="1">
      <c r="A15" s="8" t="s">
        <v>65</v>
      </c>
      <c r="D15" s="8">
        <f>(AK176)</f>
        <v>33</v>
      </c>
      <c r="E15" s="8">
        <f>SUM(J70:J73)</f>
        <v>0</v>
      </c>
      <c r="G15" s="8" t="s">
        <v>58</v>
      </c>
      <c r="J15" s="28">
        <f>IF(D13&gt;0,ROUND(((D13/D6)*100),0),0)</f>
        <v>85</v>
      </c>
      <c r="K15" s="28"/>
      <c r="AA15" s="24">
        <v>1</v>
      </c>
      <c r="AB15" s="8" t="s">
        <v>178</v>
      </c>
      <c r="AK15" s="8">
        <f>IF(AA15&gt;0,AA15," ")</f>
        <v>1</v>
      </c>
      <c r="AN15" s="21"/>
      <c r="CM15" s="24">
        <v>1</v>
      </c>
      <c r="CN15" s="8" t="s">
        <v>178</v>
      </c>
      <c r="CO15" s="8" t="s">
        <v>59</v>
      </c>
    </row>
    <row r="16" spans="1:93" s="8" customFormat="1" ht="12" customHeight="1">
      <c r="A16" s="8" t="s">
        <v>69</v>
      </c>
      <c r="D16" s="8">
        <f>(AJ176)</f>
        <v>3</v>
      </c>
      <c r="E16" s="8">
        <f>SUM(L70:L73)</f>
        <v>0</v>
      </c>
      <c r="G16" s="8" t="s">
        <v>62</v>
      </c>
      <c r="J16" s="28">
        <f>IF(D14&gt;0,ROUND(((D14/D6)*100),0),0)</f>
        <v>53</v>
      </c>
      <c r="K16" s="28"/>
      <c r="AA16" s="24"/>
      <c r="AB16" s="21" t="s">
        <v>26</v>
      </c>
      <c r="AC16" s="21"/>
      <c r="AD16" s="21"/>
      <c r="AE16" s="8" t="str">
        <f>IF(AA16&gt;0,1," ")</f>
        <v> </v>
      </c>
      <c r="AF16" s="21"/>
      <c r="AG16" s="21"/>
      <c r="AH16" s="21"/>
      <c r="AI16" s="21"/>
      <c r="AJ16" s="21"/>
      <c r="AK16" s="21"/>
      <c r="AL16" s="21"/>
      <c r="AM16" s="21"/>
      <c r="AO16" s="8" t="str">
        <f>IF(AA16&gt;0,AA16," ")</f>
        <v> </v>
      </c>
      <c r="CM16" s="24"/>
      <c r="CN16" s="21" t="s">
        <v>26</v>
      </c>
      <c r="CO16" s="8" t="s">
        <v>63</v>
      </c>
    </row>
    <row r="17" spans="1:93" s="8" customFormat="1" ht="12" customHeight="1">
      <c r="A17" s="8" t="s">
        <v>73</v>
      </c>
      <c r="D17" s="8">
        <f>(AM176)</f>
        <v>7</v>
      </c>
      <c r="E17" s="8">
        <f>SUM(J75:J77)</f>
        <v>0</v>
      </c>
      <c r="G17" s="8" t="s">
        <v>66</v>
      </c>
      <c r="J17" s="28">
        <f>IF(D15&gt;0,ROUND(((D15/D6)*100),0),0)</f>
        <v>27</v>
      </c>
      <c r="K17" s="28"/>
      <c r="AA17" s="24"/>
      <c r="AB17" s="21" t="s">
        <v>30</v>
      </c>
      <c r="AC17" s="21"/>
      <c r="AD17" s="21"/>
      <c r="AE17" s="21"/>
      <c r="AF17" s="21"/>
      <c r="AH17" s="21"/>
      <c r="AI17" s="21"/>
      <c r="AJ17" s="21"/>
      <c r="AK17" s="21"/>
      <c r="AL17" s="21"/>
      <c r="AM17" s="21"/>
      <c r="AN17" s="21"/>
      <c r="CM17" s="24"/>
      <c r="CN17" s="21" t="s">
        <v>30</v>
      </c>
      <c r="CO17" s="8" t="s">
        <v>67</v>
      </c>
    </row>
    <row r="18" spans="1:93" s="8" customFormat="1" ht="12" customHeight="1">
      <c r="A18" s="21"/>
      <c r="B18" s="21"/>
      <c r="C18" s="21"/>
      <c r="D18" s="21" t="s">
        <v>77</v>
      </c>
      <c r="E18" s="21">
        <f>SUM(E7:E17)</f>
        <v>7</v>
      </c>
      <c r="G18" s="8" t="s">
        <v>70</v>
      </c>
      <c r="J18" s="28">
        <f>IF(D16&gt;0,ROUND(((D16/D6)*100),0),0)</f>
        <v>2</v>
      </c>
      <c r="K18" s="28"/>
      <c r="AA18" s="24"/>
      <c r="AB18" s="21" t="s">
        <v>34</v>
      </c>
      <c r="AC18" s="21"/>
      <c r="AD18" s="21"/>
      <c r="AE18" s="21"/>
      <c r="AF18" s="21"/>
      <c r="AG18" s="8" t="str">
        <f>IF(AA17&gt;0,1,IF(AA18&gt;0,1," "))</f>
        <v> </v>
      </c>
      <c r="AH18" s="21"/>
      <c r="AI18" s="8" t="str">
        <f>IF(AA17&gt;0,IF(AA18&gt;0,1," ")," ")</f>
        <v> </v>
      </c>
      <c r="AJ18" s="21"/>
      <c r="AK18" s="21"/>
      <c r="AL18" s="21"/>
      <c r="AM18" s="21"/>
      <c r="AN18" s="21"/>
      <c r="CM18" s="24"/>
      <c r="CN18" s="21" t="s">
        <v>34</v>
      </c>
      <c r="CO18" s="8" t="s">
        <v>71</v>
      </c>
    </row>
    <row r="19" spans="7:93" s="8" customFormat="1" ht="12" customHeight="1">
      <c r="G19" s="8" t="s">
        <v>74</v>
      </c>
      <c r="J19" s="28">
        <f>IF(D17&gt;0,ROUND(((D17/D6)*100),0),0)</f>
        <v>6</v>
      </c>
      <c r="K19" s="28"/>
      <c r="AA19" s="24"/>
      <c r="AB19" s="21" t="s">
        <v>37</v>
      </c>
      <c r="AC19" s="21"/>
      <c r="AD19" s="21"/>
      <c r="AE19" s="21"/>
      <c r="AF19" s="21"/>
      <c r="AG19" s="21"/>
      <c r="AH19" s="21"/>
      <c r="AI19" s="21"/>
      <c r="AJ19" s="8" t="str">
        <f>IF(AA19&gt;0,AA19," ")</f>
        <v> </v>
      </c>
      <c r="AK19" s="21"/>
      <c r="AL19" s="21"/>
      <c r="AM19" s="21"/>
      <c r="AO19" s="21"/>
      <c r="CM19" s="24"/>
      <c r="CN19" s="21" t="s">
        <v>37</v>
      </c>
      <c r="CO19" s="21" t="s">
        <v>75</v>
      </c>
    </row>
    <row r="20" spans="1:93" s="8" customFormat="1" ht="12" customHeight="1">
      <c r="A20" s="8" t="s">
        <v>78</v>
      </c>
      <c r="E20" s="8">
        <f>IF(J21&lt;50,E18-10,E18)</f>
        <v>-3</v>
      </c>
      <c r="G20" s="21" t="s">
        <v>78</v>
      </c>
      <c r="H20" s="21"/>
      <c r="I20" s="21"/>
      <c r="J20" s="29"/>
      <c r="K20" s="29"/>
      <c r="L20" s="21"/>
      <c r="AA20" s="24"/>
      <c r="AB20" s="8" t="s">
        <v>41</v>
      </c>
      <c r="AE20" s="8" t="str">
        <f>IF(AA20&gt;0,1," ")</f>
        <v> </v>
      </c>
      <c r="AJ20" s="8" t="str">
        <f>IF(AA20&gt;0,AA20," ")</f>
        <v> </v>
      </c>
      <c r="CM20" s="24"/>
      <c r="CN20" s="8" t="s">
        <v>41</v>
      </c>
      <c r="CO20" s="8" t="s">
        <v>79</v>
      </c>
    </row>
    <row r="21" spans="1:93" s="8" customFormat="1" ht="12" customHeight="1">
      <c r="A21" s="18" t="s">
        <v>84</v>
      </c>
      <c r="D21" s="23">
        <v>0</v>
      </c>
      <c r="E21" s="8">
        <f>IF(J22&gt;3,E20-10,E20)</f>
        <v>-3</v>
      </c>
      <c r="G21" s="8" t="s">
        <v>81</v>
      </c>
      <c r="J21" s="28">
        <f>ROUND((((D6-D13)*300)/I8),0)</f>
        <v>15</v>
      </c>
      <c r="K21" s="28"/>
      <c r="AA21" s="24"/>
      <c r="AB21" s="8" t="s">
        <v>44</v>
      </c>
      <c r="AD21" s="8" t="str">
        <f>IF(AA21&gt;0,1," ")</f>
        <v> </v>
      </c>
      <c r="AG21" s="8" t="str">
        <f>IF(AA21&gt;0,1," ")</f>
        <v> </v>
      </c>
      <c r="AK21" s="8" t="str">
        <f>IF(AA21&gt;0,AA21," ")</f>
        <v> </v>
      </c>
      <c r="AM21" s="8" t="str">
        <f>IF(AA21&gt;0,AA21," ")</f>
        <v> </v>
      </c>
      <c r="CM21" s="24"/>
      <c r="CN21" s="8" t="s">
        <v>44</v>
      </c>
      <c r="CO21" s="8" t="s">
        <v>82</v>
      </c>
    </row>
    <row r="22" spans="1:93" s="8" customFormat="1" ht="12" customHeight="1">
      <c r="A22" s="21"/>
      <c r="B22" s="8" t="s">
        <v>88</v>
      </c>
      <c r="E22" s="8">
        <f>(E21)</f>
        <v>-3</v>
      </c>
      <c r="G22" s="8" t="s">
        <v>85</v>
      </c>
      <c r="J22" s="28">
        <f>IF(D21&gt;0,ROUND(((D21/D6)*100),0),0)</f>
        <v>0</v>
      </c>
      <c r="K22" s="28"/>
      <c r="AA22" s="24"/>
      <c r="AB22" s="8" t="s">
        <v>47</v>
      </c>
      <c r="AK22" s="8" t="str">
        <f>IF(AA22&gt;0,AA22," ")</f>
        <v> </v>
      </c>
      <c r="CM22" s="24"/>
      <c r="CN22" s="8" t="s">
        <v>47</v>
      </c>
      <c r="CO22" s="8" t="s">
        <v>86</v>
      </c>
    </row>
    <row r="23" spans="6:93" s="8" customFormat="1" ht="12" customHeight="1">
      <c r="F23" s="21"/>
      <c r="G23" s="21"/>
      <c r="H23" s="21"/>
      <c r="L23" s="21"/>
      <c r="AA23" s="24"/>
      <c r="AB23" s="21" t="s">
        <v>50</v>
      </c>
      <c r="AC23" s="8" t="str">
        <f>IF(AA23&gt;0,1," ")</f>
        <v> </v>
      </c>
      <c r="AD23" s="21"/>
      <c r="AE23" s="21"/>
      <c r="AF23" s="21"/>
      <c r="AG23" s="21"/>
      <c r="AH23" s="21"/>
      <c r="AI23" s="21"/>
      <c r="AJ23" s="21"/>
      <c r="AK23" s="8" t="str">
        <f>IF(AA23&gt;0,AA23," ")</f>
        <v> </v>
      </c>
      <c r="AL23" s="21"/>
      <c r="AM23" s="21"/>
      <c r="AN23" s="21"/>
      <c r="CM23" s="24"/>
      <c r="CN23" s="21" t="s">
        <v>50</v>
      </c>
      <c r="CO23" s="8" t="s">
        <v>89</v>
      </c>
    </row>
    <row r="24" spans="1:93" s="8" customFormat="1" ht="12" customHeight="1">
      <c r="A24" s="21"/>
      <c r="B24" s="21"/>
      <c r="C24" s="30" t="s">
        <v>91</v>
      </c>
      <c r="D24" s="18"/>
      <c r="E24" s="30">
        <f>IF(E21&lt;1,0,E21)</f>
        <v>0</v>
      </c>
      <c r="F24" s="21"/>
      <c r="G24" s="21"/>
      <c r="H24" s="21"/>
      <c r="J24" s="21"/>
      <c r="AA24" s="24"/>
      <c r="AB24" s="8" t="s">
        <v>52</v>
      </c>
      <c r="AK24" s="8" t="str">
        <f>IF(AA24&gt;0,AA24," ")</f>
        <v> </v>
      </c>
      <c r="AO24" s="21"/>
      <c r="CM24" s="24"/>
      <c r="CN24" s="8" t="s">
        <v>52</v>
      </c>
      <c r="CO24" s="21" t="s">
        <v>92</v>
      </c>
    </row>
    <row r="25" spans="1:93" s="8" customFormat="1" ht="12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L25" s="21"/>
      <c r="AA25" s="26"/>
      <c r="AB25" s="21" t="s">
        <v>55</v>
      </c>
      <c r="AC25" s="8" t="str">
        <f>IF(AA25&gt;0,1," ")</f>
        <v> </v>
      </c>
      <c r="AD25" s="21"/>
      <c r="AE25" s="21"/>
      <c r="AF25" s="21"/>
      <c r="AG25" s="8" t="str">
        <f>IF(AA25&gt;0,1," ")</f>
        <v> </v>
      </c>
      <c r="AH25" s="21"/>
      <c r="AI25" s="21"/>
      <c r="AJ25" s="21"/>
      <c r="AK25" s="8" t="str">
        <f>IF(AA25&gt;0,AA25," ")</f>
        <v> </v>
      </c>
      <c r="AL25" s="21"/>
      <c r="AM25" s="21"/>
      <c r="AO25" s="21"/>
      <c r="CM25" s="26"/>
      <c r="CN25" s="21" t="s">
        <v>55</v>
      </c>
      <c r="CO25" s="21" t="s">
        <v>94</v>
      </c>
    </row>
    <row r="26" spans="1:93" s="8" customFormat="1" ht="12" customHeight="1">
      <c r="A26" s="30" t="s">
        <v>96</v>
      </c>
      <c r="B26" s="18"/>
      <c r="C26" s="30"/>
      <c r="D26" s="30">
        <f>IF(E24&gt;64,"EXCELLENT","")</f>
      </c>
      <c r="E26" s="30">
        <f>IF(AND(E24&gt;49,E24&lt;65),"GOOD","")</f>
      </c>
      <c r="F26" s="30">
        <f>IF(AND(E24&gt;29,E24&lt;50),"FAIR","")</f>
      </c>
      <c r="G26" s="30">
        <f>IF(AND(E24&gt;19,E24&lt;30),"POOR","")</f>
      </c>
      <c r="H26" s="30" t="str">
        <f>IF(E24&lt;20,"VERY POOR","")</f>
        <v>VERY POOR</v>
      </c>
      <c r="I26" s="30"/>
      <c r="J26" s="18"/>
      <c r="AA26" s="26"/>
      <c r="AB26" s="8" t="s">
        <v>63</v>
      </c>
      <c r="AF26" s="8" t="str">
        <f>IF(AA26&gt;0,1," ")</f>
        <v> </v>
      </c>
      <c r="AJ26" s="8" t="str">
        <f>IF(AA26&gt;0,AA26," ")</f>
        <v> </v>
      </c>
      <c r="AN26" s="21"/>
      <c r="AO26" s="8" t="str">
        <f>IF($AA26&gt;0,$AA26," ")</f>
        <v> </v>
      </c>
      <c r="CM26" s="26"/>
      <c r="CN26" s="8" t="s">
        <v>63</v>
      </c>
      <c r="CO26" s="8" t="s">
        <v>97</v>
      </c>
    </row>
    <row r="27" spans="1:93" ht="12" customHeight="1">
      <c r="A27" s="2"/>
      <c r="B27" s="2"/>
      <c r="C27" s="2"/>
      <c r="D27" s="2"/>
      <c r="E27" s="5" t="s">
        <v>265</v>
      </c>
      <c r="G27" s="2"/>
      <c r="H27" s="2"/>
      <c r="I27" s="2"/>
      <c r="J27" s="2"/>
      <c r="K27" s="2"/>
      <c r="L27" s="2"/>
      <c r="AA27" s="7"/>
      <c r="AB27" t="s">
        <v>67</v>
      </c>
      <c r="AC27" t="str">
        <f>IF(AA27&gt;0,1," ")</f>
        <v> </v>
      </c>
      <c r="AK27" t="str">
        <f>IF(AA27&gt;0,AA27," ")</f>
        <v> </v>
      </c>
      <c r="AM27" t="str">
        <f>IF(AA27&gt;0,AA27," ")</f>
        <v> </v>
      </c>
      <c r="AN27" s="2"/>
      <c r="CM27" s="7"/>
      <c r="CN27" t="s">
        <v>67</v>
      </c>
      <c r="CO27" t="s">
        <v>99</v>
      </c>
    </row>
    <row r="28" spans="1:93" ht="12" customHeight="1">
      <c r="A28" s="4" t="s">
        <v>101</v>
      </c>
      <c r="B28" s="4" t="s">
        <v>102</v>
      </c>
      <c r="C28" s="2"/>
      <c r="D28" s="2"/>
      <c r="E28" t="str">
        <f>IF(I6&lt;2.5,"** STREAM WIDTH BELOW IBI MODEL CALIBRATION (&lt;2.5m or 8.2 ft.)"," ")</f>
        <v> </v>
      </c>
      <c r="G28" s="2"/>
      <c r="H28" s="2"/>
      <c r="I28" s="2"/>
      <c r="J28" s="2"/>
      <c r="K28" s="2"/>
      <c r="L28" s="2"/>
      <c r="AA28" s="6"/>
      <c r="AB28" t="s">
        <v>71</v>
      </c>
      <c r="AG28" t="str">
        <f>IF(AA28&gt;0,1," ")</f>
        <v> </v>
      </c>
      <c r="AK28" t="str">
        <f>IF(AA28&gt;0,AA28," ")</f>
        <v> </v>
      </c>
      <c r="CM28" s="6"/>
      <c r="CN28" t="s">
        <v>71</v>
      </c>
      <c r="CO28" t="s">
        <v>103</v>
      </c>
    </row>
    <row r="29" spans="1:93" ht="12" customHeight="1">
      <c r="A29" s="4" t="s">
        <v>105</v>
      </c>
      <c r="B29" s="4"/>
      <c r="C29" s="2"/>
      <c r="D29" s="2"/>
      <c r="E29" s="2" t="str">
        <f>IF(D6&lt;50,"** TOO FEW FISH TO CALCULATE IBI"," ")</f>
        <v> </v>
      </c>
      <c r="F29" s="2"/>
      <c r="G29" s="2"/>
      <c r="H29" s="2"/>
      <c r="I29" s="2"/>
      <c r="J29" s="2"/>
      <c r="K29" s="2"/>
      <c r="L29" s="2"/>
      <c r="AA29" s="6"/>
      <c r="AB29" s="2" t="s">
        <v>75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CM29" s="6"/>
      <c r="CN29" s="2" t="s">
        <v>75</v>
      </c>
      <c r="CO29" t="s">
        <v>106</v>
      </c>
    </row>
    <row r="30" spans="1:93" ht="12" customHeight="1">
      <c r="A30" s="5" t="str">
        <f aca="true" t="shared" si="0" ref="A30:A58">IF(CN5&gt;0,CN5," ")</f>
        <v>Common Carp</v>
      </c>
      <c r="B30" s="5" t="str">
        <f aca="true" t="shared" si="1" ref="B30:B58">IF(CN5&gt;0,CO5," ")</f>
        <v>Alewife</v>
      </c>
      <c r="AA30" s="6"/>
      <c r="AB30" t="s">
        <v>79</v>
      </c>
      <c r="AH30" t="str">
        <f>IF(AA30&gt;0,AA30," ")</f>
        <v> </v>
      </c>
      <c r="AM30" t="str">
        <f>IF(AA30&gt;0,AA30," ")</f>
        <v> </v>
      </c>
      <c r="AN30" s="2"/>
      <c r="CM30" s="6"/>
      <c r="CN30" t="s">
        <v>79</v>
      </c>
      <c r="CO30" t="s">
        <v>108</v>
      </c>
    </row>
    <row r="31" spans="1:93" ht="12" customHeight="1">
      <c r="A31" s="5" t="str">
        <f t="shared" si="0"/>
        <v>Creek Chub</v>
      </c>
      <c r="B31" s="5" t="str">
        <f t="shared" si="1"/>
        <v>Am. Brook Lamprey (adult)</v>
      </c>
      <c r="E31" t="s">
        <v>258</v>
      </c>
      <c r="H31">
        <f>(AN176)</f>
        <v>86</v>
      </c>
      <c r="AA31" s="7"/>
      <c r="AB31" t="s">
        <v>82</v>
      </c>
      <c r="AG31" t="str">
        <f>IF(AA31&gt;0,1," ")</f>
        <v> </v>
      </c>
      <c r="AK31" t="str">
        <f>IF(AA31&gt;0,AA31," ")</f>
        <v> </v>
      </c>
      <c r="CM31" s="7"/>
      <c r="CN31" t="s">
        <v>82</v>
      </c>
      <c r="CO31" t="s">
        <v>110</v>
      </c>
    </row>
    <row r="32" spans="1:93" ht="12" customHeight="1">
      <c r="A32" s="5" t="str">
        <f t="shared" si="0"/>
        <v>Green Sunfish</v>
      </c>
      <c r="B32" s="5" t="str">
        <f t="shared" si="1"/>
        <v>Am. Brook Lamprey (ammoceate)</v>
      </c>
      <c r="E32" t="s">
        <v>260</v>
      </c>
      <c r="J32">
        <f>(ROUND(((AN176/(AA176-AO176-AP176))*100),0))</f>
        <v>75</v>
      </c>
      <c r="K32" t="s">
        <v>259</v>
      </c>
      <c r="AA32" s="6"/>
      <c r="AB32" t="s">
        <v>86</v>
      </c>
      <c r="AD32" t="str">
        <f>IF(AA32&gt;0,1," ")</f>
        <v> </v>
      </c>
      <c r="AK32" t="str">
        <f>IF(AA32&gt;0,AA32," ")</f>
        <v> </v>
      </c>
      <c r="AM32" t="str">
        <f>IF(AA32&gt;0,AA32," ")</f>
        <v> </v>
      </c>
      <c r="CM32" s="6"/>
      <c r="CN32" t="s">
        <v>86</v>
      </c>
      <c r="CO32" t="s">
        <v>112</v>
      </c>
    </row>
    <row r="33" spans="1:93" ht="12" customHeight="1">
      <c r="A33" s="5" t="str">
        <f t="shared" si="0"/>
        <v>Black Bullhead</v>
      </c>
      <c r="B33" s="5" t="str">
        <f t="shared" si="1"/>
        <v>American Eel</v>
      </c>
      <c r="AA33" s="7"/>
      <c r="AB33" t="s">
        <v>89</v>
      </c>
      <c r="AK33" t="str">
        <f>IF(AA33&gt;0,AA33," ")</f>
        <v> </v>
      </c>
      <c r="AP33" t="str">
        <f>IF(AA33&gt;0,AA33," ")</f>
        <v> </v>
      </c>
      <c r="CM33" s="7"/>
      <c r="CN33" t="s">
        <v>89</v>
      </c>
      <c r="CO33" t="s">
        <v>114</v>
      </c>
    </row>
    <row r="34" spans="1:93" ht="12" customHeight="1">
      <c r="A34" s="5" t="str">
        <f t="shared" si="0"/>
        <v>Fathead Minnow</v>
      </c>
      <c r="B34" s="5" t="str">
        <f t="shared" si="1"/>
        <v>Atlantic Salmon</v>
      </c>
      <c r="AA34" s="6"/>
      <c r="AB34" s="2" t="s">
        <v>92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O34" t="str">
        <f>IF(AA34&gt;0,AA34," ")</f>
        <v> </v>
      </c>
      <c r="CM34" s="6"/>
      <c r="CN34" s="2" t="s">
        <v>92</v>
      </c>
      <c r="CO34" t="s">
        <v>116</v>
      </c>
    </row>
    <row r="35" spans="1:93" ht="12" customHeight="1">
      <c r="A35" s="5" t="str">
        <f t="shared" si="0"/>
        <v>Common Shiner</v>
      </c>
      <c r="B35" s="5" t="str">
        <f t="shared" si="1"/>
        <v>Banded Darter</v>
      </c>
      <c r="AA35" s="6"/>
      <c r="AB35" s="2" t="s">
        <v>94</v>
      </c>
      <c r="AC35" t="str">
        <f>IF(AA35&gt;0,1," ")</f>
        <v> </v>
      </c>
      <c r="AD35" s="2"/>
      <c r="AE35" s="2"/>
      <c r="AF35" s="2"/>
      <c r="AG35" t="str">
        <f>IF(AA35&gt;0,1," ")</f>
        <v> </v>
      </c>
      <c r="AH35" s="2"/>
      <c r="AI35" s="2"/>
      <c r="AJ35" s="2"/>
      <c r="AK35" t="str">
        <f>IF(AA35&gt;0,AA35," ")</f>
        <v> </v>
      </c>
      <c r="AL35" s="2"/>
      <c r="AM35" t="str">
        <f>IF(AA35&gt;0,AA35," ")</f>
        <v> </v>
      </c>
      <c r="AP35" t="str">
        <f>IF(AA35&gt;0,AA35," ")</f>
        <v> </v>
      </c>
      <c r="CN35" s="2"/>
      <c r="CO35" s="2"/>
    </row>
    <row r="36" spans="1:37" ht="12" customHeight="1">
      <c r="A36" s="5" t="str">
        <f t="shared" si="0"/>
        <v>Bluntnose Minnow</v>
      </c>
      <c r="B36" s="5" t="str">
        <f t="shared" si="1"/>
        <v>Banded Killifish</v>
      </c>
      <c r="AA36" s="6"/>
      <c r="AB36" t="s">
        <v>97</v>
      </c>
      <c r="AF36" t="str">
        <f>IF(AA36&gt;0,1," ")</f>
        <v> </v>
      </c>
      <c r="AK36" t="str">
        <f>IF(AA36&gt;0,AA36," ")</f>
        <v> </v>
      </c>
    </row>
    <row r="37" spans="1:37" ht="12" customHeight="1">
      <c r="A37" s="5" t="str">
        <f t="shared" si="0"/>
        <v>Rock Bass</v>
      </c>
      <c r="B37" s="5" t="str">
        <f t="shared" si="1"/>
        <v>Bigmouth Buffalo</v>
      </c>
      <c r="AA37" s="7"/>
      <c r="AB37" t="s">
        <v>99</v>
      </c>
      <c r="AD37" t="str">
        <f>IF(AA37&gt;0,1," ")</f>
        <v> </v>
      </c>
      <c r="AK37" t="str">
        <f>IF(AA37&gt;0,AA37," ")</f>
        <v> </v>
      </c>
    </row>
    <row r="38" spans="1:36" ht="12" customHeight="1">
      <c r="A38" s="5" t="str">
        <f t="shared" si="0"/>
        <v>Emerald Shiner</v>
      </c>
      <c r="B38" s="5" t="str">
        <f t="shared" si="1"/>
        <v>Bigmouth Shiner</v>
      </c>
      <c r="AA38" s="6"/>
      <c r="AB38" t="s">
        <v>106</v>
      </c>
      <c r="AJ38" t="str">
        <f>IF(AA38&gt;0,AA38," ")</f>
        <v> </v>
      </c>
    </row>
    <row r="39" spans="1:40" ht="12" customHeight="1">
      <c r="A39" s="5" t="str">
        <f t="shared" si="0"/>
        <v>White Sucker</v>
      </c>
      <c r="B39" s="5" t="str">
        <f t="shared" si="1"/>
        <v>Black Buffalo</v>
      </c>
      <c r="AA39" s="6"/>
      <c r="AB39" t="s">
        <v>108</v>
      </c>
      <c r="AN39" s="2"/>
    </row>
    <row r="40" spans="1:41" ht="12" customHeight="1">
      <c r="A40" s="5" t="str">
        <f t="shared" si="0"/>
        <v>Yellow Perch</v>
      </c>
      <c r="B40" s="5" t="str">
        <f t="shared" si="1"/>
        <v>Black Bullhead</v>
      </c>
      <c r="AA40" s="7"/>
      <c r="AB40" t="s">
        <v>110</v>
      </c>
      <c r="AK40" t="str">
        <f>IF(AA40&gt;0,AA40," ")</f>
        <v> </v>
      </c>
      <c r="AO40" t="str">
        <f>IF(AA40&gt;0,AA40," ")</f>
        <v> </v>
      </c>
    </row>
    <row r="41" spans="1:41" ht="12" customHeight="1">
      <c r="A41" s="5" t="str">
        <f t="shared" si="0"/>
        <v>Alewife</v>
      </c>
      <c r="B41" s="5" t="str">
        <f t="shared" si="1"/>
        <v>Black Crappie</v>
      </c>
      <c r="AA41" s="7"/>
      <c r="AB41" t="s">
        <v>112</v>
      </c>
      <c r="AK41" t="str">
        <f>IF(AA41&gt;0,AA41," ")</f>
        <v> </v>
      </c>
      <c r="AN41" t="str">
        <f>IF($AA41&gt;0,$AA41," ")</f>
        <v> </v>
      </c>
      <c r="AO41" s="2"/>
    </row>
    <row r="42" spans="1:41" ht="12" customHeight="1">
      <c r="A42" s="5" t="str">
        <f t="shared" si="0"/>
        <v>Am. Brook Lamprey (adult)</v>
      </c>
      <c r="B42" s="5" t="str">
        <f t="shared" si="1"/>
        <v>Black Redhorse</v>
      </c>
      <c r="AA42" s="6"/>
      <c r="AB42" t="s">
        <v>114</v>
      </c>
      <c r="AG42" t="str">
        <f>IF(AA42&gt;0,1," ")</f>
        <v> </v>
      </c>
      <c r="AJ42" t="str">
        <f>IF(AA42&gt;0,AA42," ")</f>
        <v> </v>
      </c>
      <c r="AN42" s="2"/>
      <c r="AO42" s="2"/>
    </row>
    <row r="43" spans="1:41" ht="12" customHeight="1">
      <c r="A43" s="5" t="str">
        <f t="shared" si="0"/>
        <v>Am. Brook Lamprey (ammoceate)</v>
      </c>
      <c r="B43" s="5" t="str">
        <f t="shared" si="1"/>
        <v>Blackchin Shiner</v>
      </c>
      <c r="AA43" s="6"/>
      <c r="AB43" t="s">
        <v>116</v>
      </c>
      <c r="AK43" t="str">
        <f>IF(AA43&gt;0,AA43," ")</f>
        <v> </v>
      </c>
      <c r="AO43" s="2"/>
    </row>
    <row r="44" spans="1:42" ht="12" customHeight="1">
      <c r="A44" s="5" t="str">
        <f t="shared" si="0"/>
        <v>American Eel</v>
      </c>
      <c r="B44" s="5" t="str">
        <f t="shared" si="1"/>
        <v>Blackfin Cisco</v>
      </c>
      <c r="AA44" s="6"/>
      <c r="AB44" t="s">
        <v>118</v>
      </c>
      <c r="AE44" t="str">
        <f>IF(AA44&gt;0,1," ")</f>
        <v> </v>
      </c>
      <c r="AJ44" t="str">
        <f>IF(AA44&gt;0,AA44," ")</f>
        <v> </v>
      </c>
      <c r="AN44" s="2"/>
      <c r="AP44" t="str">
        <f>IF(AA44&gt;0,AA44," ")</f>
        <v> </v>
      </c>
    </row>
    <row r="45" spans="1:93" ht="12" customHeight="1">
      <c r="A45" s="5" t="str">
        <f t="shared" si="0"/>
        <v>Atlantic Salmon</v>
      </c>
      <c r="B45" s="5" t="str">
        <f t="shared" si="1"/>
        <v>Blacknose Dace</v>
      </c>
      <c r="AA45" s="6"/>
      <c r="AB45" t="s">
        <v>120</v>
      </c>
      <c r="AL45" t="str">
        <f>IF(AA45&gt;0,AA45," ")</f>
        <v> </v>
      </c>
      <c r="AO45" s="2"/>
      <c r="CN45" s="2"/>
      <c r="CO45" s="2"/>
    </row>
    <row r="46" spans="1:42" ht="12" customHeight="1">
      <c r="A46" s="5" t="str">
        <f t="shared" si="0"/>
        <v>Banded Darter</v>
      </c>
      <c r="B46" s="5" t="str">
        <f t="shared" si="1"/>
        <v>Blacknose Shiner</v>
      </c>
      <c r="AA46" s="6"/>
      <c r="AB46" t="s">
        <v>122</v>
      </c>
      <c r="AJ46" t="str">
        <f>IF(AA46&gt;0,AA46," ")</f>
        <v> </v>
      </c>
      <c r="AM46" t="str">
        <f>IF(AA46&gt;0,AA46," ")</f>
        <v> </v>
      </c>
      <c r="AP46" t="str">
        <f>IF(AA46&gt;0,AA46," ")</f>
        <v> </v>
      </c>
    </row>
    <row r="47" spans="1:40" ht="12" customHeight="1">
      <c r="A47" s="5" t="str">
        <f t="shared" si="0"/>
        <v>Banded Killifish</v>
      </c>
      <c r="B47" s="5" t="str">
        <f t="shared" si="1"/>
        <v>Blackside Darter</v>
      </c>
      <c r="AA47" s="6"/>
      <c r="AB47" t="s">
        <v>124</v>
      </c>
      <c r="AH47" t="str">
        <f>IF(AA47&gt;0,AA47," ")</f>
        <v> </v>
      </c>
      <c r="AK47" t="str">
        <f>IF(AA47&gt;0,AA47," ")</f>
        <v> </v>
      </c>
      <c r="AN47" t="str">
        <f>IF($AA47&gt;0,$AA47," ")</f>
        <v> </v>
      </c>
    </row>
    <row r="48" spans="1:28" ht="12" customHeight="1">
      <c r="A48" s="5" t="str">
        <f t="shared" si="0"/>
        <v>Bigmouth Buffalo</v>
      </c>
      <c r="B48" s="5" t="str">
        <f t="shared" si="1"/>
        <v>Blackstripe Topminnow</v>
      </c>
      <c r="J48">
        <f>IF(J19=20,2,"")</f>
      </c>
      <c r="AA48" s="6"/>
      <c r="AB48" t="s">
        <v>126</v>
      </c>
    </row>
    <row r="49" spans="1:93" ht="12" customHeight="1">
      <c r="A49" s="5" t="str">
        <f t="shared" si="0"/>
        <v>Bigmouth Shiner</v>
      </c>
      <c r="B49" s="5" t="str">
        <f t="shared" si="1"/>
        <v>Bloater</v>
      </c>
      <c r="J49">
        <f>IF(I62=30,2,"")</f>
      </c>
      <c r="AA49" s="6"/>
      <c r="AB49" t="s">
        <v>128</v>
      </c>
      <c r="AJ49" t="str">
        <f>IF(AA49&gt;0,AA49," ")</f>
        <v> </v>
      </c>
      <c r="CN49" s="2"/>
      <c r="CO49" s="2"/>
    </row>
    <row r="50" spans="1:41" ht="12" customHeight="1">
      <c r="A50" s="5" t="str">
        <f t="shared" si="0"/>
        <v>Black Buffalo</v>
      </c>
      <c r="B50" s="5" t="str">
        <f t="shared" si="1"/>
        <v>Blue Sucker</v>
      </c>
      <c r="AA50" s="6"/>
      <c r="AB50" s="2" t="s">
        <v>130</v>
      </c>
      <c r="AD50" s="2"/>
      <c r="AE50" s="2"/>
      <c r="AF50" s="2"/>
      <c r="AG50" s="2"/>
      <c r="AH50" s="2"/>
      <c r="AI50" s="2"/>
      <c r="AJ50" s="2"/>
      <c r="AK50" t="str">
        <f>IF(AA50&gt;0,AA50," ")</f>
        <v> </v>
      </c>
      <c r="AL50" s="2"/>
      <c r="AM50" s="2"/>
      <c r="AO50" s="2"/>
    </row>
    <row r="51" spans="1:39" ht="12" customHeight="1">
      <c r="A51" s="5" t="str">
        <f t="shared" si="0"/>
        <v>Black Crappie</v>
      </c>
      <c r="B51" s="5" t="str">
        <f t="shared" si="1"/>
        <v>Bluegill</v>
      </c>
      <c r="AA51" s="6"/>
      <c r="AB51" s="2" t="s">
        <v>132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41" ht="12" customHeight="1">
      <c r="A52" t="str">
        <f t="shared" si="0"/>
        <v>Black Redhorse</v>
      </c>
      <c r="B52" t="str">
        <f t="shared" si="1"/>
        <v>Bluntnose Darter</v>
      </c>
      <c r="AA52" s="6"/>
      <c r="AB52" s="2" t="s">
        <v>134</v>
      </c>
      <c r="AC52" s="2"/>
      <c r="AD52" s="2"/>
      <c r="AE52" s="2"/>
      <c r="AF52" s="2"/>
      <c r="AG52" t="str">
        <f>IF(AA52&gt;0,1," ")</f>
        <v> </v>
      </c>
      <c r="AH52" s="2"/>
      <c r="AI52" t="str">
        <f>IF(AA51&gt;0,IF(AA52&gt;0,1," ")," ")</f>
        <v> </v>
      </c>
      <c r="AJ52" s="2"/>
      <c r="AK52" s="2"/>
      <c r="AL52" s="2"/>
      <c r="AM52" s="2"/>
      <c r="AO52" s="2"/>
    </row>
    <row r="53" spans="1:41" ht="12" customHeight="1">
      <c r="A53" t="str">
        <f t="shared" si="0"/>
        <v>Blackchin Shiner</v>
      </c>
      <c r="B53" t="str">
        <f t="shared" si="1"/>
        <v>Bluntnose Minnow</v>
      </c>
      <c r="AA53" s="7"/>
      <c r="AB53" t="s">
        <v>136</v>
      </c>
      <c r="AE53" t="str">
        <f>IF(AA53&gt;0,1," ")</f>
        <v> </v>
      </c>
      <c r="AJ53" t="str">
        <f>IF(AA53&gt;0,AA53," ")</f>
        <v> </v>
      </c>
      <c r="AO53" s="2"/>
    </row>
    <row r="54" spans="1:40" ht="12" customHeight="1">
      <c r="A54" t="str">
        <f t="shared" si="0"/>
        <v>Blackfin Cisco</v>
      </c>
      <c r="B54" t="str">
        <f t="shared" si="1"/>
        <v>Bowfin</v>
      </c>
      <c r="AA54" s="7"/>
      <c r="AB54" s="2" t="s">
        <v>138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93" ht="12" customHeight="1">
      <c r="A55" t="str">
        <f t="shared" si="0"/>
        <v>Blacknose Dace</v>
      </c>
      <c r="B55" t="str">
        <f t="shared" si="1"/>
        <v>Brassy Minnow</v>
      </c>
      <c r="AA55" s="7"/>
      <c r="AB55" t="s">
        <v>140</v>
      </c>
      <c r="AE55" t="str">
        <f>IF(AA55&gt;0,1," ")</f>
        <v> </v>
      </c>
      <c r="AJ55" t="str">
        <f>IF(AA55&gt;0,AA55," ")</f>
        <v> </v>
      </c>
      <c r="CN55" s="2"/>
      <c r="CO55" s="2"/>
    </row>
    <row r="56" spans="1:39" ht="12" customHeight="1">
      <c r="A56" t="str">
        <f t="shared" si="0"/>
        <v>Blacknose Shiner</v>
      </c>
      <c r="B56" t="str">
        <f t="shared" si="1"/>
        <v>Brook Silverside</v>
      </c>
      <c r="AA56" s="6"/>
      <c r="AB56" s="2" t="s">
        <v>148</v>
      </c>
      <c r="AC56" t="str">
        <f>IF(AA56&gt;0,1," ")</f>
        <v> </v>
      </c>
      <c r="AD56" s="2"/>
      <c r="AE56" s="2"/>
      <c r="AF56" s="2"/>
      <c r="AG56" s="2"/>
      <c r="AH56" s="2"/>
      <c r="AI56" s="2"/>
      <c r="AJ56" s="2"/>
      <c r="AK56" t="str">
        <f>IF(AA56&gt;0,AA56," ")</f>
        <v> </v>
      </c>
      <c r="AL56" s="2"/>
      <c r="AM56" s="2"/>
    </row>
    <row r="57" spans="1:39" ht="12" customHeight="1">
      <c r="A57" t="str">
        <f t="shared" si="0"/>
        <v>Blackside Darter</v>
      </c>
      <c r="B57" t="str">
        <f t="shared" si="1"/>
        <v>Brook Stickleback</v>
      </c>
      <c r="E57" s="2"/>
      <c r="AA57" s="6"/>
      <c r="AB57" t="s">
        <v>150</v>
      </c>
      <c r="AD57" t="str">
        <f>IF(AA57&gt;0,1," ")</f>
        <v> </v>
      </c>
      <c r="AG57" t="str">
        <f>IF(AA57&gt;0,1," ")</f>
        <v> </v>
      </c>
      <c r="AK57" t="str">
        <f>IF(AA57&gt;0,AA57," ")</f>
        <v> </v>
      </c>
      <c r="AM57" t="str">
        <f>IF(AA57&gt;0,AA57," ")</f>
        <v> </v>
      </c>
    </row>
    <row r="58" spans="1:41" ht="12" customHeight="1">
      <c r="A58" t="str">
        <f t="shared" si="0"/>
        <v>Blackstripe Topminnow</v>
      </c>
      <c r="B58" t="str">
        <f t="shared" si="1"/>
        <v>Brook Trout</v>
      </c>
      <c r="AA58" s="7"/>
      <c r="AB58" s="2" t="s">
        <v>152</v>
      </c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O58" t="str">
        <f>IF(AA58&gt;0,AA58," ")</f>
        <v> </v>
      </c>
    </row>
    <row r="59" spans="4:41" ht="12" customHeight="1">
      <c r="D59" s="2"/>
      <c r="AA59" s="6"/>
      <c r="AB59" s="2" t="s">
        <v>154</v>
      </c>
      <c r="AC59" s="2"/>
      <c r="AD59" s="2"/>
      <c r="AE59" s="2"/>
      <c r="AF59" s="2"/>
      <c r="AG59" t="str">
        <f>IF(AA59&gt;0,1," ")</f>
        <v> </v>
      </c>
      <c r="AH59" s="2"/>
      <c r="AI59" s="2"/>
      <c r="AJ59" s="2"/>
      <c r="AK59" t="str">
        <f>IF(AA59&gt;0,AA59," ")</f>
        <v> </v>
      </c>
      <c r="AL59" s="2"/>
      <c r="AM59" s="2"/>
      <c r="AO59" s="2"/>
    </row>
    <row r="60" spans="1:41" ht="12" customHeight="1">
      <c r="A60" s="2" t="s">
        <v>168</v>
      </c>
      <c r="B60" s="2"/>
      <c r="C60" s="2"/>
      <c r="E60" t="s">
        <v>181</v>
      </c>
      <c r="F60" s="2"/>
      <c r="G60" s="2"/>
      <c r="H60" s="2"/>
      <c r="I60" s="2"/>
      <c r="J60" s="2"/>
      <c r="K60" s="2"/>
      <c r="L60" s="2"/>
      <c r="AA60" s="7"/>
      <c r="AB60" t="s">
        <v>158</v>
      </c>
      <c r="AD60" t="str">
        <f>IF(AA60&gt;0,1," ")</f>
        <v> </v>
      </c>
      <c r="AK60" t="str">
        <f>IF(AA60&gt;0,AA60," ")</f>
        <v> </v>
      </c>
      <c r="AN60" s="2"/>
      <c r="AO60" s="2"/>
    </row>
    <row r="61" spans="2:37" ht="12" customHeight="1">
      <c r="B61" t="s">
        <v>171</v>
      </c>
      <c r="D61" t="s">
        <v>39</v>
      </c>
      <c r="E61" s="3">
        <f>IF(I7&lt;2.5,ROUND((1.9*I7),1),4.7)</f>
        <v>4.5</v>
      </c>
      <c r="AA61" s="6"/>
      <c r="AB61" t="s">
        <v>162</v>
      </c>
      <c r="AK61" t="str">
        <f>IF(AA61&gt;0,AA61," ")</f>
        <v> </v>
      </c>
    </row>
    <row r="62" spans="1:41" ht="12" customHeight="1">
      <c r="A62" t="s">
        <v>32</v>
      </c>
      <c r="C62" t="s">
        <v>174</v>
      </c>
      <c r="D62" t="s">
        <v>179</v>
      </c>
      <c r="G62" t="s">
        <v>54</v>
      </c>
      <c r="J62" t="s">
        <v>175</v>
      </c>
      <c r="L62" t="s">
        <v>176</v>
      </c>
      <c r="AA62" s="6"/>
      <c r="AB62" t="s">
        <v>164</v>
      </c>
      <c r="AJ62" t="str">
        <f>IF(AA62&gt;0,AA62," ")</f>
        <v> </v>
      </c>
      <c r="AO62" s="2"/>
    </row>
    <row r="63" spans="1:39" ht="12" customHeight="1">
      <c r="A63" t="s">
        <v>179</v>
      </c>
      <c r="B63" t="s">
        <v>180</v>
      </c>
      <c r="C63">
        <f>IF(D7&gt;B64,10,"")</f>
      </c>
      <c r="E63" t="s">
        <v>191</v>
      </c>
      <c r="F63">
        <f>IF(D9&gt;E61,10,"")</f>
      </c>
      <c r="G63" t="s">
        <v>179</v>
      </c>
      <c r="H63" t="s">
        <v>182</v>
      </c>
      <c r="I63">
        <f>IF(D12&gt;H64,10,"")</f>
      </c>
      <c r="J63">
        <f>IF(AND(J15&lt;20,J15&gt;0),10,"")</f>
      </c>
      <c r="L63">
        <f>IF(AND(J16&lt;20,J16&gt;0),10,"")</f>
      </c>
      <c r="AA63" s="7"/>
      <c r="AB63" s="2" t="s">
        <v>166</v>
      </c>
      <c r="AC63" s="2"/>
      <c r="AD63" s="2"/>
      <c r="AE63" s="2"/>
      <c r="AF63" s="2"/>
      <c r="AH63" s="2"/>
      <c r="AI63" s="2"/>
      <c r="AJ63" s="2"/>
      <c r="AK63" t="str">
        <f>IF(AA63&gt;0,AA63," ")</f>
        <v> </v>
      </c>
      <c r="AL63" s="2"/>
      <c r="AM63" s="2"/>
    </row>
    <row r="64" spans="2:39" ht="12" customHeight="1">
      <c r="B64" s="3">
        <f>IF(I7&lt;1.2,ROUND((16.7*I7),1),20)</f>
        <v>20</v>
      </c>
      <c r="C64" t="str">
        <f>IF(D7=B64,7," ")</f>
        <v> </v>
      </c>
      <c r="E64" s="3">
        <f>(IF(I7&lt;2.5,ROUND((0.9*I7),1),2.3))</f>
        <v>2.1</v>
      </c>
      <c r="F64" t="str">
        <f>IF(D9=E61,7," ")</f>
        <v> </v>
      </c>
      <c r="H64" s="3">
        <f>IF(I7&lt;2.2,ROUND((2.4*I7),1),5.3)</f>
        <v>5.3</v>
      </c>
      <c r="I64" t="str">
        <f>IF(D12=H64,7," ")</f>
        <v> </v>
      </c>
      <c r="J64">
        <f>IF(J15=20,7,"")</f>
      </c>
      <c r="L64">
        <f>IF(J16=20,7,"")</f>
      </c>
      <c r="AA64" s="7"/>
      <c r="AB64" s="2" t="s">
        <v>169</v>
      </c>
      <c r="AC64" s="2"/>
      <c r="AD64" s="2"/>
      <c r="AE64" s="2"/>
      <c r="AF64" s="2"/>
      <c r="AG64" t="str">
        <f>IF(AA64&gt;0,1," ")</f>
        <v> </v>
      </c>
      <c r="AH64" s="2"/>
      <c r="AI64" s="2"/>
      <c r="AJ64" s="2"/>
      <c r="AK64" t="str">
        <f>IF(AA64&gt;0,AA64," ")</f>
        <v> </v>
      </c>
      <c r="AL64" s="2"/>
      <c r="AM64" s="2"/>
    </row>
    <row r="65" spans="2:41" ht="12" customHeight="1">
      <c r="B65" s="1"/>
      <c r="C65">
        <f>IF(D7&gt;B67,IF(D7&lt;B64,5,""),"")</f>
      </c>
      <c r="D65" t="s">
        <v>189</v>
      </c>
      <c r="E65" s="2">
        <f>IF(AND($E$64&gt;0,$E$64&lt;1),ROUND($E$64,0),$E$64)</f>
        <v>2.1</v>
      </c>
      <c r="F65">
        <f>IF(D9&gt;E65,IF(D9&lt;E61,5,""),"")</f>
      </c>
      <c r="I65">
        <f>IF(D12&gt;H67,IF(D12&lt;H64,5,""),"")</f>
      </c>
      <c r="J65">
        <f>IF(AND(J15&gt;20,J15&lt;50),5,"")</f>
      </c>
      <c r="L65">
        <f>IF(AND(J16&gt;20,J16&lt;40),5,"")</f>
      </c>
      <c r="AA65" s="6"/>
      <c r="AB65" t="s">
        <v>172</v>
      </c>
      <c r="AD65" t="str">
        <f>IF(AA65&gt;0,1," ")</f>
        <v> </v>
      </c>
      <c r="AG65" t="str">
        <f>IF(AA65&gt;0,1," ")</f>
        <v> </v>
      </c>
      <c r="AK65" t="str">
        <f>IF(AA65&gt;0,AA65," ")</f>
        <v> </v>
      </c>
      <c r="AM65" t="str">
        <f>IF(AA65&gt;0,AA65," ")</f>
        <v> </v>
      </c>
      <c r="AO65" s="2"/>
    </row>
    <row r="66" spans="1:39" ht="12" customHeight="1">
      <c r="A66" t="s">
        <v>189</v>
      </c>
      <c r="B66" t="s">
        <v>190</v>
      </c>
      <c r="C66">
        <f>IF(D7=B67,2,"")</f>
        <v>2</v>
      </c>
      <c r="F66">
        <f>IF(D9=E65,2,"")</f>
      </c>
      <c r="G66" t="s">
        <v>189</v>
      </c>
      <c r="H66" t="s">
        <v>192</v>
      </c>
      <c r="I66">
        <f>IF(D12=H67,2,"")</f>
      </c>
      <c r="J66">
        <f>IF(J15=50,2,"")</f>
      </c>
      <c r="L66">
        <f>IF(J16=40,2,"")</f>
      </c>
      <c r="AA66" s="7"/>
      <c r="AB66" s="2" t="s">
        <v>177</v>
      </c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2:41" ht="12" customHeight="1">
      <c r="B67" s="3">
        <f>(IF(I7&lt;1.2,ROUND((8.3*I7),0),10))</f>
        <v>10</v>
      </c>
      <c r="C67">
        <f>IF(D7&lt;B67,0,"")</f>
      </c>
      <c r="D67" s="2"/>
      <c r="F67">
        <f>IF(D9&lt;E64,0,"")</f>
        <v>0</v>
      </c>
      <c r="H67" s="3">
        <f>IF(I7&lt;2.2,ROUND((1.2*I7),0),2.7)</f>
        <v>2.7</v>
      </c>
      <c r="I67">
        <f>IF(D12&lt;H67,0,"")</f>
        <v>0</v>
      </c>
      <c r="AA67" s="6"/>
      <c r="AB67" t="s">
        <v>183</v>
      </c>
      <c r="AC67" t="str">
        <f>IF(AA67&gt;0,1," ")</f>
        <v> </v>
      </c>
      <c r="AK67" t="str">
        <f>IF(AA67&gt;0,AA67," ")</f>
        <v> </v>
      </c>
      <c r="AM67" t="str">
        <f>IF(AA67&gt;0,AA67," ")</f>
        <v> </v>
      </c>
      <c r="AO67" s="2"/>
    </row>
    <row r="68" spans="1:40" ht="12" customHeight="1">
      <c r="A68" s="2"/>
      <c r="B68" s="2"/>
      <c r="C68" s="2"/>
      <c r="D68" t="s">
        <v>43</v>
      </c>
      <c r="E68" t="s">
        <v>206</v>
      </c>
      <c r="F68" s="2"/>
      <c r="G68" s="2"/>
      <c r="H68" s="2"/>
      <c r="I68" s="2"/>
      <c r="J68" s="2"/>
      <c r="L68" s="2"/>
      <c r="AA68" s="6"/>
      <c r="AB68" t="s">
        <v>185</v>
      </c>
      <c r="AH68" t="str">
        <f>IF(AA68&gt;0,AA68," ")</f>
        <v> </v>
      </c>
      <c r="AL68" t="str">
        <f>IF(AA68&gt;0,AA68," ")</f>
        <v> </v>
      </c>
      <c r="AN68" t="str">
        <f>IF($AA68&gt;0,$AA68," ")</f>
        <v> </v>
      </c>
    </row>
    <row r="69" spans="4:93" ht="12" customHeight="1">
      <c r="D69" t="s">
        <v>46</v>
      </c>
      <c r="E69" s="3">
        <f>IF(I7&lt;1.1,ROUND((3*I7),1),3.3)</f>
        <v>3.3</v>
      </c>
      <c r="G69" t="s">
        <v>49</v>
      </c>
      <c r="J69" t="s">
        <v>199</v>
      </c>
      <c r="L69" t="s">
        <v>200</v>
      </c>
      <c r="AA69" s="7"/>
      <c r="AB69" s="2" t="s">
        <v>187</v>
      </c>
      <c r="AC69" s="2"/>
      <c r="AD69" s="2"/>
      <c r="AE69" s="2"/>
      <c r="AF69" s="2"/>
      <c r="AG69" s="2"/>
      <c r="AH69" s="2"/>
      <c r="AI69" s="2"/>
      <c r="AJ69" s="2"/>
      <c r="AK69" t="str">
        <f>IF(AA69&gt;0,AA69," ")</f>
        <v> </v>
      </c>
      <c r="AL69" s="2"/>
      <c r="AM69" s="2"/>
      <c r="AO69" s="2"/>
      <c r="CN69" s="2"/>
      <c r="CO69" s="2"/>
    </row>
    <row r="70" spans="1:93" ht="12" customHeight="1">
      <c r="A70" t="s">
        <v>36</v>
      </c>
      <c r="D70" t="s">
        <v>179</v>
      </c>
      <c r="G70" t="s">
        <v>46</v>
      </c>
      <c r="J70">
        <f>IF(J17&gt;60,10,"")</f>
      </c>
      <c r="L70">
        <f>IF(J18&gt;14,10,"")</f>
      </c>
      <c r="AA70" s="6"/>
      <c r="AB70" t="s">
        <v>193</v>
      </c>
      <c r="AE70" t="str">
        <f>IF(AA70&gt;0,1," ")</f>
        <v> </v>
      </c>
      <c r="AH70" t="str">
        <f>IF(AA70&gt;0,AA70," ")</f>
        <v> </v>
      </c>
      <c r="AL70" t="str">
        <f>IF(AA70&gt;0,AA70," ")</f>
        <v> </v>
      </c>
      <c r="AN70" t="str">
        <f>IF($AA70&gt;0,$AA70," ")</f>
        <v> </v>
      </c>
      <c r="CN70" s="2"/>
      <c r="CO70" s="2"/>
    </row>
    <row r="71" spans="1:93" ht="12" customHeight="1">
      <c r="A71" t="s">
        <v>179</v>
      </c>
      <c r="B71" t="s">
        <v>205</v>
      </c>
      <c r="C71">
        <f>IF(D8&gt;B72,10,"")</f>
      </c>
      <c r="E71" t="s">
        <v>215</v>
      </c>
      <c r="F71">
        <f>IF(D10&gt;E69,10,"")</f>
      </c>
      <c r="G71" t="s">
        <v>179</v>
      </c>
      <c r="H71" t="s">
        <v>207</v>
      </c>
      <c r="I71">
        <f>IF(D11&gt;H73,10,"")</f>
      </c>
      <c r="J71">
        <f>IF(J17=60,7,"")</f>
      </c>
      <c r="L71">
        <f>IF(J18=14,7,"")</f>
      </c>
      <c r="AA71" s="7"/>
      <c r="AB71" s="2" t="s">
        <v>195</v>
      </c>
      <c r="AC71" s="2"/>
      <c r="AD71" s="2"/>
      <c r="AE71" t="str">
        <f>IF(AA71&gt;0,1," ")</f>
        <v> </v>
      </c>
      <c r="AF71" s="2"/>
      <c r="AG71" s="2"/>
      <c r="AH71" s="2"/>
      <c r="AI71" s="2"/>
      <c r="AJ71" s="2"/>
      <c r="AK71" s="2"/>
      <c r="AL71" s="2"/>
      <c r="AM71" s="2"/>
      <c r="CN71" s="2"/>
      <c r="CO71" s="2"/>
    </row>
    <row r="72" spans="2:93" ht="12" customHeight="1">
      <c r="B72" s="3">
        <f>IF(I7&lt;1.4,ROUND((2.9*I7),1),4)</f>
        <v>4</v>
      </c>
      <c r="C72" t="str">
        <f>IF(D8=B72,7," ")</f>
        <v> </v>
      </c>
      <c r="E72" s="3">
        <f>IF(I7&lt;1.1,ROUND((1.5*I7),0),1.7)</f>
        <v>1.7</v>
      </c>
      <c r="F72" t="str">
        <f>IF(D10=E69,7," ")</f>
        <v> </v>
      </c>
      <c r="H72" s="3">
        <f>IF(I7&lt;2.45,ROUND((1.1*I7),1),2.7)</f>
        <v>2.6</v>
      </c>
      <c r="I72" t="str">
        <f>IF(D11=H72,7," ")</f>
        <v> </v>
      </c>
      <c r="J72">
        <f>IF(AND(J17&gt;30,J17&lt;60),5,"")</f>
      </c>
      <c r="L72">
        <f>IF(AND(J18&gt;7,J18&lt;14),5,"")</f>
      </c>
      <c r="AA72" s="6"/>
      <c r="AB72" t="s">
        <v>197</v>
      </c>
      <c r="AJ72" t="str">
        <f>IF(AA72&gt;0,AA72," ")</f>
        <v> </v>
      </c>
      <c r="AO72" s="2"/>
      <c r="CN72" s="2"/>
      <c r="CO72" s="2"/>
    </row>
    <row r="73" spans="3:93" ht="12" customHeight="1">
      <c r="C73">
        <f>IF(D8&gt;B75,IF(D8&lt;B72,5,""),"")</f>
      </c>
      <c r="D73" t="s">
        <v>189</v>
      </c>
      <c r="F73">
        <f>IF(D10&gt;E72,IF(D10&lt;E69,5,""),"")</f>
        <v>5</v>
      </c>
      <c r="H73" s="2">
        <f>IF(AND($H$72&gt;0,$H$72&lt;1),ROUND($H$72+0.4,0),$H$72)</f>
        <v>2.6</v>
      </c>
      <c r="I73">
        <f>IF(D11&gt;H76,IF(D11&lt;H72,5,""),"")</f>
      </c>
      <c r="J73">
        <f>IF(J17=30,2,"")</f>
      </c>
      <c r="L73">
        <f>IF(J18=7,2,"")</f>
      </c>
      <c r="AA73" s="7"/>
      <c r="AB73" s="2" t="s">
        <v>201</v>
      </c>
      <c r="AC73" s="2"/>
      <c r="AD73" s="2"/>
      <c r="AE73" s="2"/>
      <c r="AF73" s="2"/>
      <c r="AG73" t="str">
        <f>IF(AA73&gt;0,1," ")</f>
        <v> </v>
      </c>
      <c r="AH73" s="2"/>
      <c r="AI73" s="2"/>
      <c r="AJ73" s="2"/>
      <c r="AK73" t="str">
        <f>IF(AA73&gt;0,AA73," ")</f>
        <v> </v>
      </c>
      <c r="AL73" s="2"/>
      <c r="AM73" t="str">
        <f>IF(AA73&gt;0,AA73," ")</f>
        <v> </v>
      </c>
      <c r="AN73" s="2"/>
      <c r="CN73" s="2"/>
      <c r="CO73" s="2"/>
    </row>
    <row r="74" spans="1:93" ht="12" customHeight="1">
      <c r="A74" t="s">
        <v>189</v>
      </c>
      <c r="B74" t="s">
        <v>214</v>
      </c>
      <c r="C74">
        <f>IF(D8=B75,2,"")</f>
      </c>
      <c r="F74">
        <f>IF(D10=E72,2,"")</f>
      </c>
      <c r="G74" t="s">
        <v>189</v>
      </c>
      <c r="H74" t="s">
        <v>216</v>
      </c>
      <c r="I74">
        <f>IF(D11=H76,2,"")</f>
      </c>
      <c r="J74" t="s">
        <v>217</v>
      </c>
      <c r="AA74" s="6"/>
      <c r="AB74" t="s">
        <v>203</v>
      </c>
      <c r="AC74" t="str">
        <f>IF(AA74&gt;0,1," ")</f>
        <v> </v>
      </c>
      <c r="AG74" t="str">
        <f>IF(AA74&gt;0,1," ")</f>
        <v> </v>
      </c>
      <c r="AK74" t="str">
        <f>IF(AA74&gt;0,AA74," ")</f>
        <v> </v>
      </c>
      <c r="AM74" t="str">
        <f>IF(AA74&gt;0,AA74," ")</f>
        <v> </v>
      </c>
      <c r="AN74" s="2"/>
      <c r="CN74" s="2"/>
      <c r="CO74" s="2"/>
    </row>
    <row r="75" spans="2:41" ht="12" customHeight="1">
      <c r="B75" s="3">
        <f>(IF(I7&lt;1.4,ROUND((1.4*I7),0),2))</f>
        <v>2</v>
      </c>
      <c r="C75">
        <f>IF(D8&lt;B75,0,"")</f>
        <v>0</v>
      </c>
      <c r="F75">
        <f>IF(D10&lt;E72,0,"")</f>
      </c>
      <c r="H75" s="3">
        <f>IF(I7&lt;2.45,ROUND((0.5*I7),1),1.3)</f>
        <v>1.2</v>
      </c>
      <c r="I75">
        <f>IF(D11&lt;H75,0,"")</f>
        <v>0</v>
      </c>
      <c r="J75">
        <f>IF(J19&gt;50,10,"")</f>
      </c>
      <c r="AA75" s="7"/>
      <c r="AB75" s="2" t="s">
        <v>210</v>
      </c>
      <c r="AC75" t="str">
        <f>IF(AA75&gt;0,1," ")</f>
        <v> </v>
      </c>
      <c r="AD75" s="2"/>
      <c r="AE75" s="2"/>
      <c r="AF75" s="2"/>
      <c r="AG75" t="str">
        <f>IF(AA75&gt;0,1," ")</f>
        <v> </v>
      </c>
      <c r="AH75" s="2"/>
      <c r="AI75" s="2"/>
      <c r="AJ75" s="2"/>
      <c r="AK75" s="2"/>
      <c r="AL75" t="str">
        <f>IF(AA75&gt;0,AA75," ")</f>
        <v> </v>
      </c>
      <c r="AM75" s="2"/>
      <c r="AN75" s="2"/>
      <c r="AO75" s="2"/>
    </row>
    <row r="76" spans="8:93" ht="12" customHeight="1">
      <c r="H76" s="2">
        <f>IF(AND($H$75&gt;0,$H$75&lt;1),ROUND($H$75+0.4,0),$H$75)</f>
        <v>1.2</v>
      </c>
      <c r="J76">
        <f>IF(J19=50,7,"")</f>
      </c>
      <c r="AA76" s="6"/>
      <c r="AB76" t="s">
        <v>212</v>
      </c>
      <c r="AK76" t="str">
        <f>IF(AA76&gt;0,AA76," ")</f>
        <v> </v>
      </c>
      <c r="AN76" s="2"/>
      <c r="CN76" s="2"/>
      <c r="CO76" s="2"/>
    </row>
    <row r="77" spans="10:93" ht="12" customHeight="1">
      <c r="J77">
        <f>IF(AND(J19&gt;20,J19&lt;50),5,"")</f>
      </c>
      <c r="AA77" s="6"/>
      <c r="AB77" t="s">
        <v>218</v>
      </c>
      <c r="AD77" t="str">
        <f>IF(AA77&gt;0,1," ")</f>
        <v> </v>
      </c>
      <c r="AG77" t="str">
        <f>IF(AA77&gt;0,1," ")</f>
        <v> </v>
      </c>
      <c r="AK77" t="str">
        <f>IF(AA77&gt;0,AA77," ")</f>
        <v> </v>
      </c>
      <c r="AN77" s="2"/>
      <c r="AO77" s="2"/>
      <c r="CN77" s="2"/>
      <c r="CO77" s="2"/>
    </row>
    <row r="78" spans="10:41" ht="12" customHeight="1">
      <c r="J78">
        <f>IF(J19=20,2,"")</f>
      </c>
      <c r="AA78" s="7"/>
      <c r="AB78" s="2" t="s">
        <v>220</v>
      </c>
      <c r="AC78" s="2"/>
      <c r="AD78" s="2"/>
      <c r="AE78" s="2"/>
      <c r="AF78" s="2"/>
      <c r="AG78" s="2"/>
      <c r="AH78" s="2"/>
      <c r="AI78" s="2"/>
      <c r="AJ78" s="2"/>
      <c r="AK78" t="str">
        <f>IF(AA78&gt;0,AA78," ")</f>
        <v> </v>
      </c>
      <c r="AL78" s="2"/>
      <c r="AM78" s="2"/>
      <c r="AO78" s="2"/>
    </row>
    <row r="79" spans="27:93" ht="12" customHeight="1">
      <c r="AA79" s="6"/>
      <c r="AB79" t="s">
        <v>222</v>
      </c>
      <c r="AD79" t="str">
        <f>IF(AA79&gt;0,1," ")</f>
        <v> </v>
      </c>
      <c r="AK79" t="str">
        <f>IF(AA79&gt;0,AA79," ")</f>
        <v> </v>
      </c>
      <c r="AN79" s="2"/>
      <c r="CN79" s="2"/>
      <c r="CO79" s="2"/>
    </row>
    <row r="80" spans="27:93" ht="12" customHeight="1">
      <c r="AA80" s="7"/>
      <c r="AB80" s="2" t="s">
        <v>224</v>
      </c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CN80" s="2"/>
      <c r="CO80" s="2"/>
    </row>
    <row r="81" spans="27:42" ht="12" customHeight="1">
      <c r="AA81" s="7"/>
      <c r="AB81" s="2" t="s">
        <v>226</v>
      </c>
      <c r="AC81" s="2"/>
      <c r="AD81" s="2"/>
      <c r="AE81" s="2"/>
      <c r="AF81" s="2"/>
      <c r="AG81" s="2"/>
      <c r="AH81" s="2"/>
      <c r="AI81" s="2"/>
      <c r="AJ81" s="2"/>
      <c r="AK81" t="str">
        <f>IF(AA81&gt;0,AA81," ")</f>
        <v> </v>
      </c>
      <c r="AL81" s="2"/>
      <c r="AM81" t="str">
        <f>IF(AA81&gt;0,AA81," ")</f>
        <v> </v>
      </c>
      <c r="AO81" s="2"/>
      <c r="AP81" t="str">
        <f>IF(AA81&gt;0,AA81," ")</f>
        <v> </v>
      </c>
    </row>
    <row r="82" spans="27:41" ht="12" customHeight="1">
      <c r="AA82" s="6"/>
      <c r="AB82" t="s">
        <v>228</v>
      </c>
      <c r="AC82" t="str">
        <f>IF(AA82&gt;0,1," ")</f>
        <v> </v>
      </c>
      <c r="AK82" t="str">
        <f>IF(AA82&gt;0,AA82," ")</f>
        <v> </v>
      </c>
      <c r="AN82" s="2"/>
      <c r="AO82" s="2"/>
    </row>
    <row r="83" spans="27:41" ht="12" customHeight="1">
      <c r="AA83" s="7"/>
      <c r="AB83" s="2" t="s">
        <v>230</v>
      </c>
      <c r="AC83" s="2"/>
      <c r="AD83" s="2"/>
      <c r="AE83" s="2"/>
      <c r="AF83" s="2"/>
      <c r="AG83" s="2"/>
      <c r="AH83" s="2"/>
      <c r="AI83" s="2"/>
      <c r="AJ83" s="2"/>
      <c r="AK83" t="str">
        <f>IF(AA83&gt;0,AA83," ")</f>
        <v> </v>
      </c>
      <c r="AL83" s="2"/>
      <c r="AM83" t="str">
        <f>IF(AA83&gt;0,AA83," ")</f>
        <v> </v>
      </c>
      <c r="AN83" s="2"/>
      <c r="AO83" t="str">
        <f>IF(AA83&gt;0,AA83," ")</f>
        <v> </v>
      </c>
    </row>
    <row r="84" spans="27:93" ht="12" customHeight="1">
      <c r="AA84" s="7"/>
      <c r="AB84" s="2" t="s">
        <v>232</v>
      </c>
      <c r="AC84" s="2"/>
      <c r="AD84" s="2"/>
      <c r="AE84" s="2"/>
      <c r="AF84" s="2"/>
      <c r="AG84" s="2"/>
      <c r="AH84" s="2"/>
      <c r="AI84" s="2"/>
      <c r="AJ84" t="str">
        <f>IF(AA84&gt;0,AA84," ")</f>
        <v> </v>
      </c>
      <c r="AK84" s="2"/>
      <c r="AL84" s="2"/>
      <c r="AM84" s="2"/>
      <c r="CN84" s="2"/>
      <c r="CO84" s="2"/>
    </row>
    <row r="85" spans="27:93" ht="12" customHeight="1">
      <c r="AA85" s="7"/>
      <c r="AB85" s="2" t="s">
        <v>234</v>
      </c>
      <c r="AC85" s="2"/>
      <c r="AD85" s="2"/>
      <c r="AE85" s="2"/>
      <c r="AF85" s="2"/>
      <c r="AG85" s="2"/>
      <c r="AH85" s="2"/>
      <c r="AI85" s="2"/>
      <c r="AJ85" s="2"/>
      <c r="AK85" t="str">
        <f>IF(AA85&gt;0,AA85," ")</f>
        <v> </v>
      </c>
      <c r="AL85" s="2"/>
      <c r="AM85" s="2"/>
      <c r="CN85" s="2"/>
      <c r="CO85" s="2"/>
    </row>
    <row r="86" spans="27:36" ht="12" customHeight="1">
      <c r="AA86" s="6"/>
      <c r="AB86" t="s">
        <v>236</v>
      </c>
      <c r="AJ86" t="str">
        <f>IF(AA86&gt;0,AA86," ")</f>
        <v> </v>
      </c>
    </row>
    <row r="87" spans="27:41" ht="12" customHeight="1">
      <c r="AA87" s="6"/>
      <c r="AB87" t="s">
        <v>238</v>
      </c>
      <c r="AN87" s="2"/>
      <c r="AO87" t="str">
        <f>IF(AA87&gt;0,AA87," ")</f>
        <v> </v>
      </c>
    </row>
    <row r="88" spans="27:40" ht="12" customHeight="1">
      <c r="AA88" s="6"/>
      <c r="AB88" t="s">
        <v>240</v>
      </c>
      <c r="AD88" t="str">
        <f>IF(AA88&gt;0,1," ")</f>
        <v> </v>
      </c>
      <c r="AG88" t="str">
        <f>IF(AA88&gt;0,1," ")</f>
        <v> </v>
      </c>
      <c r="AK88" t="str">
        <f>IF(AA88&gt;0,AA88," ")</f>
        <v> </v>
      </c>
      <c r="AN88" s="2"/>
    </row>
    <row r="89" spans="27:41" ht="12" customHeight="1">
      <c r="AA89" s="6"/>
      <c r="AB89" t="s">
        <v>242</v>
      </c>
      <c r="AD89" t="str">
        <f>IF(AA89&gt;0,1," ")</f>
        <v> </v>
      </c>
      <c r="AK89" t="str">
        <f>IF(AA89&gt;0,AA89," ")</f>
        <v> </v>
      </c>
      <c r="AM89" t="str">
        <f>IF(AA89&gt;0,AA89," ")</f>
        <v> </v>
      </c>
      <c r="AO89" s="2"/>
    </row>
    <row r="90" spans="27:41" ht="12" customHeight="1">
      <c r="AA90" s="6"/>
      <c r="AB90" t="s">
        <v>244</v>
      </c>
      <c r="AF90" t="str">
        <f>IF(AA90&gt;0,1," ")</f>
        <v> </v>
      </c>
      <c r="AG90" t="str">
        <f>IF(AA90&gt;0,1," ")</f>
        <v> </v>
      </c>
      <c r="AK90" t="str">
        <f>IF(AA90&gt;0,AA90," ")</f>
        <v> </v>
      </c>
      <c r="AO90" s="2"/>
    </row>
    <row r="91" spans="27:39" ht="12" customHeight="1">
      <c r="AA91" s="6"/>
      <c r="AB91" t="s">
        <v>246</v>
      </c>
      <c r="AK91" t="str">
        <f>IF(AA91&gt;0,AA91," ")</f>
        <v> </v>
      </c>
      <c r="AM91" t="str">
        <f>IF(AA91&gt;0,AA91," ")</f>
        <v> </v>
      </c>
    </row>
    <row r="92" spans="27:41" ht="12" customHeight="1">
      <c r="AA92" s="7"/>
      <c r="AB92" s="2" t="s">
        <v>248</v>
      </c>
      <c r="AC92" s="2"/>
      <c r="AD92" s="2"/>
      <c r="AE92" s="2"/>
      <c r="AF92" s="2"/>
      <c r="AG92" s="2"/>
      <c r="AH92" s="2"/>
      <c r="AI92" s="2"/>
      <c r="AJ92" t="str">
        <f>IF(AA92&gt;0,AA92," ")</f>
        <v> </v>
      </c>
      <c r="AK92" s="2"/>
      <c r="AL92" s="2"/>
      <c r="AM92" s="2"/>
      <c r="AO92" s="2"/>
    </row>
    <row r="93" spans="27:41" ht="12" customHeight="1">
      <c r="AA93" s="7"/>
      <c r="AB93" s="2" t="s">
        <v>113</v>
      </c>
      <c r="AC93" t="str">
        <f>IF(AA93&gt;0,1," ")</f>
        <v> </v>
      </c>
      <c r="AD93" s="2"/>
      <c r="AE93" s="2"/>
      <c r="AF93" s="2"/>
      <c r="AG93" s="2"/>
      <c r="AH93" s="2"/>
      <c r="AI93" s="2"/>
      <c r="AJ93" s="2"/>
      <c r="AK93" t="str">
        <f>IF(AA93&gt;0,AA93," ")</f>
        <v> </v>
      </c>
      <c r="AL93" s="2"/>
      <c r="AM93" t="str">
        <f>IF(AA93&gt;0,AA93," ")</f>
        <v> </v>
      </c>
      <c r="AO93" s="2"/>
    </row>
    <row r="94" spans="27:37" ht="12" customHeight="1">
      <c r="AA94" s="6"/>
      <c r="AB94" t="s">
        <v>111</v>
      </c>
      <c r="AK94" t="str">
        <f>IF(AA94&gt;0,AA94," ")</f>
        <v> </v>
      </c>
    </row>
    <row r="95" spans="27:39" ht="12" customHeight="1">
      <c r="AA95" s="7"/>
      <c r="AB95" s="2" t="s">
        <v>115</v>
      </c>
      <c r="AC95" s="2"/>
      <c r="AD95" s="2"/>
      <c r="AE95" s="2"/>
      <c r="AF95" s="2"/>
      <c r="AG95" t="str">
        <f>IF(AA95&gt;0,1," ")</f>
        <v> </v>
      </c>
      <c r="AH95" s="2"/>
      <c r="AI95" s="2"/>
      <c r="AJ95" s="2"/>
      <c r="AK95" s="2"/>
      <c r="AL95" s="2"/>
      <c r="AM95" s="2"/>
    </row>
    <row r="96" spans="27:41" ht="12" customHeight="1">
      <c r="AA96" s="7"/>
      <c r="AB96" s="2" t="s">
        <v>119</v>
      </c>
      <c r="AC96" s="2"/>
      <c r="AD96" s="2"/>
      <c r="AE96" s="2"/>
      <c r="AF96" s="2"/>
      <c r="AG96" s="2"/>
      <c r="AH96" s="2"/>
      <c r="AI96" s="2"/>
      <c r="AJ96" s="2"/>
      <c r="AK96" t="str">
        <f>IF(AA96&gt;0,AA96," ")</f>
        <v> </v>
      </c>
      <c r="AL96" s="2"/>
      <c r="AM96" s="2"/>
      <c r="AO96" t="str">
        <f>IF(AA96&gt;0,AA96," ")</f>
        <v> </v>
      </c>
    </row>
    <row r="97" spans="27:41" ht="12" customHeight="1">
      <c r="AA97" s="6"/>
      <c r="AB97" t="s">
        <v>117</v>
      </c>
      <c r="AG97" t="str">
        <f>IF(AA97&gt;0,1," ")</f>
        <v> </v>
      </c>
      <c r="AK97" t="str">
        <f>IF(AA97&gt;0,AA97," ")</f>
        <v> </v>
      </c>
      <c r="AO97" s="2"/>
    </row>
    <row r="98" spans="27:41" ht="12" customHeight="1">
      <c r="AA98" s="6"/>
      <c r="AB98" t="s">
        <v>100</v>
      </c>
      <c r="AD98" t="str">
        <f>IF(AA98&gt;0,1," ")</f>
        <v> </v>
      </c>
      <c r="AK98" t="str">
        <f>IF(AA98&gt;0,AA98," ")</f>
        <v> </v>
      </c>
      <c r="AO98" s="2"/>
    </row>
    <row r="99" spans="27:36" ht="12" customHeight="1">
      <c r="AA99" s="6"/>
      <c r="AB99" t="s">
        <v>98</v>
      </c>
      <c r="AG99" t="str">
        <f>IF(AA99&gt;0,1," ")</f>
        <v> </v>
      </c>
      <c r="AJ99" t="str">
        <f>IF(AA99&gt;0,AA99," ")</f>
        <v> </v>
      </c>
    </row>
    <row r="100" spans="27:39" ht="12" customHeight="1">
      <c r="AA100" s="7"/>
      <c r="AB100" s="2" t="s">
        <v>104</v>
      </c>
      <c r="AC100" s="2"/>
      <c r="AD100" s="2"/>
      <c r="AE100" s="2"/>
      <c r="AF100" s="2"/>
      <c r="AH100" s="2"/>
      <c r="AI100" s="2"/>
      <c r="AJ100" s="2"/>
      <c r="AK100" s="2"/>
      <c r="AL100" s="2"/>
      <c r="AM100" s="2"/>
    </row>
    <row r="101" spans="27:93" ht="12" customHeight="1">
      <c r="AA101" s="7"/>
      <c r="AB101" s="2" t="s">
        <v>109</v>
      </c>
      <c r="AC101" s="2"/>
      <c r="AD101" s="2"/>
      <c r="AE101" s="2"/>
      <c r="AF101" s="2"/>
      <c r="AG101" t="str">
        <f>IF(AA100&gt;0,1,IF(AA101&gt;0,1," "))</f>
        <v> </v>
      </c>
      <c r="AH101" s="2"/>
      <c r="AI101" t="str">
        <f>IF(AA100&gt;0,IF(AA101&gt;0,1," ")," ")</f>
        <v> </v>
      </c>
      <c r="AJ101" s="2"/>
      <c r="AK101" s="2"/>
      <c r="AL101" s="2"/>
      <c r="AM101" s="2"/>
      <c r="AO101" t="str">
        <f>IF(AA101&gt;0,AA101," ")</f>
        <v> </v>
      </c>
      <c r="CN101" s="2"/>
      <c r="CO101" s="2"/>
    </row>
    <row r="102" spans="27:93" ht="12" customHeight="1">
      <c r="AA102" s="6"/>
      <c r="AB102" t="s">
        <v>107</v>
      </c>
      <c r="AK102" t="str">
        <f>IF(AA102&gt;0,AA102," ")</f>
        <v> </v>
      </c>
      <c r="CN102" s="2"/>
      <c r="CO102" s="2"/>
    </row>
    <row r="103" spans="27:41" ht="12" customHeight="1">
      <c r="AA103" s="6"/>
      <c r="AB103" t="s">
        <v>121</v>
      </c>
      <c r="AC103" t="str">
        <f>IF(AA103&gt;0,1," ")</f>
        <v> </v>
      </c>
      <c r="AG103" t="str">
        <f>IF(AA103&gt;0,1," ")</f>
        <v> </v>
      </c>
      <c r="AK103" t="str">
        <f>IF(AA103&gt;0,AA103," ")</f>
        <v> </v>
      </c>
      <c r="AM103" t="str">
        <f>IF(AA103&gt;0,AA103," ")</f>
        <v> </v>
      </c>
      <c r="AO103" t="str">
        <f>IF(AA103&gt;0,AA103," ")</f>
        <v> </v>
      </c>
    </row>
    <row r="104" spans="27:40" ht="12" customHeight="1">
      <c r="AA104" s="6"/>
      <c r="AB104" t="s">
        <v>135</v>
      </c>
      <c r="AJ104" t="str">
        <f>IF(AA104&gt;0,AA104," ")</f>
        <v> </v>
      </c>
      <c r="AN104" s="2"/>
    </row>
    <row r="105" spans="27:93" ht="12" customHeight="1">
      <c r="AA105" s="6"/>
      <c r="AB105" t="s">
        <v>133</v>
      </c>
      <c r="AN105" s="2"/>
      <c r="AO105" s="2"/>
      <c r="CN105" s="2"/>
      <c r="CO105" s="2"/>
    </row>
    <row r="106" spans="27:37" ht="12" customHeight="1">
      <c r="AA106" s="6"/>
      <c r="AB106" t="s">
        <v>137</v>
      </c>
      <c r="AF106" t="str">
        <f>IF(AA106&gt;0,1," ")</f>
        <v> </v>
      </c>
      <c r="AK106" t="str">
        <f>IF(AA106&gt;0,AA106," ")</f>
        <v> </v>
      </c>
    </row>
    <row r="107" spans="27:39" ht="12" customHeight="1">
      <c r="AA107" s="6"/>
      <c r="AB107" t="s">
        <v>141</v>
      </c>
      <c r="AG107" t="str">
        <f>IF(AA107&gt;0,1," ")</f>
        <v> </v>
      </c>
      <c r="AM107" t="str">
        <f>IF(AA107&gt;0,AA107," ")</f>
        <v> </v>
      </c>
    </row>
    <row r="108" spans="27:42" ht="12" customHeight="1">
      <c r="AA108" s="7"/>
      <c r="AB108" s="2" t="s">
        <v>139</v>
      </c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t="str">
        <f>IF(AA108&gt;0,AA108," ")</f>
        <v> </v>
      </c>
      <c r="AN108" s="2"/>
      <c r="AP108" t="str">
        <f>IF(AA108&gt;0,AA108," ")</f>
        <v> </v>
      </c>
    </row>
    <row r="109" spans="27:93" ht="12" customHeight="1">
      <c r="AA109" s="6"/>
      <c r="AB109" t="s">
        <v>125</v>
      </c>
      <c r="AG109" t="str">
        <f>IF(AA109&gt;0,1," ")</f>
        <v> </v>
      </c>
      <c r="AK109" t="str">
        <f>IF(AA109&gt;0,AA109," ")</f>
        <v> </v>
      </c>
      <c r="CN109" s="2"/>
      <c r="CO109" s="2"/>
    </row>
    <row r="110" spans="27:37" ht="12" customHeight="1">
      <c r="AA110" s="6"/>
      <c r="AB110" t="s">
        <v>123</v>
      </c>
      <c r="AK110" t="str">
        <f>IF(AA110&gt;0,AA110," ")</f>
        <v> </v>
      </c>
    </row>
    <row r="111" spans="27:36" ht="12" customHeight="1">
      <c r="AA111" s="6"/>
      <c r="AB111" t="s">
        <v>127</v>
      </c>
      <c r="AE111" t="str">
        <f>IF(AA111&gt;0,1," ")</f>
        <v> </v>
      </c>
      <c r="AJ111" t="str">
        <f>IF(AA111&gt;0,AA111," ")</f>
        <v> </v>
      </c>
    </row>
    <row r="112" spans="27:41" ht="12" customHeight="1">
      <c r="AA112" s="6"/>
      <c r="AB112" t="s">
        <v>131</v>
      </c>
      <c r="AK112" t="str">
        <f>IF(AA112&gt;0,AA112," ")</f>
        <v> </v>
      </c>
      <c r="AN112" s="2"/>
      <c r="AO112" t="str">
        <f>IF(AA112&gt;0,AA112," ")</f>
        <v> </v>
      </c>
    </row>
    <row r="113" spans="27:93" ht="12" customHeight="1">
      <c r="AA113" s="6"/>
      <c r="AB113" t="s">
        <v>129</v>
      </c>
      <c r="AK113" t="str">
        <f>IF(AA113&gt;0,AA113," ")</f>
        <v> </v>
      </c>
      <c r="AO113" s="2"/>
      <c r="CN113" s="2"/>
      <c r="CO113" s="2"/>
    </row>
    <row r="114" spans="27:93" ht="12" customHeight="1">
      <c r="AA114" s="6"/>
      <c r="AB114" t="s">
        <v>48</v>
      </c>
      <c r="AG114" t="str">
        <f>IF(AA114&gt;0,1," ")</f>
        <v> </v>
      </c>
      <c r="CN114" s="2"/>
      <c r="CO114" s="2"/>
    </row>
    <row r="115" spans="27:37" ht="12" customHeight="1">
      <c r="AA115" s="6"/>
      <c r="AB115" t="s">
        <v>45</v>
      </c>
      <c r="AF115" t="str">
        <f>IF(AA115&gt;0,1," ")</f>
        <v> </v>
      </c>
      <c r="AK115" t="str">
        <f>IF(AA115&gt;0,AA115," ")</f>
        <v> </v>
      </c>
    </row>
    <row r="116" spans="27:93" ht="12" customHeight="1">
      <c r="AA116" s="7"/>
      <c r="AB116" s="2" t="s">
        <v>51</v>
      </c>
      <c r="AC116" s="2"/>
      <c r="AD116" s="2"/>
      <c r="AE116" s="2"/>
      <c r="AF116" s="2"/>
      <c r="AG116" s="2"/>
      <c r="AH116" s="2"/>
      <c r="AI116" s="2"/>
      <c r="AJ116" s="2"/>
      <c r="AK116" t="str">
        <f>IF(AA116&gt;0,AA116," ")</f>
        <v> </v>
      </c>
      <c r="AL116" s="2"/>
      <c r="AM116" s="2"/>
      <c r="AN116" s="2"/>
      <c r="AO116" s="2"/>
      <c r="CN116" s="2"/>
      <c r="CO116" s="2"/>
    </row>
    <row r="117" spans="27:93" ht="12" customHeight="1">
      <c r="AA117" s="6"/>
      <c r="AB117" t="s">
        <v>56</v>
      </c>
      <c r="AC117" t="str">
        <f>IF(AA117&gt;0,1," ")</f>
        <v> </v>
      </c>
      <c r="AL117" t="str">
        <f>IF(AA117&gt;0,AA117," ")</f>
        <v> </v>
      </c>
      <c r="AN117" s="2"/>
      <c r="AP117" t="str">
        <f>IF(AA117&gt;0,AA117," ")</f>
        <v> </v>
      </c>
      <c r="CN117" s="2"/>
      <c r="CO117" s="2"/>
    </row>
    <row r="118" spans="27:93" ht="12" customHeight="1">
      <c r="AA118" s="6"/>
      <c r="AB118" t="s">
        <v>53</v>
      </c>
      <c r="AD118" t="str">
        <f>IF(AA118&gt;0,1," ")</f>
        <v> </v>
      </c>
      <c r="AG118" t="str">
        <f>IF(AA118&gt;0,1," ")</f>
        <v> </v>
      </c>
      <c r="AK118" t="str">
        <f>IF(AA118&gt;0,AA118," ")</f>
        <v> </v>
      </c>
      <c r="AM118" t="str">
        <f>IF(AA118&gt;0,AA118," ")</f>
        <v> </v>
      </c>
      <c r="AO118" s="2"/>
      <c r="CN118" s="2"/>
      <c r="CO118" s="2"/>
    </row>
    <row r="119" spans="27:40" ht="12" customHeight="1">
      <c r="AA119" s="7"/>
      <c r="AB119" s="2" t="s">
        <v>31</v>
      </c>
      <c r="AC119" s="2"/>
      <c r="AD119" s="2"/>
      <c r="AE119" t="str">
        <f>IF(AA119&gt;0,1," ")</f>
        <v> </v>
      </c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27:93" ht="12" customHeight="1">
      <c r="AA120" s="6"/>
      <c r="AB120" t="s">
        <v>27</v>
      </c>
      <c r="AE120" t="str">
        <f>IF(AA120&gt;0,1," ")</f>
        <v> </v>
      </c>
      <c r="AJ120" t="str">
        <f>IF(AA120&gt;0,AA120," ")</f>
        <v> </v>
      </c>
      <c r="AN120" s="2"/>
      <c r="CN120" s="2"/>
      <c r="CO120" s="2"/>
    </row>
    <row r="121" spans="27:41" ht="12" customHeight="1">
      <c r="AA121" s="7"/>
      <c r="AB121" s="2" t="s">
        <v>35</v>
      </c>
      <c r="AC121" s="2"/>
      <c r="AD121" s="2"/>
      <c r="AE121" s="2"/>
      <c r="AF121" s="2"/>
      <c r="AG121" s="2"/>
      <c r="AH121" t="str">
        <f>IF(AA121&gt;0,AA121," ")</f>
        <v> </v>
      </c>
      <c r="AJ121" s="2"/>
      <c r="AK121" s="2"/>
      <c r="AL121" t="str">
        <f>IF(AA121&gt;0,AA121," ")</f>
        <v> </v>
      </c>
      <c r="AM121" s="2"/>
      <c r="AN121" s="2"/>
      <c r="AO121" s="2"/>
    </row>
    <row r="122" spans="27:37" ht="12" customHeight="1">
      <c r="AA122" s="6"/>
      <c r="AB122" t="s">
        <v>42</v>
      </c>
      <c r="AK122" t="str">
        <f>IF(AA122&gt;0,AA122," ")</f>
        <v> </v>
      </c>
    </row>
    <row r="123" spans="27:40" ht="12" customHeight="1">
      <c r="AA123" s="6"/>
      <c r="AB123" t="s">
        <v>38</v>
      </c>
      <c r="AG123" t="str">
        <f>IF(AA123&gt;0,1," ")</f>
        <v> </v>
      </c>
      <c r="AK123" t="str">
        <f>IF(AA123&gt;0,AA123," ")</f>
        <v> </v>
      </c>
      <c r="AM123" t="str">
        <f>IF(AA123&gt;0,AA123," ")</f>
        <v> </v>
      </c>
      <c r="AN123" s="2"/>
    </row>
    <row r="124" spans="27:39" ht="12" customHeight="1">
      <c r="AA124" s="7"/>
      <c r="AB124" s="2" t="s">
        <v>60</v>
      </c>
      <c r="AC124" t="str">
        <f>IF(AA124&gt;0,1," ")</f>
        <v> </v>
      </c>
      <c r="AD124" s="2"/>
      <c r="AE124" s="2"/>
      <c r="AF124" s="2"/>
      <c r="AG124" s="2"/>
      <c r="AH124" s="2"/>
      <c r="AI124" s="2"/>
      <c r="AJ124" s="2"/>
      <c r="AK124" s="2"/>
      <c r="AL124" t="str">
        <f>IF(AA124&gt;0,AA124," ")</f>
        <v> </v>
      </c>
      <c r="AM124" s="2"/>
    </row>
    <row r="125" spans="27:93" ht="12" customHeight="1">
      <c r="AA125" s="6"/>
      <c r="AB125" t="s">
        <v>87</v>
      </c>
      <c r="AD125" t="str">
        <f>IF(AA125&gt;0,1," ")</f>
        <v> </v>
      </c>
      <c r="AK125" t="str">
        <f>IF(AA125&gt;0,AA125," ")</f>
        <v> </v>
      </c>
      <c r="AM125" t="str">
        <f>IF(AA125&gt;0,AA125," ")</f>
        <v> </v>
      </c>
      <c r="AO125" t="str">
        <f>IF(AA125&gt;0,AA125," ")</f>
        <v> </v>
      </c>
      <c r="CN125" s="2"/>
      <c r="CO125" s="2"/>
    </row>
    <row r="126" spans="27:93" ht="12" customHeight="1">
      <c r="AA126" s="6"/>
      <c r="AB126" t="s">
        <v>83</v>
      </c>
      <c r="AC126" t="str">
        <f>IF(AA126&gt;0,1," ")</f>
        <v> </v>
      </c>
      <c r="AK126" t="str">
        <f>IF(AA126&gt;0,AA126," ")</f>
        <v> </v>
      </c>
      <c r="AM126" t="str">
        <f>IF(AA126&gt;0,AA126," ")</f>
        <v> </v>
      </c>
      <c r="CN126" s="2"/>
      <c r="CO126" s="2"/>
    </row>
    <row r="127" spans="27:41" ht="12" customHeight="1">
      <c r="AA127" s="6"/>
      <c r="AB127" t="s">
        <v>90</v>
      </c>
      <c r="AK127" t="str">
        <f>IF(AA127&gt;0,AA127," ")</f>
        <v> </v>
      </c>
      <c r="AM127" t="str">
        <f>IF(AA127&gt;0,AA127," ")</f>
        <v> </v>
      </c>
      <c r="AO127" s="2"/>
    </row>
    <row r="128" spans="27:41" ht="12" customHeight="1">
      <c r="AA128" s="6"/>
      <c r="AB128" t="s">
        <v>93</v>
      </c>
      <c r="AG128" t="str">
        <f>IF(AA128&gt;0,1," ")</f>
        <v> </v>
      </c>
      <c r="AK128" t="str">
        <f>IF(AA128&gt;0,AA128," ")</f>
        <v> </v>
      </c>
      <c r="AM128" t="str">
        <f>IF(AA128&gt;0,AA128," ")</f>
        <v> </v>
      </c>
      <c r="AN128" s="2"/>
      <c r="AO128" s="2"/>
    </row>
    <row r="129" spans="27:39" ht="12" customHeight="1">
      <c r="AA129" s="7"/>
      <c r="AB129" s="2" t="s">
        <v>68</v>
      </c>
      <c r="AC129" s="2"/>
      <c r="AD129" s="2"/>
      <c r="AE129" s="2"/>
      <c r="AF129" s="2"/>
      <c r="AG129" s="2"/>
      <c r="AH129" s="2"/>
      <c r="AI129" s="2"/>
      <c r="AJ129" s="2"/>
      <c r="AK129" t="str">
        <f>IF(AA129&gt;0,AA129," ")</f>
        <v> </v>
      </c>
      <c r="AL129" s="2"/>
      <c r="AM129" s="2"/>
    </row>
    <row r="130" spans="27:41" ht="12" customHeight="1">
      <c r="AA130" s="7"/>
      <c r="AB130" s="2" t="s">
        <v>64</v>
      </c>
      <c r="AC130" s="2"/>
      <c r="AD130" s="2"/>
      <c r="AE130" t="str">
        <f>IF(AA130&gt;0,1," ")</f>
        <v> </v>
      </c>
      <c r="AF130" s="2"/>
      <c r="AG130" s="2"/>
      <c r="AH130" t="str">
        <f>IF(AA130&gt;0,AA130," ")</f>
        <v> </v>
      </c>
      <c r="AJ130" s="2"/>
      <c r="AK130" s="2"/>
      <c r="AL130" t="str">
        <f>IF(AA130&gt;0,AA130," ")</f>
        <v> </v>
      </c>
      <c r="AM130" s="2"/>
      <c r="AO130" s="2"/>
    </row>
    <row r="131" spans="27:93" ht="12" customHeight="1">
      <c r="AA131" s="6"/>
      <c r="AB131" t="s">
        <v>72</v>
      </c>
      <c r="AE131" t="str">
        <f>IF(AA131&gt;0,1," ")</f>
        <v> </v>
      </c>
      <c r="AK131" t="str">
        <f>IF(AA131&gt;0,AA131," ")</f>
        <v> </v>
      </c>
      <c r="AO131" s="2"/>
      <c r="CN131" s="2"/>
      <c r="CO131" s="2"/>
    </row>
    <row r="132" spans="27:39" ht="12" customHeight="1">
      <c r="AA132" s="7"/>
      <c r="AB132" s="2" t="s">
        <v>80</v>
      </c>
      <c r="AC132" s="2"/>
      <c r="AD132" s="2"/>
      <c r="AE132" s="2"/>
      <c r="AF132" s="2"/>
      <c r="AH132" s="2"/>
      <c r="AI132" s="2"/>
      <c r="AJ132" s="2"/>
      <c r="AK132" s="2"/>
      <c r="AL132" s="2"/>
      <c r="AM132" s="2"/>
    </row>
    <row r="133" spans="27:93" ht="12" customHeight="1">
      <c r="AA133" s="7"/>
      <c r="AB133" s="2" t="s">
        <v>76</v>
      </c>
      <c r="AC133" s="2"/>
      <c r="AD133" s="2"/>
      <c r="AE133" s="2"/>
      <c r="AF133" s="2"/>
      <c r="AG133" t="str">
        <f>IF(AA132&gt;0,1,IF(AA133&gt;0,1," "))</f>
        <v> </v>
      </c>
      <c r="AH133" s="2"/>
      <c r="AI133" t="str">
        <f>IF(AA132&gt;0,IF(AA133&gt;0,1," ")," ")</f>
        <v> </v>
      </c>
      <c r="AJ133" s="2"/>
      <c r="AK133" s="2"/>
      <c r="AL133" s="2"/>
      <c r="AM133" s="2"/>
      <c r="AN133" s="2"/>
      <c r="AO133" t="str">
        <f>IF(AA133&gt;0,AA133," ")</f>
        <v> </v>
      </c>
      <c r="CN133" s="2"/>
      <c r="CO133" s="2"/>
    </row>
    <row r="134" spans="27:41" ht="12" customHeight="1">
      <c r="AA134" s="6"/>
      <c r="AB134" t="s">
        <v>143</v>
      </c>
      <c r="AK134" t="str">
        <f>IF(AA134&gt;0,AA134," ")</f>
        <v> </v>
      </c>
      <c r="AO134" s="2"/>
    </row>
    <row r="135" spans="27:41" ht="12" customHeight="1">
      <c r="AA135" s="6"/>
      <c r="AB135" t="s">
        <v>221</v>
      </c>
      <c r="AJ135" t="str">
        <f>IF(AA135&gt;0,AA135," ")</f>
        <v> </v>
      </c>
      <c r="AM135" t="str">
        <f>IF(AA135&gt;0,AA135," ")</f>
        <v> </v>
      </c>
      <c r="AN135" s="2"/>
      <c r="AO135" s="2"/>
    </row>
    <row r="136" spans="27:93" ht="12" customHeight="1">
      <c r="AA136" s="7"/>
      <c r="AB136" s="2" t="s">
        <v>219</v>
      </c>
      <c r="AC136" s="2"/>
      <c r="AD136" s="2"/>
      <c r="AE136" t="str">
        <f>IF(AA136&gt;0,1," ")</f>
        <v> </v>
      </c>
      <c r="AF136" s="2"/>
      <c r="AG136" s="2"/>
      <c r="AH136" s="2"/>
      <c r="AI136" s="2"/>
      <c r="AJ136" s="2"/>
      <c r="AK136" s="2"/>
      <c r="AL136" s="2"/>
      <c r="AM136" s="2"/>
      <c r="CN136" s="2"/>
      <c r="CO136" s="2"/>
    </row>
    <row r="137" spans="27:93" ht="12" customHeight="1">
      <c r="AA137" s="7"/>
      <c r="AB137" s="2" t="s">
        <v>223</v>
      </c>
      <c r="AC137" s="2"/>
      <c r="AD137" s="2"/>
      <c r="AE137" t="str">
        <f>IF(AA137&gt;0,1," ")</f>
        <v> </v>
      </c>
      <c r="AF137" s="2"/>
      <c r="AG137" t="str">
        <f>IF(AA137&gt;0,1," ")</f>
        <v> </v>
      </c>
      <c r="AH137" s="2"/>
      <c r="AI137" s="2"/>
      <c r="AJ137" s="2"/>
      <c r="AK137" s="2"/>
      <c r="AL137" s="2"/>
      <c r="AM137" s="2"/>
      <c r="AO137" s="2"/>
      <c r="CN137" s="2"/>
      <c r="CO137" s="2"/>
    </row>
    <row r="138" spans="27:41" ht="12" customHeight="1">
      <c r="AA138" s="6"/>
      <c r="AB138" t="s">
        <v>227</v>
      </c>
      <c r="AC138" t="str">
        <f>IF(AA138&gt;0,1," ")</f>
        <v> </v>
      </c>
      <c r="AK138" t="str">
        <f>IF(AA138&gt;0,AA138," ")</f>
        <v> </v>
      </c>
      <c r="AM138" t="str">
        <f>IF(AA138&gt;0,AA138," ")</f>
        <v> </v>
      </c>
      <c r="AN138" s="2"/>
      <c r="AO138" s="2"/>
    </row>
    <row r="139" spans="27:93" ht="12" customHeight="1">
      <c r="AA139" s="7"/>
      <c r="AB139" s="2" t="s">
        <v>225</v>
      </c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CN139" s="2"/>
      <c r="CO139" s="2"/>
    </row>
    <row r="140" spans="27:41" ht="12" customHeight="1">
      <c r="AA140" s="7"/>
      <c r="AB140" s="2" t="s">
        <v>204</v>
      </c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O140" t="str">
        <f>IF(AA140&gt;0,AA140," ")</f>
        <v> </v>
      </c>
    </row>
    <row r="141" spans="27:41" ht="12" customHeight="1">
      <c r="AA141" s="7"/>
      <c r="AB141" s="2" t="s">
        <v>202</v>
      </c>
      <c r="AC141" s="2"/>
      <c r="AD141" s="2"/>
      <c r="AE141" s="2"/>
      <c r="AF141" s="2"/>
      <c r="AG141" s="2"/>
      <c r="AH141" s="2"/>
      <c r="AI141" s="2"/>
      <c r="AJ141" t="str">
        <f>IF(AA141&gt;0,AA141," ")</f>
        <v> </v>
      </c>
      <c r="AK141" s="2"/>
      <c r="AL141" s="2"/>
      <c r="AM141" s="2"/>
      <c r="AN141" s="2"/>
      <c r="AO141" s="2"/>
    </row>
    <row r="142" spans="27:93" ht="12" customHeight="1">
      <c r="AA142" s="7"/>
      <c r="AB142" s="2" t="s">
        <v>209</v>
      </c>
      <c r="AC142" s="2"/>
      <c r="AD142" s="2"/>
      <c r="AE142" s="2"/>
      <c r="AF142" s="2"/>
      <c r="AG142" s="2"/>
      <c r="AH142" s="2"/>
      <c r="AI142" s="2"/>
      <c r="AJ142" s="2"/>
      <c r="AK142" t="str">
        <f>IF(AA142&gt;0,AA142," ")</f>
        <v> </v>
      </c>
      <c r="AL142" s="2"/>
      <c r="AM142" t="str">
        <f>IF(AA142&gt;0,AA142," ")</f>
        <v> </v>
      </c>
      <c r="AO142" s="2"/>
      <c r="CN142" s="2"/>
      <c r="CO142" s="2"/>
    </row>
    <row r="143" spans="27:41" ht="12" customHeight="1">
      <c r="AA143" s="7"/>
      <c r="AB143" s="2" t="s">
        <v>213</v>
      </c>
      <c r="AC143" s="2"/>
      <c r="AD143" s="2"/>
      <c r="AE143" s="2"/>
      <c r="AF143" s="2"/>
      <c r="AG143" s="2"/>
      <c r="AH143" s="2"/>
      <c r="AI143" s="2"/>
      <c r="AJ143" s="2"/>
      <c r="AK143" t="str">
        <f>IF(AA143&gt;0,AA143," ")</f>
        <v> </v>
      </c>
      <c r="AL143" s="2"/>
      <c r="AM143" s="2"/>
      <c r="AO143" s="2"/>
    </row>
    <row r="144" spans="27:40" ht="12" customHeight="1">
      <c r="AA144" s="7"/>
      <c r="AB144" s="2" t="s">
        <v>211</v>
      </c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27:41" ht="12" customHeight="1">
      <c r="AA145" s="7"/>
      <c r="AB145" s="2" t="s">
        <v>229</v>
      </c>
      <c r="AC145" s="2"/>
      <c r="AD145" s="2"/>
      <c r="AE145" s="2"/>
      <c r="AF145" s="2"/>
      <c r="AG145" t="str">
        <f>IF(AA145&gt;0,1," ")</f>
        <v> </v>
      </c>
      <c r="AH145" s="2"/>
      <c r="AI145" t="str">
        <f>IF(AA144&gt;0,IF(AA145&gt;0,1," ")," ")</f>
        <v> </v>
      </c>
      <c r="AJ145" s="2"/>
      <c r="AK145" s="2"/>
      <c r="AL145" s="2"/>
      <c r="AM145" s="2"/>
      <c r="AO145" s="2"/>
    </row>
    <row r="146" spans="27:41" ht="12" customHeight="1">
      <c r="AA146" s="6"/>
      <c r="AB146" t="s">
        <v>243</v>
      </c>
      <c r="AC146" t="str">
        <f>IF(AA146&gt;0,1," ")</f>
        <v> </v>
      </c>
      <c r="AK146" t="str">
        <f>IF(AA146&gt;0,AA146," ")</f>
        <v> </v>
      </c>
      <c r="AM146" t="str">
        <f>IF(AA146&gt;0,AA146," ")</f>
        <v> </v>
      </c>
      <c r="AO146" t="str">
        <f>IF(AA146&gt;0,AA146," ")</f>
        <v> </v>
      </c>
    </row>
    <row r="147" spans="27:93" ht="12" customHeight="1">
      <c r="AA147" s="7"/>
      <c r="AB147" s="2" t="s">
        <v>241</v>
      </c>
      <c r="AC147" s="2"/>
      <c r="AD147" s="2"/>
      <c r="AE147" s="2"/>
      <c r="AF147" s="2"/>
      <c r="AG147" s="2"/>
      <c r="AH147" s="2"/>
      <c r="AI147" s="2"/>
      <c r="AJ147" t="str">
        <f>IF(AA147&gt;0,AA147," ")</f>
        <v> </v>
      </c>
      <c r="AK147" s="2"/>
      <c r="AL147" s="2"/>
      <c r="AM147" s="2"/>
      <c r="CN147" s="2"/>
      <c r="CO147" s="2"/>
    </row>
    <row r="148" spans="27:37" ht="12" customHeight="1">
      <c r="AA148" s="6"/>
      <c r="AB148" t="s">
        <v>245</v>
      </c>
      <c r="AG148" t="str">
        <f>IF(AA148&gt;0,1," ")</f>
        <v> </v>
      </c>
      <c r="AK148" t="str">
        <f>IF(AA148&gt;0,AA148," ")</f>
        <v> </v>
      </c>
    </row>
    <row r="149" spans="27:93" ht="12" customHeight="1">
      <c r="AA149" s="6"/>
      <c r="AB149" t="s">
        <v>249</v>
      </c>
      <c r="AD149" t="str">
        <f>IF(AA149&gt;0,1," ")</f>
        <v> </v>
      </c>
      <c r="AG149" t="str">
        <f>IF(AA149&gt;0,1," ")</f>
        <v> </v>
      </c>
      <c r="AK149" t="str">
        <f>IF(AA149&gt;0,AA149," ")</f>
        <v> </v>
      </c>
      <c r="AM149" t="str">
        <f>IF(AA149&gt;0,AA149," ")</f>
        <v> </v>
      </c>
      <c r="AN149" s="2"/>
      <c r="AO149" t="str">
        <f>IF(AA149&gt;0,AA149," ")</f>
        <v> </v>
      </c>
      <c r="CN149" s="2"/>
      <c r="CO149" s="2"/>
    </row>
    <row r="150" spans="27:93" ht="12" customHeight="1">
      <c r="AA150" s="6"/>
      <c r="AB150" t="s">
        <v>247</v>
      </c>
      <c r="AG150" t="str">
        <f>IF(AA150&gt;0,1," ")</f>
        <v> </v>
      </c>
      <c r="AK150" t="str">
        <f>IF(AA150&gt;0,AA150," ")</f>
        <v> </v>
      </c>
      <c r="AO150" s="2"/>
      <c r="CN150" s="2"/>
      <c r="CO150" s="2"/>
    </row>
    <row r="151" spans="27:93" ht="12" customHeight="1">
      <c r="AA151" s="6"/>
      <c r="AB151" t="s">
        <v>233</v>
      </c>
      <c r="AG151" t="str">
        <f>IF(AA151&gt;0,1," ")</f>
        <v> </v>
      </c>
      <c r="AJ151" t="str">
        <f>IF(AA151&gt;0,AA151," ")</f>
        <v> </v>
      </c>
      <c r="AN151" s="2"/>
      <c r="CN151" s="2"/>
      <c r="CO151" s="2"/>
    </row>
    <row r="152" spans="27:41" ht="12" customHeight="1">
      <c r="AA152" s="7"/>
      <c r="AB152" s="2" t="s">
        <v>231</v>
      </c>
      <c r="AC152" t="str">
        <f>IF(AA152&gt;0,1," ")</f>
        <v> </v>
      </c>
      <c r="AD152" s="2"/>
      <c r="AE152" s="2"/>
      <c r="AF152" s="2"/>
      <c r="AG152" s="2"/>
      <c r="AH152" s="2"/>
      <c r="AI152" s="2"/>
      <c r="AJ152" s="2"/>
      <c r="AK152" t="str">
        <f>IF(AA152&gt;0,AA152," ")</f>
        <v> </v>
      </c>
      <c r="AL152" s="2"/>
      <c r="AM152" s="2"/>
      <c r="AN152" s="2"/>
      <c r="AO152" s="2"/>
    </row>
    <row r="153" spans="27:40" ht="12" customHeight="1">
      <c r="AA153" s="6"/>
      <c r="AB153" t="s">
        <v>235</v>
      </c>
      <c r="AM153" t="str">
        <f>IF(AA153&gt;0,AA153," ")</f>
        <v> </v>
      </c>
      <c r="AN153" s="2"/>
    </row>
    <row r="154" spans="27:39" ht="12" customHeight="1">
      <c r="AA154" s="7"/>
      <c r="AB154" s="2" t="s">
        <v>239</v>
      </c>
      <c r="AC154" s="2"/>
      <c r="AD154" s="2"/>
      <c r="AE154" s="2"/>
      <c r="AF154" s="2"/>
      <c r="AG154" t="str">
        <f>IF(AA154&gt;0,1," ")</f>
        <v> </v>
      </c>
      <c r="AH154" s="2"/>
      <c r="AI154" s="2"/>
      <c r="AJ154" s="2"/>
      <c r="AK154" t="str">
        <f aca="true" t="shared" si="2" ref="AK154:AK165">IF(AA154&gt;0,AA154," ")</f>
        <v> </v>
      </c>
      <c r="AL154" s="2"/>
      <c r="AM154" s="2"/>
    </row>
    <row r="155" spans="27:93" ht="12" customHeight="1">
      <c r="AA155" s="6"/>
      <c r="AB155" t="s">
        <v>237</v>
      </c>
      <c r="AG155" t="str">
        <f>IF(AA155&gt;0,1," ")</f>
        <v> </v>
      </c>
      <c r="AK155" t="str">
        <f t="shared" si="2"/>
        <v> </v>
      </c>
      <c r="CN155" s="2"/>
      <c r="CO155" s="2"/>
    </row>
    <row r="156" spans="27:41" ht="12" customHeight="1">
      <c r="AA156" s="6"/>
      <c r="AB156" t="s">
        <v>157</v>
      </c>
      <c r="AK156" t="str">
        <f t="shared" si="2"/>
        <v> </v>
      </c>
      <c r="AO156" s="2"/>
    </row>
    <row r="157" spans="27:40" ht="12" customHeight="1">
      <c r="AA157" s="6"/>
      <c r="AB157" t="s">
        <v>155</v>
      </c>
      <c r="AG157" t="str">
        <f>IF(AA157&gt;0,1," ")</f>
        <v> </v>
      </c>
      <c r="AK157" t="str">
        <f t="shared" si="2"/>
        <v> </v>
      </c>
      <c r="AN157" s="2"/>
    </row>
    <row r="158" spans="27:41" ht="12" customHeight="1">
      <c r="AA158" s="7"/>
      <c r="AB158" s="2" t="s">
        <v>159</v>
      </c>
      <c r="AC158" t="str">
        <f>IF(AA158&gt;0,1," ")</f>
        <v> </v>
      </c>
      <c r="AD158" s="2"/>
      <c r="AE158" s="2"/>
      <c r="AF158" s="2"/>
      <c r="AG158" t="str">
        <f>IF(AA158&gt;0,1," ")</f>
        <v> </v>
      </c>
      <c r="AH158" s="2"/>
      <c r="AI158" s="2"/>
      <c r="AJ158" s="2"/>
      <c r="AK158" t="str">
        <f t="shared" si="2"/>
        <v> </v>
      </c>
      <c r="AL158" s="2"/>
      <c r="AM158" t="str">
        <f>IF(AA158&gt;0,AA158," ")</f>
        <v> </v>
      </c>
      <c r="AO158" t="str">
        <f>IF(AA158&gt;0,AA158," ")</f>
        <v> </v>
      </c>
    </row>
    <row r="159" spans="27:41" ht="12" customHeight="1">
      <c r="AA159" s="6"/>
      <c r="AB159" t="s">
        <v>163</v>
      </c>
      <c r="AK159" t="str">
        <f t="shared" si="2"/>
        <v> </v>
      </c>
      <c r="AO159" s="2"/>
    </row>
    <row r="160" spans="27:37" ht="12" customHeight="1">
      <c r="AA160" s="6"/>
      <c r="AB160" t="s">
        <v>161</v>
      </c>
      <c r="AK160" t="str">
        <f t="shared" si="2"/>
        <v> </v>
      </c>
    </row>
    <row r="161" spans="27:93" ht="12" customHeight="1">
      <c r="AA161" s="7"/>
      <c r="AB161" s="2" t="s">
        <v>147</v>
      </c>
      <c r="AC161" s="2"/>
      <c r="AD161" s="2"/>
      <c r="AE161" s="2"/>
      <c r="AF161" s="2"/>
      <c r="AH161" s="2"/>
      <c r="AI161" s="2"/>
      <c r="AJ161" s="2"/>
      <c r="AK161" t="str">
        <f t="shared" si="2"/>
        <v> </v>
      </c>
      <c r="AL161" s="2"/>
      <c r="AM161" t="str">
        <f>IF(AA161&gt;0,AA161," ")</f>
        <v> </v>
      </c>
      <c r="AO161" t="str">
        <f>IF(AA161&gt;0,AA161," ")</f>
        <v> </v>
      </c>
      <c r="CN161" s="2"/>
      <c r="CO161" s="2"/>
    </row>
    <row r="162" spans="27:93" ht="12" customHeight="1">
      <c r="AA162" s="6"/>
      <c r="AB162" t="s">
        <v>145</v>
      </c>
      <c r="AK162" t="str">
        <f t="shared" si="2"/>
        <v> </v>
      </c>
      <c r="AM162" t="str">
        <f>IF(AA162&gt;0,AA162," ")</f>
        <v> </v>
      </c>
      <c r="CN162" s="2"/>
      <c r="CO162" s="2"/>
    </row>
    <row r="163" spans="27:40" ht="12" customHeight="1">
      <c r="AA163" s="6"/>
      <c r="AB163" t="s">
        <v>149</v>
      </c>
      <c r="AK163" t="str">
        <f t="shared" si="2"/>
        <v> </v>
      </c>
      <c r="AN163" s="2"/>
    </row>
    <row r="164" spans="27:41" ht="12" customHeight="1">
      <c r="AA164" s="6"/>
      <c r="AB164" t="s">
        <v>153</v>
      </c>
      <c r="AE164" t="str">
        <f>IF(AA164&gt;0,1," ")</f>
        <v> </v>
      </c>
      <c r="AK164" t="str">
        <f t="shared" si="2"/>
        <v> </v>
      </c>
      <c r="AN164" s="2"/>
      <c r="AO164" t="str">
        <f>IF(AA164&gt;0,AA164," ")</f>
        <v> </v>
      </c>
    </row>
    <row r="165" spans="27:93" ht="12" customHeight="1">
      <c r="AA165" s="6"/>
      <c r="AB165" t="s">
        <v>151</v>
      </c>
      <c r="AK165" t="str">
        <f t="shared" si="2"/>
        <v> </v>
      </c>
      <c r="AO165" t="str">
        <f>IF(AA165&gt;0,AA165," ")</f>
        <v> </v>
      </c>
      <c r="CN165" s="2"/>
      <c r="CO165" s="2"/>
    </row>
    <row r="166" spans="27:39" ht="12" customHeight="1">
      <c r="AA166" s="6"/>
      <c r="AB166" t="s">
        <v>165</v>
      </c>
      <c r="AJ166" t="str">
        <f>IF(AA166&gt;0,AA166," ")</f>
        <v> </v>
      </c>
      <c r="AM166" t="str">
        <f>IF(AA166&gt;0,AA166," ")</f>
        <v> </v>
      </c>
    </row>
    <row r="167" spans="27:40" ht="12" customHeight="1">
      <c r="AA167" s="6"/>
      <c r="AB167" t="s">
        <v>188</v>
      </c>
      <c r="AF167" t="str">
        <f>IF(AA167&gt;0,1," ")</f>
        <v> </v>
      </c>
      <c r="AJ167" t="str">
        <f>IF(AA167&gt;0,AA167," ")</f>
        <v> </v>
      </c>
      <c r="AN167" s="2"/>
    </row>
    <row r="168" spans="27:41" ht="12" customHeight="1">
      <c r="AA168" s="6"/>
      <c r="AB168" t="s">
        <v>186</v>
      </c>
      <c r="AG168" t="str">
        <f>IF(AA168&gt;0,1," ")</f>
        <v> </v>
      </c>
      <c r="AO168" t="str">
        <f>IF(AA168&gt;0,AA168," ")</f>
        <v> </v>
      </c>
    </row>
    <row r="169" spans="27:93" ht="12" customHeight="1">
      <c r="AA169" s="6"/>
      <c r="AB169" t="s">
        <v>194</v>
      </c>
      <c r="AD169" t="str">
        <f>IF(AA169&gt;0,1," ")</f>
        <v> </v>
      </c>
      <c r="AK169" t="str">
        <f>IF(AA169&gt;0,AA169," ")</f>
        <v> </v>
      </c>
      <c r="AO169" t="str">
        <f>IF(AA169&gt;0,AA169," ")</f>
        <v> </v>
      </c>
      <c r="CN169" s="2"/>
      <c r="CO169" s="2"/>
    </row>
    <row r="170" spans="27:93" ht="12" customHeight="1">
      <c r="AA170" s="6"/>
      <c r="AB170" t="s">
        <v>198</v>
      </c>
      <c r="AJ170" t="str">
        <f>IF(AA170&gt;0,AA170," ")</f>
        <v> </v>
      </c>
      <c r="CN170" s="2"/>
      <c r="CO170" s="2"/>
    </row>
    <row r="171" spans="27:93" ht="12" customHeight="1">
      <c r="AA171" s="6"/>
      <c r="AB171" t="s">
        <v>196</v>
      </c>
      <c r="AF171" t="str">
        <f>IF(AA171&gt;0,1," ")</f>
        <v> </v>
      </c>
      <c r="AJ171" t="str">
        <f>IF(AA171&gt;0,AA171," ")</f>
        <v> </v>
      </c>
      <c r="AN171" s="2"/>
      <c r="CN171" s="2"/>
      <c r="CO171" s="2"/>
    </row>
    <row r="172" spans="27:41" ht="12" customHeight="1">
      <c r="AA172" s="6"/>
      <c r="AB172" t="s">
        <v>170</v>
      </c>
      <c r="AE172" t="str">
        <f>IF(AA172&gt;0,1," ")</f>
        <v> </v>
      </c>
      <c r="AK172" t="str">
        <f>IF(AA172&gt;0,AA172," ")</f>
        <v> </v>
      </c>
      <c r="AN172" s="2"/>
      <c r="AO172" t="str">
        <f>IF(AA172&gt;0,AA172," ")</f>
        <v> </v>
      </c>
    </row>
    <row r="173" spans="27:36" ht="12" customHeight="1">
      <c r="AA173" s="6"/>
      <c r="AB173" t="s">
        <v>173</v>
      </c>
      <c r="AJ173" t="str">
        <f>IF(AA173&gt;0,AA173," ")</f>
        <v> </v>
      </c>
    </row>
    <row r="174" spans="27:93" ht="12" customHeight="1">
      <c r="AA174" s="6"/>
      <c r="AB174" t="s">
        <v>184</v>
      </c>
      <c r="AH174" t="str">
        <f>IF(AA174&gt;0,AA174," ")</f>
        <v> </v>
      </c>
      <c r="AK174" t="str">
        <f>IF(AA174&gt;0,AA174," ")</f>
        <v> </v>
      </c>
      <c r="AN174" t="str">
        <f>IF($AA174&gt;0,$AA174," ")</f>
        <v> </v>
      </c>
      <c r="AO174" t="str">
        <f>IF(AA174&gt;0,AA174," ")</f>
        <v> </v>
      </c>
      <c r="CN174" s="2"/>
      <c r="CO174" s="2"/>
    </row>
    <row r="176" spans="27:42" ht="12" customHeight="1">
      <c r="AA176">
        <f>SUM(AA5:AA174)</f>
        <v>121</v>
      </c>
      <c r="AB176" t="s">
        <v>250</v>
      </c>
      <c r="AC176">
        <f aca="true" t="shared" si="3" ref="AC176:AP176">SUM(AC5:AC174)</f>
        <v>1</v>
      </c>
      <c r="AD176">
        <f t="shared" si="3"/>
        <v>0</v>
      </c>
      <c r="AE176">
        <f t="shared" si="3"/>
        <v>1</v>
      </c>
      <c r="AF176">
        <f t="shared" si="3"/>
        <v>2</v>
      </c>
      <c r="AG176">
        <f t="shared" si="3"/>
        <v>1</v>
      </c>
      <c r="AH176">
        <f t="shared" si="3"/>
        <v>103</v>
      </c>
      <c r="AI176">
        <f t="shared" si="3"/>
        <v>0</v>
      </c>
      <c r="AJ176">
        <f t="shared" si="3"/>
        <v>3</v>
      </c>
      <c r="AK176">
        <f t="shared" si="3"/>
        <v>33</v>
      </c>
      <c r="AL176">
        <f t="shared" si="3"/>
        <v>64</v>
      </c>
      <c r="AM176">
        <f t="shared" si="3"/>
        <v>7</v>
      </c>
      <c r="AN176">
        <f t="shared" si="3"/>
        <v>86</v>
      </c>
      <c r="AO176">
        <f t="shared" si="3"/>
        <v>0</v>
      </c>
      <c r="AP176">
        <f t="shared" si="3"/>
        <v>7</v>
      </c>
    </row>
    <row r="177" ht="12" customHeight="1">
      <c r="AA177">
        <f>COUNTA(AA5:AA174)</f>
        <v>11</v>
      </c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Lisa Helmuth</cp:lastModifiedBy>
  <cp:lastPrinted>2002-02-22T15:56:58Z</cp:lastPrinted>
  <dcterms:created xsi:type="dcterms:W3CDTF">1999-12-10T17:06:24Z</dcterms:created>
  <dcterms:modified xsi:type="dcterms:W3CDTF">2007-08-14T19:22:43Z</dcterms:modified>
  <cp:category/>
  <cp:version/>
  <cp:contentType/>
  <cp:contentStatus/>
</cp:coreProperties>
</file>