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0"/>
  </bookViews>
  <sheets>
    <sheet name="IBILIST" sheetId="1" r:id="rId1"/>
    <sheet name="Instructions" sheetId="2" r:id="rId2"/>
  </sheets>
  <definedNames>
    <definedName name="FISHLIST">'IBILIST'!$BH$2:$BH$8</definedName>
    <definedName name="_xlnm.Print_Area" localSheetId="0">'IBILIST'!$A$1:$K$77</definedName>
  </definedNames>
  <calcPr fullCalcOnLoad="1"/>
</workbook>
</file>

<file path=xl/sharedStrings.xml><?xml version="1.0" encoding="utf-8"?>
<sst xmlns="http://schemas.openxmlformats.org/spreadsheetml/2006/main" count="598" uniqueCount="370">
  <si>
    <t>Sample Date</t>
  </si>
  <si>
    <t>SITE</t>
  </si>
  <si>
    <t># of Fish</t>
  </si>
  <si>
    <t>Common Name</t>
  </si>
  <si>
    <t>TAXA</t>
  </si>
  <si>
    <t>TOLERANCE</t>
  </si>
  <si>
    <t>FEEDING</t>
  </si>
  <si>
    <t>SPAWNING</t>
  </si>
  <si>
    <t>PERSONNEL</t>
  </si>
  <si>
    <t>C</t>
  </si>
  <si>
    <t>D</t>
  </si>
  <si>
    <t>E</t>
  </si>
  <si>
    <t>S</t>
  </si>
  <si>
    <t>I</t>
  </si>
  <si>
    <t>T</t>
  </si>
  <si>
    <t>Tc</t>
  </si>
  <si>
    <t>In</t>
  </si>
  <si>
    <t>Om</t>
  </si>
  <si>
    <t>SL</t>
  </si>
  <si>
    <t>MATRIX</t>
  </si>
  <si>
    <t>VALUE</t>
  </si>
  <si>
    <t>SCORE</t>
  </si>
  <si>
    <t>Back Pack</t>
  </si>
  <si>
    <t>Alewife</t>
  </si>
  <si>
    <t>Rainbow Trout</t>
  </si>
  <si>
    <t>total # of fish</t>
  </si>
  <si>
    <t>n/a</t>
  </si>
  <si>
    <t>Am. Brook Lamprey (adult)</t>
  </si>
  <si>
    <t>Rainbow Smelt</t>
  </si>
  <si>
    <t>total # of native spp.</t>
  </si>
  <si>
    <t>Ln stream width (m) =</t>
  </si>
  <si>
    <t>Am. Brook Lamprey (ammoceate)</t>
  </si>
  <si>
    <t>Red Shiner</t>
  </si>
  <si>
    <t>total # of darter spp.</t>
  </si>
  <si>
    <t>American Eel</t>
  </si>
  <si>
    <t>Redside Dace</t>
  </si>
  <si>
    <t>total # of sucker spp.</t>
  </si>
  <si>
    <t>Distance shocked (m)=</t>
  </si>
  <si>
    <t>Atlantic Salmon</t>
  </si>
  <si>
    <t>Redfin Shiner</t>
  </si>
  <si>
    <t>&lt;=8km from lake</t>
  </si>
  <si>
    <t>Banded Darter</t>
  </si>
  <si>
    <t>Pumpkinseed</t>
  </si>
  <si>
    <t>total # of sunfish spp.</t>
  </si>
  <si>
    <t>Banded Killifish</t>
  </si>
  <si>
    <t>Pugnose Shiner</t>
  </si>
  <si>
    <t>&gt;8km from lake</t>
  </si>
  <si>
    <t>Bigmouth Buffalo</t>
  </si>
  <si>
    <t>Pygmy Whitefish</t>
  </si>
  <si>
    <t>Bigmouth Shiner</t>
  </si>
  <si>
    <t>Rainbow Darter</t>
  </si>
  <si>
    <t>total # of intolerant spp.</t>
  </si>
  <si>
    <t>Black Buffalo</t>
  </si>
  <si>
    <t>Quillback</t>
  </si>
  <si>
    <t>total # of tolerant fish</t>
  </si>
  <si>
    <t>% of tolerant spp.</t>
  </si>
  <si>
    <t>Black Bullhead</t>
  </si>
  <si>
    <t>River Carpsucker</t>
  </si>
  <si>
    <t>total # of omnivores</t>
  </si>
  <si>
    <t>% of omnivorous spp.</t>
  </si>
  <si>
    <t>Black Crappie</t>
  </si>
  <si>
    <t>Rudd</t>
  </si>
  <si>
    <t>total # of insectivores</t>
  </si>
  <si>
    <t>% of insevtivores</t>
  </si>
  <si>
    <t>Black Redhorse</t>
  </si>
  <si>
    <t>Round Whitefish</t>
  </si>
  <si>
    <t>total # of top carnivores</t>
  </si>
  <si>
    <t>% of carnivores</t>
  </si>
  <si>
    <t>Blackchin Shiner</t>
  </si>
  <si>
    <t>Ruffe</t>
  </si>
  <si>
    <t>total # of simple lithophils</t>
  </si>
  <si>
    <t>% of simple lithophilous</t>
  </si>
  <si>
    <t>Blackfin Cisco</t>
  </si>
  <si>
    <t>S. Brook Lamprey (ammoceate)</t>
  </si>
  <si>
    <t>subtotal</t>
  </si>
  <si>
    <t>Correction Factors</t>
  </si>
  <si>
    <t>Blacknose Dace</t>
  </si>
  <si>
    <t>S. Brook Lamprey (adult)</t>
  </si>
  <si>
    <t># of nontolerant fish per 300m</t>
  </si>
  <si>
    <t>Blacknose Shiner</t>
  </si>
  <si>
    <t>River Redhorse</t>
  </si>
  <si>
    <t>total # of DELT fish</t>
  </si>
  <si>
    <t>% DELT</t>
  </si>
  <si>
    <t>Blackside Darter</t>
  </si>
  <si>
    <t>River Darter</t>
  </si>
  <si>
    <t>Total after correction factors =</t>
  </si>
  <si>
    <t>Blackstripe Topminnow</t>
  </si>
  <si>
    <t>River Shiner</t>
  </si>
  <si>
    <t>IBI SCORE =</t>
  </si>
  <si>
    <t>Bloater</t>
  </si>
  <si>
    <t>Rosyface Shiner</t>
  </si>
  <si>
    <t>Blue Sucker</t>
  </si>
  <si>
    <t>Rock Bass</t>
  </si>
  <si>
    <t>Biotic Integrity Rating</t>
  </si>
  <si>
    <t>Bluegill</t>
  </si>
  <si>
    <t>Muskellunge</t>
  </si>
  <si>
    <t>Bluntnose Darter</t>
  </si>
  <si>
    <t>Mud Darter</t>
  </si>
  <si>
    <t># of fish</t>
  </si>
  <si>
    <t>Fish species</t>
  </si>
  <si>
    <t>Bluntnose Minnow</t>
  </si>
  <si>
    <t>N. Brook Lamprey (adult)</t>
  </si>
  <si>
    <t>------------------------------------------</t>
  </si>
  <si>
    <t>Bowfin</t>
  </si>
  <si>
    <t>Ninespine Stickleback</t>
  </si>
  <si>
    <t>Brassy Minnow</t>
  </si>
  <si>
    <t>N. Brook Lamprey (ammoceate)</t>
  </si>
  <si>
    <t>Brook Silverside</t>
  </si>
  <si>
    <t>Mimic Shiner</t>
  </si>
  <si>
    <t>Brook Stickleback</t>
  </si>
  <si>
    <t>Longnose Sucker</t>
  </si>
  <si>
    <t>Brook Trout</t>
  </si>
  <si>
    <t>Mississippi Silvery Minnow</t>
  </si>
  <si>
    <t>Brown Bullhead</t>
  </si>
  <si>
    <t>Mottled Sculpin</t>
  </si>
  <si>
    <t>Brown Trout</t>
  </si>
  <si>
    <t>Mooneye</t>
  </si>
  <si>
    <t>Bullhead Minnow</t>
  </si>
  <si>
    <t>Northern Hog Sucker</t>
  </si>
  <si>
    <t>Burbot</t>
  </si>
  <si>
    <t>Pearl Dace</t>
  </si>
  <si>
    <t>Central Mudminnow</t>
  </si>
  <si>
    <t>Pallid Shiner</t>
  </si>
  <si>
    <t>Central Stoneroller</t>
  </si>
  <si>
    <t>Pink Salmon</t>
  </si>
  <si>
    <t>Channel Catfish</t>
  </si>
  <si>
    <t>Pugnose Minnow</t>
  </si>
  <si>
    <t>Channel Shiner</t>
  </si>
  <si>
    <t>Pirate Perch</t>
  </si>
  <si>
    <t>Chestnut Lamprey (adult)</t>
  </si>
  <si>
    <t>Northern Redbelly Dace</t>
  </si>
  <si>
    <t>Chestnut Lamprey (ammoceate)</t>
  </si>
  <si>
    <t>Northern Pike</t>
  </si>
  <si>
    <t>Chinook Salmon</t>
  </si>
  <si>
    <t>Orangespotted Sunfish</t>
  </si>
  <si>
    <t>Cisco</t>
  </si>
  <si>
    <t>Paddlefish</t>
  </si>
  <si>
    <t>Coho Salmon</t>
  </si>
  <si>
    <t>Ozark Minnow</t>
  </si>
  <si>
    <t>Common Carp</t>
  </si>
  <si>
    <t>Sand Shiner</t>
  </si>
  <si>
    <t>Common Shiner</t>
  </si>
  <si>
    <t>Suckermouth Minnow</t>
  </si>
  <si>
    <t>Creek Chub</t>
  </si>
  <si>
    <t>Striped Shiner</t>
  </si>
  <si>
    <t>Creek Chubsucker</t>
  </si>
  <si>
    <t>Tadpole Madtom</t>
  </si>
  <si>
    <t>Crystal Darter</t>
  </si>
  <si>
    <t>Trout Perch</t>
  </si>
  <si>
    <t>Deepwater Cisco</t>
  </si>
  <si>
    <t>Threespine Stickleback</t>
  </si>
  <si>
    <t>Deepwater Sculpin</t>
  </si>
  <si>
    <t>Spottail Shiner</t>
  </si>
  <si>
    <t>Emerald Shiner</t>
  </si>
  <si>
    <t>Spotfin Shiner</t>
  </si>
  <si>
    <t>Fantail Darter</t>
  </si>
  <si>
    <t>Spotted Sucker</t>
  </si>
  <si>
    <t>Fathead Minnow</t>
  </si>
  <si>
    <t>Stonecat</t>
  </si>
  <si>
    <t>Finescale Dace</t>
  </si>
  <si>
    <t>Starhead Topminnow</t>
  </si>
  <si>
    <t>Flathead Catfish</t>
  </si>
  <si>
    <t>Walleye</t>
  </si>
  <si>
    <t>Freshwater Drum</t>
  </si>
  <si>
    <t>White Sucker</t>
  </si>
  <si>
    <t>IBI Classification of Wisconsin Fishes (SED sublist)</t>
  </si>
  <si>
    <t>Ghost Shiner</t>
  </si>
  <si>
    <t>White Perch</t>
  </si>
  <si>
    <t xml:space="preserve">Central / Southern WI </t>
  </si>
  <si>
    <t>Gilt Darter</t>
  </si>
  <si>
    <t>Yellow Bass</t>
  </si>
  <si>
    <t>MSR #</t>
  </si>
  <si>
    <t>% of tolerant calc</t>
  </si>
  <si>
    <t>% of omnivorous calc</t>
  </si>
  <si>
    <t>Gizard Shad</t>
  </si>
  <si>
    <t>Yellow Perch</t>
  </si>
  <si>
    <t>1st</t>
  </si>
  <si>
    <t>y=16.7x</t>
  </si>
  <si>
    <t>y=1.9x</t>
  </si>
  <si>
    <t>y=2.4x</t>
  </si>
  <si>
    <t>Golden Redhorse</t>
  </si>
  <si>
    <t>Yellow Bullhead</t>
  </si>
  <si>
    <t>Golden Shiner</t>
  </si>
  <si>
    <t>Weed Shiner</t>
  </si>
  <si>
    <t>Goldeye</t>
  </si>
  <si>
    <t>Warmouth</t>
  </si>
  <si>
    <t>2nd</t>
  </si>
  <si>
    <t>y=8.3x</t>
  </si>
  <si>
    <t>y=0.9x</t>
  </si>
  <si>
    <t>y=1.2x</t>
  </si>
  <si>
    <t>Goldfish</t>
  </si>
  <si>
    <t>Western Sand Darter</t>
  </si>
  <si>
    <t>Grass Carp</t>
  </si>
  <si>
    <t>White Crappie</t>
  </si>
  <si>
    <t>Grass Pickeral</t>
  </si>
  <si>
    <t>White Bass</t>
  </si>
  <si>
    <t>% of insectivores calc</t>
  </si>
  <si>
    <t>% of carnivorous calc</t>
  </si>
  <si>
    <t>Gravel Chub</t>
  </si>
  <si>
    <t>Shortnose Gar</t>
  </si>
  <si>
    <t>Greater Redhorse</t>
  </si>
  <si>
    <t>Shortnose Cisco</t>
  </si>
  <si>
    <t>y=2.9x</t>
  </si>
  <si>
    <t>y=3.0x</t>
  </si>
  <si>
    <t>y=1.1x</t>
  </si>
  <si>
    <t>Green Sunfish</t>
  </si>
  <si>
    <t>Shovelnose Sturgeon</t>
  </si>
  <si>
    <t>Highfin Carpsucker</t>
  </si>
  <si>
    <t>Silver Lamprey (adult)</t>
  </si>
  <si>
    <t>Hornyhead Chub</t>
  </si>
  <si>
    <t>Silver Chub</t>
  </si>
  <si>
    <t>y=1.4x</t>
  </si>
  <si>
    <t>y=1.5x</t>
  </si>
  <si>
    <t>y=0.5x</t>
  </si>
  <si>
    <t>% of lithophiles calc</t>
  </si>
  <si>
    <t>Iowa Darter</t>
  </si>
  <si>
    <t>Sea Lamprey (adult)</t>
  </si>
  <si>
    <t>Iron Color Shiner</t>
  </si>
  <si>
    <t>Sauger</t>
  </si>
  <si>
    <t>Johnny Darter</t>
  </si>
  <si>
    <t>Sea Lamprey (ammoceate)</t>
  </si>
  <si>
    <t>Kiyi</t>
  </si>
  <si>
    <t>Shortjaw Cisco</t>
  </si>
  <si>
    <t>Lake Chub</t>
  </si>
  <si>
    <t>Shorthead Redhorse</t>
  </si>
  <si>
    <t>Lake Chubsucker</t>
  </si>
  <si>
    <t>Silver Lamprey (ammoceate)</t>
  </si>
  <si>
    <t>Lake Sturgeon</t>
  </si>
  <si>
    <t>Smallmouth Buffalo</t>
  </si>
  <si>
    <t>Lake Trout</t>
  </si>
  <si>
    <t>Smallmouth Bass</t>
  </si>
  <si>
    <t>Lake Whitefish</t>
  </si>
  <si>
    <t>Southern Redbelly Dace</t>
  </si>
  <si>
    <t>Largemouth Bass</t>
  </si>
  <si>
    <t>Spoonhead Sculpin</t>
  </si>
  <si>
    <t>Largescale Stoneroller</t>
  </si>
  <si>
    <t>Speckled Chub</t>
  </si>
  <si>
    <t>Least Darter</t>
  </si>
  <si>
    <t>Skipjack Herring</t>
  </si>
  <si>
    <t>Logperch</t>
  </si>
  <si>
    <t>Silver Redhorse</t>
  </si>
  <si>
    <t>Longear Sunfish</t>
  </si>
  <si>
    <t>Slender Madtom</t>
  </si>
  <si>
    <t>Longnose Dace</t>
  </si>
  <si>
    <t>Slimy Sculpin</t>
  </si>
  <si>
    <t>Longnose Gar</t>
  </si>
  <si>
    <t>Slenderhead Darter</t>
  </si>
  <si>
    <t>TOTALS</t>
  </si>
  <si>
    <t>meters</t>
  </si>
  <si>
    <t>Stream width (m) =</t>
  </si>
  <si>
    <t>Equipment Type =</t>
  </si>
  <si>
    <t>Tolerant to Low DO</t>
  </si>
  <si>
    <t>%</t>
  </si>
  <si>
    <t>salmonids</t>
  </si>
  <si>
    <t>to</t>
  </si>
  <si>
    <t>feet</t>
  </si>
  <si>
    <t>CONVERSION</t>
  </si>
  <si>
    <t>Notes</t>
  </si>
  <si>
    <t>total # of sunfish spp. &gt;8km from lake</t>
  </si>
  <si>
    <t>total # of sunfish spp. &lt; 8km from lake</t>
  </si>
  <si>
    <t>IBI Classification of fishes</t>
  </si>
  <si>
    <t>lamprey</t>
  </si>
  <si>
    <t>corr. Factor</t>
  </si>
  <si>
    <t>Macro to Print IBI summary, type Ctrl+Shift+P</t>
  </si>
  <si>
    <t>Macro to create the fish list, type Ctrl+Shift+L</t>
  </si>
  <si>
    <t>Tolerant to Dist. Hab.</t>
  </si>
  <si>
    <t>Total # of fish tolerant to disturbed habitat</t>
  </si>
  <si>
    <t>Total # of fish tolerant to disturbed habitat per 100m. stream length</t>
  </si>
  <si>
    <t>Total # of DO tolerant species =</t>
  </si>
  <si>
    <t>Total # of Disturbed habitat species =</t>
  </si>
  <si>
    <t>Total # of fish species collected =</t>
  </si>
  <si>
    <t xml:space="preserve">Total # of game-fish species with more than 2 individuals per 100m. </t>
  </si>
  <si>
    <t>with &gt;= 2/100m</t>
  </si>
  <si>
    <t>Total # of DO tolerant fish</t>
  </si>
  <si>
    <t>Total # of DO tolerant fish per 100 meter stream length</t>
  </si>
  <si>
    <t>% of fish species that are tolerant to disturbed habitats</t>
  </si>
  <si>
    <t>% of DO fish AND tolerant to disturbed habitat fish spp.</t>
  </si>
  <si>
    <t>Total # of fish collected =</t>
  </si>
  <si>
    <t>Steam length shocked (m) =</t>
  </si>
  <si>
    <t>% forage fish belonging to spp. that are tolerant to low DO</t>
  </si>
  <si>
    <t>ECL = Exotic Stenothermal Coolwater</t>
  </si>
  <si>
    <t>NCL = Native Stenothermal Coolwater</t>
  </si>
  <si>
    <t>TEMPERATURE</t>
  </si>
  <si>
    <t>ECD</t>
  </si>
  <si>
    <t>ECL</t>
  </si>
  <si>
    <t>EEU</t>
  </si>
  <si>
    <t>NCD</t>
  </si>
  <si>
    <t>NCL</t>
  </si>
  <si>
    <t>NEU</t>
  </si>
  <si>
    <t>Total # of coolwater fish species</t>
  </si>
  <si>
    <t>Total # of coolwater fish</t>
  </si>
  <si>
    <t>Total coolwater species corrected for lamprey ammoceates versus adults of same species =</t>
  </si>
  <si>
    <t>warm</t>
  </si>
  <si>
    <t>cool</t>
  </si>
  <si>
    <t>Total coolwater fish =</t>
  </si>
  <si>
    <t>% of coolwater fish =</t>
  </si>
  <si>
    <t>Instructions for entering data into the IBI spreadsheet.</t>
  </si>
  <si>
    <t>Stenothermal Coldwater Fish Species</t>
  </si>
  <si>
    <t>Stenothermal Coolwater Fish Species</t>
  </si>
  <si>
    <t>Salmonids</t>
  </si>
  <si>
    <t>American Brook Lamprey</t>
  </si>
  <si>
    <t xml:space="preserve">Northern Brook Lamprey </t>
  </si>
  <si>
    <t>Southern Brook Lamprey</t>
  </si>
  <si>
    <t>Total # of coldwater fish species</t>
  </si>
  <si>
    <t>Total # of coldwater fish</t>
  </si>
  <si>
    <t>Total coldwater species corrected for lamprey ammoceates versus adults of same species =</t>
  </si>
  <si>
    <t>cold</t>
  </si>
  <si>
    <t>% of coldwater fish =</t>
  </si>
  <si>
    <t>Data entry cells are identified with the yellow shaded areas.</t>
  </si>
  <si>
    <t>The fish entry column is in column AA.  Merely a short scroll to the right.  Just enter the number of each fish.</t>
  </si>
  <si>
    <t>The light blue boxes can be used to convert values from feet to meters.</t>
  </si>
  <si>
    <t>*****************************</t>
  </si>
  <si>
    <t>Guidelines for Desigmating Fish and Aquatic Life Uses, 2004</t>
  </si>
  <si>
    <t>Fish Tolerant to Low DO</t>
  </si>
  <si>
    <t>Fish Tolerant to Disturbed Habitat</t>
  </si>
  <si>
    <t>Derived from:</t>
  </si>
  <si>
    <t>IBI Calculator for Central and Southern WI (Lyons 1992) and Use Designation Guidelines Calculations</t>
  </si>
  <si>
    <t>Sport Fish</t>
  </si>
  <si>
    <t>Guidelines for Designating Fish and Aquatic Life Uses (2004)</t>
  </si>
  <si>
    <t>Wisconsin Fish Species as Indicators of Water Quality and Habitat Characteristics</t>
  </si>
  <si>
    <t xml:space="preserve">Shaded areas include intolerant fish not recorded as part of the IBI intolerant species metric </t>
  </si>
  <si>
    <t>Overall sample HBI score and rating =</t>
  </si>
  <si>
    <t>Intolerant Fish Species Waters</t>
  </si>
  <si>
    <t>Total number of intolerant fish =</t>
  </si>
  <si>
    <t>IBI intolerant fish metric score =</t>
  </si>
  <si>
    <t>Intolerant Fish Species</t>
  </si>
  <si>
    <t># of Intolerant Fish</t>
  </si>
  <si>
    <t>Total number of intolerant fish species =</t>
  </si>
  <si>
    <t>Percent of individuals listed as intolerant fish species =</t>
  </si>
  <si>
    <t>FAL Use Designation Guidance  -  Existing Use Summary Data</t>
  </si>
  <si>
    <t>Is your sample site greater than 8 km from a lake (y or n)?</t>
  </si>
  <si>
    <t>% of macroinvertebrates with HBI Tol. Values &lt;=5.00 =</t>
  </si>
  <si>
    <t>% of macroinvertebrates with HBI Tol. Values &gt;8.00 =</t>
  </si>
  <si>
    <t>% of macroinvertebrates with HBI Tol. Values &gt;5.00 &amp;&lt;=8.00 =</t>
  </si>
  <si>
    <t>If you have any questions, please contact me at (920) 892-8756 ext. 3051 or stephen.galarneau@dnr.state.wi.us</t>
  </si>
  <si>
    <t>oC</t>
  </si>
  <si>
    <t>Summer maximum daily mean temperature =</t>
  </si>
  <si>
    <t xml:space="preserve">Total # of taxa without HBI tolerance values = </t>
  </si>
  <si>
    <t>Toal # of taxa with HBI tolerance values &lt;=5.00 =</t>
  </si>
  <si>
    <t>Toal # of taxa with HBI tolerance values &gt;5.00 &amp; &lt;=8.00 =</t>
  </si>
  <si>
    <t>Toal # of taxa with HBI tolerance values &gt;8.00 =</t>
  </si>
  <si>
    <t>Estimated percent sorted =</t>
  </si>
  <si>
    <t>Total # of organsims counted =</t>
  </si>
  <si>
    <t>Macroinvertebrates</t>
  </si>
  <si>
    <t>Date collected (mm/dd/yyyy)</t>
  </si>
  <si>
    <t>steve</t>
  </si>
  <si>
    <t>Summer maximum daily mean temperature.</t>
  </si>
  <si>
    <t>DFAL = 25 to 31 C</t>
  </si>
  <si>
    <t>CW = 22 C</t>
  </si>
  <si>
    <t>Inst. Max. = 25 C</t>
  </si>
  <si>
    <t>DFAL-CC = 22 to 25 C</t>
  </si>
  <si>
    <t>Temperature Ranges</t>
  </si>
  <si>
    <t>Brook stickleback not counted as coldwater species in Use Designation determinations.  It is used in the IBI calculation.</t>
  </si>
  <si>
    <t>Total coldwater species corrected for brook stickleback =</t>
  </si>
  <si>
    <t>Total coldwater fish =</t>
  </si>
  <si>
    <t>ECD = Exotic Stenothermal cold</t>
  </si>
  <si>
    <t>NCD = Native Stenothermal cold</t>
  </si>
  <si>
    <t>Total coldwater fish without brook stickleback =</t>
  </si>
  <si>
    <t>Total # of coldwater fish species without stickleback</t>
  </si>
  <si>
    <t>Total # of coldwater fish without stickleback</t>
  </si>
  <si>
    <t>% of coldwater fish without stickleback =</t>
  </si>
  <si>
    <t>(revision 4/3/2005)</t>
  </si>
  <si>
    <t>This macro is run to create the fish list.  If you note that you entered the fish incorrectly, e.g. forgot a species</t>
  </si>
  <si>
    <t>or entered the wrong number of fish, just make the correction and re-run the macro.</t>
  </si>
  <si>
    <t>Run this macro to prepare the file for printing.  It places all of the IBI metrics, score and summary statistics</t>
  </si>
  <si>
    <t>onto a single page.</t>
  </si>
  <si>
    <t>Unnanmed Trib to East twin River at Chernyville Road</t>
  </si>
  <si>
    <t>Jeff Behncke and Justin Riebe</t>
  </si>
  <si>
    <t>n</t>
  </si>
  <si>
    <t>very poor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</si>
</sst>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4" fontId="0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/>
    </xf>
    <xf numFmtId="0" fontId="4" fillId="0" borderId="7" xfId="0" applyFont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4" fillId="4" borderId="5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0" borderId="3" xfId="0" applyBorder="1" applyAlignment="1">
      <alignment/>
    </xf>
    <xf numFmtId="0" fontId="0" fillId="5" borderId="9" xfId="0" applyFill="1" applyBorder="1" applyAlignment="1">
      <alignment/>
    </xf>
    <xf numFmtId="0" fontId="7" fillId="2" borderId="1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A18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1.28125" style="0" customWidth="1"/>
    <col min="3" max="3" width="10.28125" style="0" customWidth="1"/>
    <col min="4" max="4" width="11.57421875" style="0" customWidth="1"/>
    <col min="5" max="5" width="10.28125" style="0" customWidth="1"/>
    <col min="6" max="6" width="10.421875" style="0" customWidth="1"/>
    <col min="7" max="7" width="10.28125" style="0" customWidth="1"/>
    <col min="8" max="8" width="12.421875" style="0" customWidth="1"/>
    <col min="9" max="9" width="14.28125" style="0" customWidth="1"/>
    <col min="10" max="10" width="12.8515625" style="0" customWidth="1"/>
    <col min="11" max="11" width="5.00390625" style="0" customWidth="1"/>
    <col min="12" max="12" width="12.7109375" style="0" customWidth="1"/>
    <col min="13" max="15" width="10.28125" style="0" customWidth="1"/>
    <col min="16" max="16" width="2.140625" style="0" customWidth="1"/>
    <col min="17" max="17" width="3.00390625" style="0" customWidth="1"/>
    <col min="18" max="18" width="3.421875" style="0" customWidth="1"/>
    <col min="19" max="19" width="2.42187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28125" style="0" customWidth="1"/>
    <col min="26" max="26" width="2.8515625" style="0" customWidth="1"/>
    <col min="27" max="27" width="10.28125" style="0" customWidth="1"/>
    <col min="28" max="28" width="30.00390625" style="0" customWidth="1"/>
    <col min="29" max="29" width="3.421875" style="0" customWidth="1"/>
    <col min="30" max="31" width="3.7109375" style="0" customWidth="1"/>
    <col min="32" max="32" width="3.28125" style="0" customWidth="1"/>
    <col min="33" max="33" width="3.7109375" style="0" customWidth="1"/>
    <col min="34" max="35" width="8.8515625" style="0" customWidth="1"/>
    <col min="36" max="37" width="11.140625" style="0" customWidth="1"/>
    <col min="38" max="38" width="10.140625" style="0" customWidth="1"/>
    <col min="39" max="39" width="10.57421875" style="0" customWidth="1"/>
    <col min="40" max="41" width="10.421875" style="0" customWidth="1"/>
    <col min="42" max="42" width="16.28125" style="20" customWidth="1"/>
    <col min="43" max="43" width="18.00390625" style="0" customWidth="1"/>
    <col min="44" max="44" width="19.8515625" style="0" customWidth="1"/>
    <col min="45" max="45" width="18.00390625" style="0" customWidth="1"/>
    <col min="46" max="46" width="13.57421875" style="0" customWidth="1"/>
    <col min="47" max="47" width="13.00390625" style="0" customWidth="1"/>
    <col min="48" max="55" width="10.28125" style="0" customWidth="1"/>
    <col min="56" max="56" width="20.57421875" style="0" customWidth="1"/>
    <col min="57" max="16384" width="10.28125" style="0" customWidth="1"/>
  </cols>
  <sheetData>
    <row r="1" spans="1:56" ht="12.75">
      <c r="A1" t="s">
        <v>316</v>
      </c>
      <c r="I1" s="4" t="s">
        <v>361</v>
      </c>
      <c r="L1" t="s">
        <v>256</v>
      </c>
      <c r="AA1" t="s">
        <v>260</v>
      </c>
      <c r="AP1" s="17" t="s">
        <v>318</v>
      </c>
      <c r="AQ1" s="18"/>
      <c r="AR1" s="18"/>
      <c r="AS1" s="18"/>
      <c r="AT1" s="18"/>
      <c r="AU1" s="18"/>
      <c r="AV1" s="18"/>
      <c r="AW1" s="18" t="s">
        <v>355</v>
      </c>
      <c r="AX1" s="18"/>
      <c r="AY1" s="18"/>
      <c r="AZ1" s="18" t="s">
        <v>280</v>
      </c>
      <c r="BA1" s="18"/>
      <c r="BB1" s="18"/>
      <c r="BC1" s="18"/>
      <c r="BD1" s="19"/>
    </row>
    <row r="2" spans="1:56" ht="12.75">
      <c r="A2" s="13" t="s">
        <v>0</v>
      </c>
      <c r="B2" s="61">
        <v>39664</v>
      </c>
      <c r="C2" s="8"/>
      <c r="D2" s="8"/>
      <c r="E2" s="8"/>
      <c r="F2" s="8"/>
      <c r="G2" s="8"/>
      <c r="H2" s="9"/>
      <c r="I2" s="8"/>
      <c r="L2" s="10" t="s">
        <v>255</v>
      </c>
      <c r="AI2" t="s">
        <v>292</v>
      </c>
      <c r="AJ2" t="s">
        <v>293</v>
      </c>
      <c r="AK2" t="s">
        <v>306</v>
      </c>
      <c r="AP2" s="40" t="s">
        <v>319</v>
      </c>
      <c r="AQ2" s="21"/>
      <c r="AR2" s="21"/>
      <c r="AS2" s="21"/>
      <c r="AT2" s="21"/>
      <c r="AU2" s="21"/>
      <c r="AV2" s="21"/>
      <c r="AW2" s="21" t="s">
        <v>356</v>
      </c>
      <c r="AX2" s="21"/>
      <c r="AY2" s="21"/>
      <c r="AZ2" s="21" t="s">
        <v>281</v>
      </c>
      <c r="BA2" s="21"/>
      <c r="BB2" s="21"/>
      <c r="BC2" s="21"/>
      <c r="BD2" s="22"/>
    </row>
    <row r="3" spans="1:60" ht="12.75">
      <c r="A3" s="13" t="s">
        <v>1</v>
      </c>
      <c r="B3" s="62" t="s">
        <v>366</v>
      </c>
      <c r="C3" s="63"/>
      <c r="D3" s="63"/>
      <c r="E3" s="63"/>
      <c r="F3" s="63"/>
      <c r="G3" s="63"/>
      <c r="H3" s="63"/>
      <c r="I3" s="63"/>
      <c r="J3" s="65"/>
      <c r="L3" s="14">
        <v>7.6</v>
      </c>
      <c r="AA3" s="12" t="s">
        <v>2</v>
      </c>
      <c r="AB3" t="s">
        <v>3</v>
      </c>
      <c r="AC3" t="s">
        <v>4</v>
      </c>
      <c r="AG3" t="s">
        <v>5</v>
      </c>
      <c r="AI3" t="s">
        <v>261</v>
      </c>
      <c r="AJ3" t="s">
        <v>261</v>
      </c>
      <c r="AK3" t="s">
        <v>261</v>
      </c>
      <c r="AL3" t="s">
        <v>6</v>
      </c>
      <c r="AO3" t="s">
        <v>7</v>
      </c>
      <c r="AP3" s="43" t="s">
        <v>320</v>
      </c>
      <c r="AQ3" s="44"/>
      <c r="AR3" s="44"/>
      <c r="AS3" s="44"/>
      <c r="AT3" s="44"/>
      <c r="AU3" s="44"/>
      <c r="AX3" s="21" t="s">
        <v>282</v>
      </c>
      <c r="AY3" s="21"/>
      <c r="AZ3" s="21"/>
      <c r="BA3" s="69" t="s">
        <v>352</v>
      </c>
      <c r="BB3" s="69"/>
      <c r="BC3" s="69"/>
      <c r="BD3" s="70"/>
      <c r="BE3" s="68"/>
      <c r="BF3" s="68"/>
      <c r="BG3" s="68"/>
      <c r="BH3" s="68"/>
    </row>
    <row r="4" spans="1:56" ht="12.75">
      <c r="A4" s="13" t="s">
        <v>8</v>
      </c>
      <c r="B4" s="64" t="s">
        <v>367</v>
      </c>
      <c r="C4" s="63"/>
      <c r="D4" s="63"/>
      <c r="E4" s="63"/>
      <c r="F4" s="63"/>
      <c r="G4" s="65"/>
      <c r="H4" s="2"/>
      <c r="L4" s="10" t="s">
        <v>254</v>
      </c>
      <c r="AC4" s="6" t="s">
        <v>9</v>
      </c>
      <c r="AD4" s="6" t="s">
        <v>10</v>
      </c>
      <c r="AE4" s="6" t="s">
        <v>11</v>
      </c>
      <c r="AF4" s="6" t="s">
        <v>12</v>
      </c>
      <c r="AG4" s="6" t="s">
        <v>13</v>
      </c>
      <c r="AH4" s="6" t="s">
        <v>14</v>
      </c>
      <c r="AI4" s="6" t="s">
        <v>262</v>
      </c>
      <c r="AJ4" s="6" t="s">
        <v>262</v>
      </c>
      <c r="AK4" s="6" t="s">
        <v>262</v>
      </c>
      <c r="AL4" s="6" t="s">
        <v>15</v>
      </c>
      <c r="AM4" s="6" t="s">
        <v>16</v>
      </c>
      <c r="AN4" s="6" t="s">
        <v>17</v>
      </c>
      <c r="AO4" s="6" t="s">
        <v>18</v>
      </c>
      <c r="AP4" s="37" t="s">
        <v>251</v>
      </c>
      <c r="AQ4" s="31" t="s">
        <v>265</v>
      </c>
      <c r="AR4" s="31" t="s">
        <v>325</v>
      </c>
      <c r="AS4" s="31" t="s">
        <v>326</v>
      </c>
      <c r="AT4" s="31" t="s">
        <v>317</v>
      </c>
      <c r="AU4" s="31" t="s">
        <v>272</v>
      </c>
      <c r="AV4" s="31" t="s">
        <v>253</v>
      </c>
      <c r="AW4" s="31" t="s">
        <v>283</v>
      </c>
      <c r="AX4" s="31" t="s">
        <v>284</v>
      </c>
      <c r="AY4" s="31" t="s">
        <v>285</v>
      </c>
      <c r="AZ4" s="31" t="s">
        <v>286</v>
      </c>
      <c r="BA4" s="31"/>
      <c r="BB4" s="31" t="s">
        <v>287</v>
      </c>
      <c r="BC4" s="31" t="s">
        <v>288</v>
      </c>
      <c r="BD4" s="32"/>
    </row>
    <row r="5" spans="1:123" ht="12.75">
      <c r="A5" t="s">
        <v>19</v>
      </c>
      <c r="D5" t="s">
        <v>20</v>
      </c>
      <c r="E5" t="s">
        <v>21</v>
      </c>
      <c r="G5" s="12" t="s">
        <v>250</v>
      </c>
      <c r="I5" s="52" t="s">
        <v>22</v>
      </c>
      <c r="L5" s="10" t="s">
        <v>248</v>
      </c>
      <c r="AA5" s="52"/>
      <c r="AB5" s="2" t="s">
        <v>23</v>
      </c>
      <c r="AC5" s="2"/>
      <c r="AD5" s="2"/>
      <c r="AE5" t="str">
        <f>IF(AA5&gt;0,1," ")</f>
        <v> </v>
      </c>
      <c r="AF5" s="2"/>
      <c r="AG5" s="2"/>
      <c r="AH5" s="2"/>
      <c r="AI5" s="2"/>
      <c r="AJ5" s="2"/>
      <c r="AK5" s="2"/>
      <c r="AL5" s="2"/>
      <c r="AM5" s="2"/>
      <c r="AN5" s="2"/>
      <c r="AO5" s="2"/>
      <c r="AR5" s="41"/>
      <c r="AS5" s="41"/>
      <c r="AT5" s="2"/>
      <c r="AU5" s="2"/>
      <c r="CV5" s="2"/>
      <c r="CY5" s="52"/>
      <c r="CZ5" s="2" t="s">
        <v>23</v>
      </c>
      <c r="DA5" s="2"/>
      <c r="DB5" s="2"/>
      <c r="DC5" t="str">
        <f>IF(CY5&gt;0,1," ")</f>
        <v> </v>
      </c>
      <c r="DD5" s="2"/>
      <c r="DE5" s="2"/>
      <c r="DF5" s="2"/>
      <c r="DG5" s="2"/>
      <c r="DH5" s="2"/>
      <c r="DI5" s="2"/>
      <c r="DJ5" s="2"/>
      <c r="DK5" s="2"/>
      <c r="DL5" s="2"/>
      <c r="DM5" s="2"/>
      <c r="DN5" s="20"/>
      <c r="DP5" s="41"/>
      <c r="DQ5" s="41"/>
      <c r="DR5" s="2"/>
      <c r="DS5" s="2"/>
    </row>
    <row r="6" spans="1:128" ht="12.75">
      <c r="A6" t="s">
        <v>25</v>
      </c>
      <c r="D6">
        <f>(AA176)</f>
        <v>4</v>
      </c>
      <c r="E6" s="5" t="s">
        <v>26</v>
      </c>
      <c r="F6" s="2"/>
      <c r="G6" s="12" t="s">
        <v>249</v>
      </c>
      <c r="I6" s="52">
        <v>1.6</v>
      </c>
      <c r="L6" s="10">
        <f>ROUND((0.3048*L3),2)</f>
        <v>2.32</v>
      </c>
      <c r="AA6" s="52"/>
      <c r="AB6" s="2" t="s">
        <v>27</v>
      </c>
      <c r="AC6" s="2"/>
      <c r="AD6" s="2"/>
      <c r="AE6" s="2"/>
      <c r="AF6" s="2"/>
      <c r="AH6" s="2"/>
      <c r="AI6" s="2"/>
      <c r="AJ6" s="2"/>
      <c r="AK6" s="2"/>
      <c r="AL6" s="2"/>
      <c r="AM6" s="2"/>
      <c r="AN6" s="2"/>
      <c r="AO6" s="2"/>
      <c r="AP6" s="36"/>
      <c r="AQ6" s="2"/>
      <c r="AR6" s="10"/>
      <c r="AS6" s="10"/>
      <c r="AT6" s="2"/>
      <c r="AU6" s="2"/>
      <c r="AW6" s="2"/>
      <c r="AX6" s="2"/>
      <c r="AZ6" t="str">
        <f>IF($AA6&gt;0,$AA6," ")</f>
        <v> </v>
      </c>
      <c r="CV6" s="2"/>
      <c r="CY6" s="52"/>
      <c r="CZ6" s="2" t="s">
        <v>27</v>
      </c>
      <c r="DA6" s="2"/>
      <c r="DB6" s="2"/>
      <c r="DC6" s="2"/>
      <c r="DD6" s="2"/>
      <c r="DF6" s="2"/>
      <c r="DG6" s="2"/>
      <c r="DH6" s="2"/>
      <c r="DI6" s="2"/>
      <c r="DJ6" s="2"/>
      <c r="DK6" s="2"/>
      <c r="DL6" s="2"/>
      <c r="DM6" s="2"/>
      <c r="DN6" s="36"/>
      <c r="DO6" s="2"/>
      <c r="DP6" s="10"/>
      <c r="DQ6" s="10"/>
      <c r="DR6" s="2"/>
      <c r="DS6" s="2"/>
      <c r="DU6" s="2"/>
      <c r="DV6" s="2"/>
      <c r="DX6" t="str">
        <f>IF($AA6&gt;0,$AA6," ")</f>
        <v> </v>
      </c>
    </row>
    <row r="7" spans="1:128" ht="12.75">
      <c r="A7" t="s">
        <v>29</v>
      </c>
      <c r="D7">
        <f>(AA177-AE176)</f>
        <v>1</v>
      </c>
      <c r="E7">
        <f>SUM(C103:C107)</f>
        <v>0</v>
      </c>
      <c r="G7" t="s">
        <v>30</v>
      </c>
      <c r="I7" s="8">
        <f>ROUND(LN(I6),2)</f>
        <v>0.47</v>
      </c>
      <c r="AA7" s="52"/>
      <c r="AB7" s="2" t="s">
        <v>31</v>
      </c>
      <c r="AC7" s="2"/>
      <c r="AD7" s="2"/>
      <c r="AE7" s="2"/>
      <c r="AF7" s="2"/>
      <c r="AG7" t="str">
        <f>IF($AA6&gt;0,1,IF($AA7&gt;0,1," "))</f>
        <v> </v>
      </c>
      <c r="AH7" s="2"/>
      <c r="AI7" s="2"/>
      <c r="AK7" t="str">
        <f>IF($AA6&gt;0,IF($AB6="Am. Brook Lamprey (adult)",IF($AA7&gt;0,1," ")," ")," ")</f>
        <v> </v>
      </c>
      <c r="AL7" s="2"/>
      <c r="AM7" s="2"/>
      <c r="AN7" s="2"/>
      <c r="AO7" s="2"/>
      <c r="AP7" s="36"/>
      <c r="AQ7" s="2"/>
      <c r="AR7" s="10" t="str">
        <f>IF($AA6&gt;0,1,IF($AA7&gt;0,1," "))</f>
        <v> </v>
      </c>
      <c r="AS7" s="10" t="str">
        <f>IF($AA6&gt;0,AA6,IF($AA7&gt;0,AA7," "))</f>
        <v> </v>
      </c>
      <c r="AT7" s="2"/>
      <c r="AU7" s="2"/>
      <c r="AW7" s="2"/>
      <c r="AX7" s="2"/>
      <c r="AZ7" t="str">
        <f>IF($AA7&gt;0,$AA7," ")</f>
        <v> </v>
      </c>
      <c r="CV7" s="2"/>
      <c r="CY7" s="52"/>
      <c r="CZ7" s="2" t="s">
        <v>31</v>
      </c>
      <c r="DA7" s="2"/>
      <c r="DB7" s="2"/>
      <c r="DC7" s="2"/>
      <c r="DD7" s="2"/>
      <c r="DE7" t="str">
        <f>IF($AA6&gt;0,1,IF($AA7&gt;0,1," "))</f>
        <v> </v>
      </c>
      <c r="DF7" s="2"/>
      <c r="DG7" s="2"/>
      <c r="DI7" t="str">
        <f>IF($AA6&gt;0,IF($AB6="Am. Brook Lamprey (adult)",IF($AA7&gt;0,1," ")," ")," ")</f>
        <v> </v>
      </c>
      <c r="DJ7" s="2"/>
      <c r="DK7" s="2"/>
      <c r="DL7" s="2"/>
      <c r="DM7" s="2"/>
      <c r="DN7" s="36"/>
      <c r="DO7" s="2"/>
      <c r="DP7" s="10" t="str">
        <f>IF($AA6&gt;0,1,IF($AA7&gt;0,1," "))</f>
        <v> </v>
      </c>
      <c r="DQ7" s="10" t="str">
        <f>IF($AA6&gt;0,CY6,IF($AA7&gt;0,CY7," "))</f>
        <v> </v>
      </c>
      <c r="DR7" s="2"/>
      <c r="DS7" s="2"/>
      <c r="DU7" s="2"/>
      <c r="DV7" s="2"/>
      <c r="DX7" t="str">
        <f>IF($AA7&gt;0,$AA7," ")</f>
        <v> </v>
      </c>
    </row>
    <row r="8" spans="1:123" ht="12.75">
      <c r="A8" t="s">
        <v>33</v>
      </c>
      <c r="D8">
        <f>(AD176)</f>
        <v>0</v>
      </c>
      <c r="E8">
        <f>SUM(C111:C115)</f>
        <v>0</v>
      </c>
      <c r="G8" s="12" t="s">
        <v>37</v>
      </c>
      <c r="I8" s="52">
        <v>102</v>
      </c>
      <c r="AA8" s="52"/>
      <c r="AB8" s="2" t="s">
        <v>34</v>
      </c>
      <c r="AC8" s="2"/>
      <c r="AD8" s="2"/>
      <c r="AE8" s="2"/>
      <c r="AF8" s="2"/>
      <c r="AG8" s="2"/>
      <c r="AH8" s="2"/>
      <c r="AI8" s="2"/>
      <c r="AJ8" s="2"/>
      <c r="AK8" s="2"/>
      <c r="AL8" t="str">
        <f>IF(AA8&gt;0,AA8," ")</f>
        <v> </v>
      </c>
      <c r="AM8" s="2"/>
      <c r="AN8" s="2"/>
      <c r="AO8" s="2"/>
      <c r="AR8" s="41"/>
      <c r="AS8" s="41"/>
      <c r="AT8" s="2"/>
      <c r="AU8" s="2"/>
      <c r="CV8" s="2"/>
      <c r="CY8" s="52"/>
      <c r="CZ8" s="2" t="s">
        <v>34</v>
      </c>
      <c r="DA8" s="2"/>
      <c r="DB8" s="2"/>
      <c r="DC8" s="2"/>
      <c r="DD8" s="2"/>
      <c r="DE8" s="2"/>
      <c r="DF8" s="2"/>
      <c r="DG8" s="2"/>
      <c r="DH8" s="2"/>
      <c r="DI8" s="2"/>
      <c r="DJ8" t="str">
        <f>IF(CY8&gt;0,CY8," ")</f>
        <v> </v>
      </c>
      <c r="DK8" s="2"/>
      <c r="DL8" s="2"/>
      <c r="DM8" s="2"/>
      <c r="DN8" s="20"/>
      <c r="DP8" s="41"/>
      <c r="DQ8" s="41"/>
      <c r="DR8" s="2"/>
      <c r="DS8" s="2"/>
    </row>
    <row r="9" spans="1:125" ht="12.75">
      <c r="A9" t="s">
        <v>36</v>
      </c>
      <c r="D9">
        <f>($AC$176)</f>
        <v>0</v>
      </c>
      <c r="E9">
        <f>SUM(F103:F107)</f>
        <v>2</v>
      </c>
      <c r="G9" t="s">
        <v>330</v>
      </c>
      <c r="K9" s="52" t="s">
        <v>368</v>
      </c>
      <c r="AA9" s="52"/>
      <c r="AB9" t="s">
        <v>38</v>
      </c>
      <c r="AE9" t="str">
        <f>IF(AA9&gt;0,1," ")</f>
        <v> </v>
      </c>
      <c r="AL9" t="str">
        <f>IF(AA9&gt;0,AA9," ")</f>
        <v> </v>
      </c>
      <c r="AR9" s="10"/>
      <c r="AS9" s="10"/>
      <c r="AV9" t="str">
        <f>IF(AA9&gt;0,AA9," ")</f>
        <v> </v>
      </c>
      <c r="AW9" t="str">
        <f>IF($AA9&gt;0,$AA9," ")</f>
        <v> </v>
      </c>
      <c r="CY9" s="52"/>
      <c r="CZ9" t="s">
        <v>38</v>
      </c>
      <c r="DC9" t="str">
        <f>IF(CY9&gt;0,1," ")</f>
        <v> </v>
      </c>
      <c r="DJ9" t="str">
        <f>IF(CY9&gt;0,CY9," ")</f>
        <v> </v>
      </c>
      <c r="DN9" s="20"/>
      <c r="DP9" s="10"/>
      <c r="DQ9" s="10"/>
      <c r="DT9" t="str">
        <f>IF(CY9&gt;0,CY9," ")</f>
        <v> </v>
      </c>
      <c r="DU9" t="str">
        <f>IF($AA9&gt;0,$AA9," ")</f>
        <v> </v>
      </c>
    </row>
    <row r="10" spans="1:131" ht="12.75">
      <c r="A10" t="s">
        <v>259</v>
      </c>
      <c r="D10">
        <f>IF($K$9="n",($AF$176),0)</f>
        <v>0</v>
      </c>
      <c r="E10">
        <f>SUM(F111:F115)</f>
        <v>0</v>
      </c>
      <c r="AA10" s="52"/>
      <c r="AB10" t="s">
        <v>41</v>
      </c>
      <c r="AD10" t="str">
        <f>IF(AA10&gt;0,1," ")</f>
        <v> </v>
      </c>
      <c r="AG10" t="str">
        <f>IF($AA10&gt;0,1," ")</f>
        <v> </v>
      </c>
      <c r="AM10" t="str">
        <f aca="true" t="shared" si="0" ref="AM10:AM15">IF(AA10&gt;0,AA10," ")</f>
        <v> </v>
      </c>
      <c r="AO10" t="str">
        <f>IF(AA10&gt;0,AA10," ")</f>
        <v> </v>
      </c>
      <c r="AR10" s="10" t="str">
        <f>IF($AA10&gt;0,1," ")</f>
        <v> </v>
      </c>
      <c r="AS10" s="10" t="str">
        <f>IF($AA10&gt;0,AA10," ")</f>
        <v> </v>
      </c>
      <c r="BC10" t="str">
        <f>IF($AA10&gt;0,$AA10," ")</f>
        <v> </v>
      </c>
      <c r="CY10" s="52"/>
      <c r="CZ10" t="s">
        <v>41</v>
      </c>
      <c r="DB10" t="str">
        <f>IF(CY10&gt;0,1," ")</f>
        <v> </v>
      </c>
      <c r="DE10" t="str">
        <f>IF($AA10&gt;0,1," ")</f>
        <v> </v>
      </c>
      <c r="DK10" t="str">
        <f aca="true" t="shared" si="1" ref="DK10:DK15">IF(CY10&gt;0,CY10," ")</f>
        <v> </v>
      </c>
      <c r="DM10" t="str">
        <f>IF(CY10&gt;0,CY10," ")</f>
        <v> </v>
      </c>
      <c r="DN10" s="20"/>
      <c r="DP10" s="10" t="str">
        <f>IF($AA10&gt;0,1," ")</f>
        <v> </v>
      </c>
      <c r="DQ10" s="10" t="str">
        <f>IF($AA10&gt;0,CY10," ")</f>
        <v> </v>
      </c>
      <c r="EA10" t="str">
        <f>IF($AA10&gt;0,$AA10," ")</f>
        <v> </v>
      </c>
    </row>
    <row r="11" spans="1:121" ht="15">
      <c r="A11" t="s">
        <v>258</v>
      </c>
      <c r="D11">
        <f>IF($K$9="y",($AF$176),0)</f>
        <v>0</v>
      </c>
      <c r="E11">
        <f>SUM(I111:I115)</f>
        <v>0</v>
      </c>
      <c r="L11" s="16" t="s">
        <v>264</v>
      </c>
      <c r="M11" s="16"/>
      <c r="N11" s="16"/>
      <c r="O11" s="16"/>
      <c r="P11" s="15"/>
      <c r="Q11" s="15"/>
      <c r="AA11" s="52"/>
      <c r="AB11" t="s">
        <v>44</v>
      </c>
      <c r="AM11" t="str">
        <f t="shared" si="0"/>
        <v> </v>
      </c>
      <c r="AR11" s="10"/>
      <c r="AS11" s="10"/>
      <c r="CY11" s="52"/>
      <c r="CZ11" t="s">
        <v>44</v>
      </c>
      <c r="DK11" t="str">
        <f t="shared" si="1"/>
        <v> </v>
      </c>
      <c r="DN11" s="20"/>
      <c r="DP11" s="10"/>
      <c r="DQ11" s="10"/>
    </row>
    <row r="12" spans="1:126" ht="12.75">
      <c r="A12" t="s">
        <v>51</v>
      </c>
      <c r="D12">
        <f>(AG176)</f>
        <v>0</v>
      </c>
      <c r="E12" s="8">
        <f>SUM(I103:I107)</f>
        <v>0</v>
      </c>
      <c r="AA12" s="52"/>
      <c r="AB12" s="2" t="s">
        <v>47</v>
      </c>
      <c r="AC12" t="str">
        <f>IF(AA12&gt;0,1," ")</f>
        <v> </v>
      </c>
      <c r="AD12" s="2"/>
      <c r="AE12" s="2"/>
      <c r="AF12" s="2"/>
      <c r="AG12" s="2"/>
      <c r="AH12" s="2"/>
      <c r="AI12" s="2"/>
      <c r="AJ12" s="2"/>
      <c r="AK12" s="2"/>
      <c r="AL12" s="2"/>
      <c r="AM12" t="str">
        <f t="shared" si="0"/>
        <v> </v>
      </c>
      <c r="AN12" s="2"/>
      <c r="AO12" s="2"/>
      <c r="AP12" s="36"/>
      <c r="AQ12" s="2"/>
      <c r="AR12" s="41"/>
      <c r="AS12" s="41"/>
      <c r="AT12" s="2"/>
      <c r="AU12" s="2"/>
      <c r="AW12" s="2"/>
      <c r="AX12" s="2"/>
      <c r="CV12" s="2"/>
      <c r="CY12" s="52"/>
      <c r="CZ12" s="2" t="s">
        <v>47</v>
      </c>
      <c r="DA12" t="str">
        <f>IF(CY12&gt;0,1," ")</f>
        <v> </v>
      </c>
      <c r="DB12" s="2"/>
      <c r="DC12" s="2"/>
      <c r="DD12" s="2"/>
      <c r="DE12" s="2"/>
      <c r="DF12" s="2"/>
      <c r="DG12" s="2"/>
      <c r="DH12" s="2"/>
      <c r="DI12" s="2"/>
      <c r="DJ12" s="2"/>
      <c r="DK12" t="str">
        <f t="shared" si="1"/>
        <v> </v>
      </c>
      <c r="DL12" s="2"/>
      <c r="DM12" s="2"/>
      <c r="DN12" s="36"/>
      <c r="DO12" s="2"/>
      <c r="DP12" s="41"/>
      <c r="DQ12" s="41"/>
      <c r="DR12" s="2"/>
      <c r="DS12" s="2"/>
      <c r="DU12" s="2"/>
      <c r="DV12" s="2"/>
    </row>
    <row r="13" spans="1:121" ht="15">
      <c r="A13" t="s">
        <v>54</v>
      </c>
      <c r="D13">
        <f>(AH176)</f>
        <v>4</v>
      </c>
      <c r="E13">
        <f>SUM(J103:J106)</f>
        <v>0</v>
      </c>
      <c r="L13" s="16" t="s">
        <v>263</v>
      </c>
      <c r="M13" s="15"/>
      <c r="N13" s="15"/>
      <c r="O13" s="15"/>
      <c r="P13" s="15"/>
      <c r="Q13" s="15"/>
      <c r="AA13" s="52"/>
      <c r="AB13" t="s">
        <v>49</v>
      </c>
      <c r="AM13" t="str">
        <f t="shared" si="0"/>
        <v> </v>
      </c>
      <c r="AR13" s="10"/>
      <c r="AS13" s="10"/>
      <c r="CY13" s="52"/>
      <c r="CZ13" t="s">
        <v>49</v>
      </c>
      <c r="DK13" t="str">
        <f t="shared" si="1"/>
        <v> </v>
      </c>
      <c r="DN13" s="20"/>
      <c r="DP13" s="10"/>
      <c r="DQ13" s="10"/>
    </row>
    <row r="14" spans="1:123" ht="12.75">
      <c r="A14" t="s">
        <v>58</v>
      </c>
      <c r="D14">
        <f>(AN176)</f>
        <v>0</v>
      </c>
      <c r="E14">
        <f>SUM(L103:L106)</f>
        <v>0</v>
      </c>
      <c r="AA14" s="52"/>
      <c r="AB14" s="2" t="s">
        <v>52</v>
      </c>
      <c r="AC14" t="str">
        <f>IF(AA14&gt;0,1," ")</f>
        <v> </v>
      </c>
      <c r="AD14" s="2"/>
      <c r="AE14" s="2"/>
      <c r="AF14" s="2"/>
      <c r="AG14" t="str">
        <f>IF(AA14&gt;0,1," ")</f>
        <v> </v>
      </c>
      <c r="AH14" s="2"/>
      <c r="AI14" s="2"/>
      <c r="AJ14" s="2"/>
      <c r="AK14" s="2"/>
      <c r="AL14" s="2"/>
      <c r="AM14" t="str">
        <f t="shared" si="0"/>
        <v> </v>
      </c>
      <c r="AN14" s="2"/>
      <c r="AO14" s="2"/>
      <c r="AR14" s="10" t="str">
        <f>IF(AL14&gt;0,1," ")</f>
        <v> </v>
      </c>
      <c r="AS14" s="10" t="str">
        <f>IF(AM14&gt;0,AM14," ")</f>
        <v> </v>
      </c>
      <c r="AT14" s="2"/>
      <c r="AU14" s="2"/>
      <c r="CU14" s="2"/>
      <c r="CV14" s="2"/>
      <c r="CY14" s="52"/>
      <c r="CZ14" s="2" t="s">
        <v>52</v>
      </c>
      <c r="DA14" t="str">
        <f>IF(CY14&gt;0,1," ")</f>
        <v> </v>
      </c>
      <c r="DB14" s="2"/>
      <c r="DC14" s="2"/>
      <c r="DD14" s="2"/>
      <c r="DE14" t="str">
        <f>IF(CY14&gt;0,1," ")</f>
        <v> </v>
      </c>
      <c r="DF14" s="2"/>
      <c r="DG14" s="2"/>
      <c r="DH14" s="2"/>
      <c r="DI14" s="2"/>
      <c r="DJ14" s="2"/>
      <c r="DK14" t="str">
        <f t="shared" si="1"/>
        <v> </v>
      </c>
      <c r="DL14" s="2"/>
      <c r="DM14" s="2"/>
      <c r="DN14" s="20"/>
      <c r="DP14" s="10" t="str">
        <f>IF(DJ14&gt;0,1," ")</f>
        <v> </v>
      </c>
      <c r="DQ14" s="10" t="str">
        <f>IF(DK14&gt;0,DK14," ")</f>
        <v> </v>
      </c>
      <c r="DR14" s="2"/>
      <c r="DS14" s="2"/>
    </row>
    <row r="15" spans="1:131" ht="12.75">
      <c r="A15" t="s">
        <v>62</v>
      </c>
      <c r="D15">
        <f>(AM176)</f>
        <v>4</v>
      </c>
      <c r="E15">
        <f>SUM(J110:J113)</f>
        <v>10</v>
      </c>
      <c r="G15" t="s">
        <v>55</v>
      </c>
      <c r="J15" s="1">
        <f>IF(D13&gt;0,ROUND(((D13/D6)*100),0),0)</f>
        <v>100</v>
      </c>
      <c r="K15" s="1"/>
      <c r="AA15" s="52"/>
      <c r="AB15" t="s">
        <v>56</v>
      </c>
      <c r="AM15" t="str">
        <f t="shared" si="0"/>
        <v> </v>
      </c>
      <c r="AP15" s="20" t="str">
        <f>IF($AA15&gt;0,$AA15," ")</f>
        <v> </v>
      </c>
      <c r="AR15" s="10"/>
      <c r="AS15" s="10"/>
      <c r="AW15" s="2"/>
      <c r="AX15" s="2"/>
      <c r="BC15" t="str">
        <f>IF($AA15&gt;0,$AA15," ")</f>
        <v> </v>
      </c>
      <c r="CU15" s="2"/>
      <c r="CY15" s="52"/>
      <c r="CZ15" t="s">
        <v>56</v>
      </c>
      <c r="DK15" t="str">
        <f t="shared" si="1"/>
        <v> </v>
      </c>
      <c r="DN15" s="20" t="str">
        <f>IF($AA15&gt;0,$AA15," ")</f>
        <v> </v>
      </c>
      <c r="DP15" s="10"/>
      <c r="DQ15" s="10"/>
      <c r="DU15" s="2"/>
      <c r="DV15" s="2"/>
      <c r="EA15" t="str">
        <f>IF($AA15&gt;0,$AA15," ")</f>
        <v> </v>
      </c>
    </row>
    <row r="16" spans="1:126" ht="12.75">
      <c r="A16" t="s">
        <v>66</v>
      </c>
      <c r="D16">
        <f>(AL176)</f>
        <v>0</v>
      </c>
      <c r="E16">
        <f>SUM(L110:L113)</f>
        <v>0</v>
      </c>
      <c r="G16" t="s">
        <v>59</v>
      </c>
      <c r="J16" s="1">
        <f>IF(D14&gt;0,ROUND(((D14/D6)*100),0),0)</f>
        <v>0</v>
      </c>
      <c r="K16" s="1"/>
      <c r="AA16" s="52"/>
      <c r="AB16" t="s">
        <v>60</v>
      </c>
      <c r="AF16" t="str">
        <f>IF(AA16&gt;0,1," ")</f>
        <v> </v>
      </c>
      <c r="AL16" t="str">
        <f>IF(AA16&gt;0,AA16," ")</f>
        <v> </v>
      </c>
      <c r="AP16" s="36"/>
      <c r="AQ16" s="2"/>
      <c r="AR16" s="10"/>
      <c r="AS16" s="10"/>
      <c r="AT16" t="str">
        <f>IF(AA16&gt;0,AA16," ")</f>
        <v> </v>
      </c>
      <c r="AU16" t="str">
        <f>IF($AA16*(100/$I$8)&gt;1.99,$AA16," ")</f>
        <v> </v>
      </c>
      <c r="AW16" s="2"/>
      <c r="AX16" s="2"/>
      <c r="CU16" s="2"/>
      <c r="CY16" s="52"/>
      <c r="CZ16" t="s">
        <v>60</v>
      </c>
      <c r="DD16" t="str">
        <f>IF(CY16&gt;0,1," ")</f>
        <v> </v>
      </c>
      <c r="DJ16" t="str">
        <f>IF(CY16&gt;0,CY16," ")</f>
        <v> </v>
      </c>
      <c r="DN16" s="36"/>
      <c r="DO16" s="2"/>
      <c r="DP16" s="10"/>
      <c r="DQ16" s="10"/>
      <c r="DR16" t="str">
        <f>IF(CY16&gt;0,CY16," ")</f>
        <v> </v>
      </c>
      <c r="DS16" t="str">
        <f>IF($AA16*(100/$I$8)&gt;1.99,$AA16," ")</f>
        <v> </v>
      </c>
      <c r="DU16" s="2"/>
      <c r="DV16" s="2"/>
    </row>
    <row r="17" spans="1:126" ht="12.75">
      <c r="A17" t="s">
        <v>70</v>
      </c>
      <c r="D17">
        <f>(AO176)</f>
        <v>0</v>
      </c>
      <c r="E17">
        <f>SUM(J115:J117)</f>
        <v>0</v>
      </c>
      <c r="G17" t="s">
        <v>63</v>
      </c>
      <c r="J17" s="1">
        <f>IF(D15&gt;0,ROUND(((D15/D6)*100),0),0)</f>
        <v>100</v>
      </c>
      <c r="K17" s="1"/>
      <c r="AA17" s="52"/>
      <c r="AB17" t="s">
        <v>64</v>
      </c>
      <c r="AC17" t="str">
        <f>IF(AA17&gt;0,1," ")</f>
        <v> </v>
      </c>
      <c r="AM17" t="str">
        <f>IF(AA17&gt;0,AA17," ")</f>
        <v> </v>
      </c>
      <c r="AO17" t="str">
        <f>IF(AA17&gt;0,AA17," ")</f>
        <v> </v>
      </c>
      <c r="AP17" s="36"/>
      <c r="AQ17" s="2"/>
      <c r="AR17" s="42" t="str">
        <f>IF($AA17&gt;0,1," ")</f>
        <v> </v>
      </c>
      <c r="AS17" s="42" t="str">
        <f>IF($AA17&gt;0,AA17," ")</f>
        <v> </v>
      </c>
      <c r="AW17" s="2"/>
      <c r="AX17" s="2"/>
      <c r="CU17" s="2"/>
      <c r="CY17" s="52"/>
      <c r="CZ17" t="s">
        <v>64</v>
      </c>
      <c r="DA17" t="str">
        <f>IF(CY17&gt;0,1," ")</f>
        <v> </v>
      </c>
      <c r="DK17" t="str">
        <f>IF(CY17&gt;0,CY17," ")</f>
        <v> </v>
      </c>
      <c r="DM17" t="str">
        <f>IF(CY17&gt;0,CY17," ")</f>
        <v> </v>
      </c>
      <c r="DN17" s="36"/>
      <c r="DO17" s="2"/>
      <c r="DP17" s="42" t="str">
        <f>IF($AA17&gt;0,1," ")</f>
        <v> </v>
      </c>
      <c r="DQ17" s="42" t="str">
        <f>IF($AA17&gt;0,CY17," ")</f>
        <v> </v>
      </c>
      <c r="DU17" s="2"/>
      <c r="DV17" s="2"/>
    </row>
    <row r="18" spans="1:131" ht="12.75">
      <c r="A18" s="2"/>
      <c r="B18" s="2"/>
      <c r="C18" s="2"/>
      <c r="D18" s="2" t="s">
        <v>74</v>
      </c>
      <c r="E18" s="2">
        <f>SUM(E7:E17)</f>
        <v>12</v>
      </c>
      <c r="G18" t="s">
        <v>67</v>
      </c>
      <c r="J18" s="1">
        <f>IF(D16&gt;0,ROUND(((D16/D6)*100),0),0)</f>
        <v>0</v>
      </c>
      <c r="K18" s="1"/>
      <c r="AA18" s="52"/>
      <c r="AB18" t="s">
        <v>68</v>
      </c>
      <c r="AG18" t="str">
        <f>IF($AA18&gt;0,1," ")</f>
        <v> </v>
      </c>
      <c r="AM18" t="str">
        <f>IF(AA18&gt;0,AA18," ")</f>
        <v> </v>
      </c>
      <c r="AR18" s="10" t="str">
        <f>IF($AA18&gt;0,1," ")</f>
        <v> </v>
      </c>
      <c r="AS18" s="10" t="str">
        <f>IF($AA18&gt;0,AA18," ")</f>
        <v> </v>
      </c>
      <c r="BC18" t="str">
        <f>IF($AA18&gt;0,$AA18," ")</f>
        <v> </v>
      </c>
      <c r="CY18" s="52"/>
      <c r="CZ18" t="s">
        <v>68</v>
      </c>
      <c r="DE18" t="str">
        <f>IF($AA18&gt;0,1," ")</f>
        <v> </v>
      </c>
      <c r="DK18" t="str">
        <f>IF(CY18&gt;0,CY18," ")</f>
        <v> </v>
      </c>
      <c r="DN18" s="20"/>
      <c r="DP18" s="10" t="str">
        <f>IF($AA18&gt;0,1," ")</f>
        <v> </v>
      </c>
      <c r="DQ18" s="10" t="str">
        <f>IF($AA18&gt;0,CY18," ")</f>
        <v> </v>
      </c>
      <c r="EA18" t="str">
        <f>IF($AA18&gt;0,$AA18," ")</f>
        <v> </v>
      </c>
    </row>
    <row r="19" spans="7:126" ht="12.75">
      <c r="G19" t="s">
        <v>71</v>
      </c>
      <c r="J19" s="1">
        <f>IF(D17&gt;0,ROUND(((D17/D6)*100),0),0)</f>
        <v>0</v>
      </c>
      <c r="K19" s="1"/>
      <c r="AA19" s="52"/>
      <c r="AB19" s="2" t="s">
        <v>72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6"/>
      <c r="AQ19" s="2"/>
      <c r="AR19" s="41"/>
      <c r="AS19" s="41"/>
      <c r="AT19" s="2"/>
      <c r="AU19" s="2"/>
      <c r="AW19" s="2"/>
      <c r="AX19" s="2"/>
      <c r="CV19" s="2"/>
      <c r="CY19" s="52"/>
      <c r="CZ19" s="2" t="s">
        <v>72</v>
      </c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36"/>
      <c r="DO19" s="2"/>
      <c r="DP19" s="41"/>
      <c r="DQ19" s="41"/>
      <c r="DR19" s="2"/>
      <c r="DS19" s="2"/>
      <c r="DU19" s="2"/>
      <c r="DV19" s="2"/>
    </row>
    <row r="20" spans="1:131" ht="12.75">
      <c r="A20" t="s">
        <v>75</v>
      </c>
      <c r="E20">
        <f>IF(J21&lt;50,E18-10,E18)</f>
        <v>2</v>
      </c>
      <c r="G20" s="2" t="s">
        <v>75</v>
      </c>
      <c r="H20" s="2"/>
      <c r="I20" s="2"/>
      <c r="J20" s="3"/>
      <c r="K20" s="3"/>
      <c r="L20" s="2"/>
      <c r="M20" t="s">
        <v>315</v>
      </c>
      <c r="AA20" s="52"/>
      <c r="AB20" t="s">
        <v>76</v>
      </c>
      <c r="AH20" t="str">
        <f>IF(AA20&gt;0,AA20," ")</f>
        <v> </v>
      </c>
      <c r="AO20" t="str">
        <f>IF(AA20&gt;0,AA20," ")</f>
        <v> </v>
      </c>
      <c r="AP20" s="36"/>
      <c r="AQ20" t="str">
        <f>IF($AA20&gt;0,$AA20," ")</f>
        <v> </v>
      </c>
      <c r="AR20" s="10"/>
      <c r="AS20" s="10"/>
      <c r="AW20" s="2"/>
      <c r="AX20" s="2"/>
      <c r="BC20" t="str">
        <f>IF($AA20&gt;0,$AA20," ")</f>
        <v> </v>
      </c>
      <c r="CY20" s="52"/>
      <c r="CZ20" t="s">
        <v>76</v>
      </c>
      <c r="DF20" t="str">
        <f>IF(CY20&gt;0,CY20," ")</f>
        <v> </v>
      </c>
      <c r="DM20" t="str">
        <f>IF(CY20&gt;0,CY20," ")</f>
        <v> </v>
      </c>
      <c r="DN20" s="36"/>
      <c r="DO20" t="str">
        <f>IF($AA20&gt;0,$AA20," ")</f>
        <v> </v>
      </c>
      <c r="DP20" s="10"/>
      <c r="DQ20" s="10"/>
      <c r="DU20" s="2"/>
      <c r="DV20" s="2"/>
      <c r="EA20" t="str">
        <f>IF($AA20&gt;0,$AA20," ")</f>
        <v> </v>
      </c>
    </row>
    <row r="21" spans="1:131" ht="12.75">
      <c r="A21" s="12" t="s">
        <v>81</v>
      </c>
      <c r="D21" s="52">
        <v>0</v>
      </c>
      <c r="E21">
        <f>IF(J22&gt;3,E20-10,E20)</f>
        <v>2</v>
      </c>
      <c r="G21" t="s">
        <v>78</v>
      </c>
      <c r="J21" s="1">
        <f>ROUND(((D6-D13)*(300/I8)),0)</f>
        <v>0</v>
      </c>
      <c r="K21" s="1"/>
      <c r="M21" s="39" t="s">
        <v>312</v>
      </c>
      <c r="AA21" s="52"/>
      <c r="AB21" t="s">
        <v>79</v>
      </c>
      <c r="AG21" t="str">
        <f>IF($AA21&gt;0,1," ")</f>
        <v> </v>
      </c>
      <c r="AM21" t="str">
        <f aca="true" t="shared" si="2" ref="AM21:AM27">IF(AA21&gt;0,AA21," ")</f>
        <v> </v>
      </c>
      <c r="AR21" s="10" t="str">
        <f>IF($AA21&gt;0,1," ")</f>
        <v> </v>
      </c>
      <c r="AS21" s="10" t="str">
        <f>IF($AA21&gt;0,AA21," ")</f>
        <v> </v>
      </c>
      <c r="BC21" t="str">
        <f>IF($AA21&gt;0,$AA21," ")</f>
        <v> </v>
      </c>
      <c r="CU21" s="2"/>
      <c r="CY21" s="52"/>
      <c r="CZ21" t="s">
        <v>79</v>
      </c>
      <c r="DE21" t="str">
        <f>IF($AA21&gt;0,1," ")</f>
        <v> </v>
      </c>
      <c r="DK21" t="str">
        <f>IF(CY21&gt;0,CY21," ")</f>
        <v> </v>
      </c>
      <c r="DN21" s="20"/>
      <c r="DP21" s="10" t="str">
        <f>IF($AA21&gt;0,1," ")</f>
        <v> </v>
      </c>
      <c r="DQ21" s="10" t="str">
        <f>IF($AA21&gt;0,CY21," ")</f>
        <v> </v>
      </c>
      <c r="EA21" t="str">
        <f>IF($AA21&gt;0,$AA21," ")</f>
        <v> </v>
      </c>
    </row>
    <row r="22" spans="1:131" ht="12.75">
      <c r="A22" s="2"/>
      <c r="B22" t="s">
        <v>85</v>
      </c>
      <c r="E22">
        <f>(E21)</f>
        <v>2</v>
      </c>
      <c r="G22" t="s">
        <v>82</v>
      </c>
      <c r="J22" s="1">
        <f>IF(D21&gt;0,ROUND(((D21/D6)*100),0),0)</f>
        <v>0</v>
      </c>
      <c r="K22" s="1"/>
      <c r="AA22" s="52"/>
      <c r="AB22" t="s">
        <v>83</v>
      </c>
      <c r="AD22" t="str">
        <f>IF(AA22&gt;0,1," ")</f>
        <v> </v>
      </c>
      <c r="AM22" t="str">
        <f t="shared" si="2"/>
        <v> </v>
      </c>
      <c r="AO22" t="str">
        <f>IF(AA22&gt;0,AA22," ")</f>
        <v> </v>
      </c>
      <c r="AR22" s="10"/>
      <c r="AS22" s="10"/>
      <c r="BC22" t="str">
        <f>IF($AA22&gt;0,$AA22," ")</f>
        <v> </v>
      </c>
      <c r="CY22" s="52"/>
      <c r="CZ22" t="s">
        <v>83</v>
      </c>
      <c r="DB22" t="str">
        <f>IF(CY22&gt;0,1," ")</f>
        <v> </v>
      </c>
      <c r="DK22" t="str">
        <f>IF(CY22&gt;0,CY22," ")</f>
        <v> </v>
      </c>
      <c r="DM22" t="str">
        <f>IF(CY22&gt;0,CY22," ")</f>
        <v> </v>
      </c>
      <c r="DN22" s="20"/>
      <c r="DP22" s="10"/>
      <c r="DQ22" s="10"/>
      <c r="EA22" t="str">
        <f>IF($AA22&gt;0,$AA22," ")</f>
        <v> </v>
      </c>
    </row>
    <row r="23" spans="6:121" ht="12.75">
      <c r="F23" s="2"/>
      <c r="G23" s="2"/>
      <c r="H23" s="2"/>
      <c r="L23" s="2"/>
      <c r="M23" s="12" t="s">
        <v>313</v>
      </c>
      <c r="AA23" s="52"/>
      <c r="AB23" t="s">
        <v>86</v>
      </c>
      <c r="AM23" t="str">
        <f t="shared" si="2"/>
        <v> </v>
      </c>
      <c r="AR23" s="10"/>
      <c r="AS23" s="10"/>
      <c r="CU23" s="2"/>
      <c r="CY23" s="52"/>
      <c r="CZ23" t="s">
        <v>86</v>
      </c>
      <c r="DK23" t="str">
        <f>IF(CY23&gt;0,CY23," ")</f>
        <v> </v>
      </c>
      <c r="DN23" s="20"/>
      <c r="DP23" s="10"/>
      <c r="DQ23" s="10"/>
    </row>
    <row r="24" spans="1:123" ht="12.75">
      <c r="A24" s="2"/>
      <c r="B24" s="2"/>
      <c r="C24" s="11" t="s">
        <v>88</v>
      </c>
      <c r="D24" s="12"/>
      <c r="E24" s="11">
        <f>IF(E21&lt;1,0,E21)</f>
        <v>2</v>
      </c>
      <c r="F24" s="2"/>
      <c r="G24" s="2"/>
      <c r="H24" s="2"/>
      <c r="J24" s="2"/>
      <c r="M24" t="s">
        <v>121</v>
      </c>
      <c r="AA24" s="52"/>
      <c r="AB24" s="2" t="s">
        <v>89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R24" s="41"/>
      <c r="AS24" s="41"/>
      <c r="AT24" s="2"/>
      <c r="AU24" s="2"/>
      <c r="CV24" s="2"/>
      <c r="CY24" s="52"/>
      <c r="CZ24" s="2" t="s">
        <v>89</v>
      </c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0"/>
      <c r="DP24" s="41"/>
      <c r="DQ24" s="41"/>
      <c r="DR24" s="2"/>
      <c r="DS24" s="2"/>
    </row>
    <row r="25" spans="1:123" ht="12.75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t="s">
        <v>190</v>
      </c>
      <c r="AA25" s="52"/>
      <c r="AB25" s="2" t="s">
        <v>91</v>
      </c>
      <c r="AC25" t="str">
        <f>IF(AA25&gt;0,1," ")</f>
        <v> </v>
      </c>
      <c r="AD25" s="2"/>
      <c r="AE25" s="2"/>
      <c r="AF25" s="2"/>
      <c r="AG25" t="str">
        <f>IF($AA25&gt;0,1," ")</f>
        <v> </v>
      </c>
      <c r="AH25" s="2"/>
      <c r="AI25" s="2"/>
      <c r="AJ25" s="2"/>
      <c r="AK25" s="2"/>
      <c r="AL25" s="2"/>
      <c r="AM25" t="str">
        <f t="shared" si="2"/>
        <v> </v>
      </c>
      <c r="AN25" s="2"/>
      <c r="AO25" t="str">
        <f>IF(AA25&gt;0,AA25," ")</f>
        <v> </v>
      </c>
      <c r="AR25" s="10" t="str">
        <f>IF($AA25&gt;0,1," ")</f>
        <v> </v>
      </c>
      <c r="AS25" s="10" t="str">
        <f>IF($AA25&gt;0,AA25," ")</f>
        <v> </v>
      </c>
      <c r="AT25" s="2"/>
      <c r="AU25" s="2"/>
      <c r="CV25" s="2"/>
      <c r="CY25" s="52"/>
      <c r="CZ25" s="2" t="s">
        <v>91</v>
      </c>
      <c r="DA25" t="str">
        <f>IF(CY25&gt;0,1," ")</f>
        <v> </v>
      </c>
      <c r="DB25" s="2"/>
      <c r="DC25" s="2"/>
      <c r="DD25" s="2"/>
      <c r="DE25" t="str">
        <f>IF($AA25&gt;0,1," ")</f>
        <v> </v>
      </c>
      <c r="DF25" s="2"/>
      <c r="DG25" s="2"/>
      <c r="DH25" s="2"/>
      <c r="DI25" s="2"/>
      <c r="DJ25" s="2"/>
      <c r="DK25" t="str">
        <f>IF(CY25&gt;0,CY25," ")</f>
        <v> </v>
      </c>
      <c r="DL25" s="2"/>
      <c r="DM25" t="str">
        <f>IF(CY25&gt;0,CY25," ")</f>
        <v> </v>
      </c>
      <c r="DN25" s="20"/>
      <c r="DP25" s="10" t="str">
        <f>IF($AA25&gt;0,1," ")</f>
        <v> </v>
      </c>
      <c r="DQ25" s="10" t="str">
        <f>IF($AA25&gt;0,CY25," ")</f>
        <v> </v>
      </c>
      <c r="DR25" s="2"/>
      <c r="DS25" s="2"/>
    </row>
    <row r="26" spans="1:131" ht="12.75">
      <c r="A26" s="11" t="s">
        <v>93</v>
      </c>
      <c r="B26" s="12"/>
      <c r="C26" s="11"/>
      <c r="D26" s="11">
        <f>IF(E24&gt;64,"EXCELLENT","")</f>
      </c>
      <c r="E26" s="11">
        <f>IF(AND(E24&gt;49,E24&lt;65),"GOOD","")</f>
      </c>
      <c r="F26" s="11">
        <f>IF(AND(E24&gt;29,E24&lt;50),"FAIR","")</f>
      </c>
      <c r="G26" s="11">
        <f>IF(AND(E24&gt;19,E24&lt;30),"POOR","")</f>
      </c>
      <c r="H26" s="11" t="str">
        <f>IF(E24&lt;20,"VERY POOR","")</f>
        <v>VERY POOR</v>
      </c>
      <c r="I26" s="11"/>
      <c r="J26" s="12"/>
      <c r="M26" t="s">
        <v>139</v>
      </c>
      <c r="AA26" s="52"/>
      <c r="AB26" t="s">
        <v>94</v>
      </c>
      <c r="AF26" t="str">
        <f>IF(AA26&gt;0,1," ")</f>
        <v> </v>
      </c>
      <c r="AM26" t="str">
        <f t="shared" si="2"/>
        <v> </v>
      </c>
      <c r="AR26" s="10"/>
      <c r="AS26" s="10"/>
      <c r="AT26" t="str">
        <f>IF($AA26&gt;0,$AA26," ")</f>
        <v> </v>
      </c>
      <c r="AU26" t="str">
        <f>IF($AA26*(100/$I$8)&gt;1.99,$AA26," ")</f>
        <v> </v>
      </c>
      <c r="BC26" t="str">
        <f>IF($AA26&gt;0,$AA26," ")</f>
        <v> </v>
      </c>
      <c r="CY26" s="52"/>
      <c r="CZ26" t="s">
        <v>94</v>
      </c>
      <c r="DD26" t="str">
        <f>IF(CY26&gt;0,1," ")</f>
        <v> </v>
      </c>
      <c r="DK26" t="str">
        <f>IF(CY26&gt;0,CY26," ")</f>
        <v> </v>
      </c>
      <c r="DN26" s="20"/>
      <c r="DP26" s="10"/>
      <c r="DQ26" s="10"/>
      <c r="DR26" t="str">
        <f>IF($AA26&gt;0,$AA26," ")</f>
        <v> </v>
      </c>
      <c r="DS26" t="str">
        <f>IF($AA26*(100/$I$8)&gt;1.99,$AA26," ")</f>
        <v> </v>
      </c>
      <c r="EA26" t="str">
        <f>IF($AA26&gt;0,$AA26," ")</f>
        <v> </v>
      </c>
    </row>
    <row r="27" spans="1:121" ht="12.75">
      <c r="A27" s="2"/>
      <c r="B27" s="2"/>
      <c r="C27" s="2"/>
      <c r="D27" s="2"/>
      <c r="E27" s="12" t="s">
        <v>257</v>
      </c>
      <c r="G27" s="2"/>
      <c r="H27" s="2"/>
      <c r="I27" s="2"/>
      <c r="J27" s="2"/>
      <c r="K27" s="2"/>
      <c r="L27" s="2"/>
      <c r="M27" t="s">
        <v>182</v>
      </c>
      <c r="AA27" s="52"/>
      <c r="AB27" t="s">
        <v>96</v>
      </c>
      <c r="AD27" t="str">
        <f>IF(AA27&gt;0,1," ")</f>
        <v> </v>
      </c>
      <c r="AM27" t="str">
        <f t="shared" si="2"/>
        <v> </v>
      </c>
      <c r="AR27" s="10"/>
      <c r="AS27" s="10"/>
      <c r="CU27" s="2"/>
      <c r="CY27" s="52"/>
      <c r="CZ27" t="s">
        <v>96</v>
      </c>
      <c r="DB27" t="str">
        <f>IF(CY27&gt;0,1," ")</f>
        <v> </v>
      </c>
      <c r="DK27" t="str">
        <f>IF(CY27&gt;0,CY27," ")</f>
        <v> </v>
      </c>
      <c r="DN27" s="20"/>
      <c r="DP27" s="10"/>
      <c r="DQ27" s="10"/>
    </row>
    <row r="28" spans="1:131" ht="12.75">
      <c r="A28" s="11" t="s">
        <v>98</v>
      </c>
      <c r="B28" s="11" t="s">
        <v>99</v>
      </c>
      <c r="C28" s="2"/>
      <c r="D28" s="2"/>
      <c r="E28" s="60" t="str">
        <f>IF(I6&lt;2.5,"** STREAM WIDTH BELOW IBI MODEL CALIBRATION (&lt;2.5m or 8.2 ft.)"," ")</f>
        <v>** STREAM WIDTH BELOW IBI MODEL CALIBRATION (&lt;2.5m or 8.2 ft.)</v>
      </c>
      <c r="G28" s="2"/>
      <c r="H28" s="2"/>
      <c r="I28" s="2"/>
      <c r="J28" s="2"/>
      <c r="K28" s="2"/>
      <c r="L28" s="2"/>
      <c r="M28" t="s">
        <v>157</v>
      </c>
      <c r="AA28" s="52"/>
      <c r="AB28" t="s">
        <v>100</v>
      </c>
      <c r="AH28" t="str">
        <f>IF(AA28&gt;0,AA28," ")</f>
        <v> </v>
      </c>
      <c r="AN28" t="str">
        <f>IF(AA28&gt;0,AA28," ")</f>
        <v> </v>
      </c>
      <c r="AP28" s="36"/>
      <c r="AQ28" t="str">
        <f>IF($AA28&gt;0,$AA28," ")</f>
        <v> </v>
      </c>
      <c r="AR28" s="10"/>
      <c r="AS28" s="10"/>
      <c r="AW28" s="2"/>
      <c r="AX28" s="2"/>
      <c r="BC28" t="str">
        <f>IF($AA28&gt;0,$AA28," ")</f>
        <v> </v>
      </c>
      <c r="CY28" s="52"/>
      <c r="CZ28" t="s">
        <v>100</v>
      </c>
      <c r="DF28" t="str">
        <f>IF(CY28&gt;0,CY28," ")</f>
        <v> </v>
      </c>
      <c r="DL28" t="str">
        <f>IF(CY28&gt;0,CY28," ")</f>
        <v> </v>
      </c>
      <c r="DN28" s="36"/>
      <c r="DO28" t="str">
        <f>IF($AA28&gt;0,$AA28," ")</f>
        <v> </v>
      </c>
      <c r="DP28" s="10"/>
      <c r="DQ28" s="10"/>
      <c r="DU28" s="2"/>
      <c r="DV28" s="2"/>
      <c r="EA28" t="str">
        <f>IF($AA28&gt;0,$AA28," ")</f>
        <v> </v>
      </c>
    </row>
    <row r="29" spans="1:121" ht="12.75">
      <c r="A29" s="11" t="s">
        <v>102</v>
      </c>
      <c r="B29" s="11"/>
      <c r="C29" s="2"/>
      <c r="D29" s="2"/>
      <c r="E29" s="59" t="str">
        <f>IF(D6&lt;50,"** TOO FEW FISH TO CALCULATE IBI"," ")</f>
        <v>** TOO FEW FISH TO CALCULATE IBI</v>
      </c>
      <c r="F29" s="2"/>
      <c r="G29" s="2"/>
      <c r="H29" s="2"/>
      <c r="I29" s="2"/>
      <c r="J29" s="2"/>
      <c r="K29" s="2"/>
      <c r="L29" s="2"/>
      <c r="M29" t="s">
        <v>56</v>
      </c>
      <c r="AA29" s="52"/>
      <c r="AB29" t="s">
        <v>103</v>
      </c>
      <c r="AL29" t="str">
        <f>IF(AA29&gt;0,AA29," ")</f>
        <v> </v>
      </c>
      <c r="AR29" s="10"/>
      <c r="AS29" s="10"/>
      <c r="CY29" s="52"/>
      <c r="CZ29" t="s">
        <v>103</v>
      </c>
      <c r="DJ29" t="str">
        <f>IF(CY29&gt;0,CY29," ")</f>
        <v> </v>
      </c>
      <c r="DN29" s="20"/>
      <c r="DP29" s="10"/>
      <c r="DQ29" s="10"/>
    </row>
    <row r="30" spans="1:130" ht="12.75">
      <c r="A30" s="47" t="str">
        <f>IF(CY5&gt;0,CY5," ")</f>
        <v> </v>
      </c>
      <c r="B30" s="47" t="str">
        <f>IF(CY5&gt;0,CZ5," ")</f>
        <v> </v>
      </c>
      <c r="M30" t="s">
        <v>181</v>
      </c>
      <c r="AA30" s="52"/>
      <c r="AB30" t="s">
        <v>105</v>
      </c>
      <c r="AP30" s="36"/>
      <c r="AQ30" s="2"/>
      <c r="AR30" s="10"/>
      <c r="AS30" s="10"/>
      <c r="AW30" s="2"/>
      <c r="AX30" s="2"/>
      <c r="BB30" t="str">
        <f>IF($AA30&gt;0,$AA30," ")</f>
        <v> </v>
      </c>
      <c r="CY30" s="52"/>
      <c r="CZ30" t="s">
        <v>105</v>
      </c>
      <c r="DN30" s="36"/>
      <c r="DO30" s="2"/>
      <c r="DP30" s="10"/>
      <c r="DQ30" s="10"/>
      <c r="DU30" s="2"/>
      <c r="DV30" s="2"/>
      <c r="DZ30" t="str">
        <f>IF($AA30&gt;0,$AA30," ")</f>
        <v> </v>
      </c>
    </row>
    <row r="31" spans="1:121" ht="12.75">
      <c r="A31" s="47" t="str">
        <f aca="true" t="shared" si="3" ref="A31:A77">IF(CY6&gt;0,CY6," ")</f>
        <v> </v>
      </c>
      <c r="B31" s="47" t="str">
        <f aca="true" t="shared" si="4" ref="B31:B77">IF(CY6&gt;0,CZ6," ")</f>
        <v> </v>
      </c>
      <c r="E31" s="17" t="s">
        <v>329</v>
      </c>
      <c r="F31" s="18"/>
      <c r="G31" s="18"/>
      <c r="H31" s="18"/>
      <c r="I31" s="18"/>
      <c r="J31" s="18"/>
      <c r="K31" s="19"/>
      <c r="M31" t="s">
        <v>109</v>
      </c>
      <c r="AA31" s="52"/>
      <c r="AB31" t="s">
        <v>107</v>
      </c>
      <c r="AM31" t="str">
        <f>IF(AA31&gt;0,AA31," ")</f>
        <v> </v>
      </c>
      <c r="AR31" s="10"/>
      <c r="AS31" s="10"/>
      <c r="CU31" s="2"/>
      <c r="CY31" s="52"/>
      <c r="CZ31" t="s">
        <v>107</v>
      </c>
      <c r="DK31" t="str">
        <f>IF(CY31&gt;0,CY31," ")</f>
        <v> </v>
      </c>
      <c r="DN31" s="20"/>
      <c r="DP31" s="10"/>
      <c r="DQ31" s="10"/>
    </row>
    <row r="32" spans="1:129" ht="12.75">
      <c r="A32" s="47" t="str">
        <f t="shared" si="3"/>
        <v> </v>
      </c>
      <c r="B32" s="47" t="str">
        <f t="shared" si="4"/>
        <v> </v>
      </c>
      <c r="E32" s="23" t="s">
        <v>271</v>
      </c>
      <c r="F32" s="21"/>
      <c r="G32" s="21"/>
      <c r="H32" s="21"/>
      <c r="I32" s="21"/>
      <c r="J32" s="54">
        <f>(AU177)</f>
        <v>0</v>
      </c>
      <c r="K32" s="22"/>
      <c r="M32" t="s">
        <v>205</v>
      </c>
      <c r="AA32" s="52"/>
      <c r="AB32" t="s">
        <v>109</v>
      </c>
      <c r="AM32" t="str">
        <f>IF(AA32&gt;0,AA32," ")</f>
        <v> </v>
      </c>
      <c r="AP32" s="20" t="str">
        <f>IF($AA32&gt;0,$AA32," ")</f>
        <v> </v>
      </c>
      <c r="AR32" s="10"/>
      <c r="AS32" s="10"/>
      <c r="AW32" s="2"/>
      <c r="AX32" s="2"/>
      <c r="AZ32" s="67" t="str">
        <f>IF($AA32&gt;0,$AA32," ")</f>
        <v> </v>
      </c>
      <c r="BA32" s="68" t="str">
        <f>IF($AA32&gt;0,$AA32," ")</f>
        <v> </v>
      </c>
      <c r="CU32" s="2"/>
      <c r="CY32" s="52"/>
      <c r="CZ32" t="s">
        <v>109</v>
      </c>
      <c r="DK32" t="str">
        <f>IF(CY32&gt;0,CY32," ")</f>
        <v> </v>
      </c>
      <c r="DN32" s="20" t="str">
        <f>IF($AA32&gt;0,$AA32," ")</f>
        <v> </v>
      </c>
      <c r="DP32" s="10"/>
      <c r="DQ32" s="10"/>
      <c r="DU32" s="2"/>
      <c r="DV32" s="2"/>
      <c r="DX32" s="67" t="str">
        <f>IF($AA32&gt;0,$AA32," ")</f>
        <v> </v>
      </c>
      <c r="DY32" s="68" t="str">
        <f>IF($AA32&gt;0,$AA32," ")</f>
        <v> </v>
      </c>
    </row>
    <row r="33" spans="1:128" ht="12.75">
      <c r="A33" s="47" t="str">
        <f t="shared" si="3"/>
        <v> </v>
      </c>
      <c r="B33" s="47" t="str">
        <f t="shared" si="4"/>
        <v> </v>
      </c>
      <c r="E33" s="20" t="s">
        <v>273</v>
      </c>
      <c r="F33" s="21"/>
      <c r="G33" s="21"/>
      <c r="H33" s="21"/>
      <c r="I33" s="21"/>
      <c r="J33" s="21">
        <f>(AP176)</f>
        <v>4</v>
      </c>
      <c r="K33" s="22"/>
      <c r="AA33" s="52"/>
      <c r="AB33" t="s">
        <v>111</v>
      </c>
      <c r="AG33" t="str">
        <f>IF($AA33&gt;0,1," ")</f>
        <v> </v>
      </c>
      <c r="AL33" t="str">
        <f>IF(AA33&gt;0,AA33," ")</f>
        <v> </v>
      </c>
      <c r="AP33" s="36"/>
      <c r="AQ33" s="2"/>
      <c r="AR33" s="10" t="str">
        <f>IF($AA33&gt;0,1," ")</f>
        <v> </v>
      </c>
      <c r="AS33" s="10" t="str">
        <f>IF($AA33&gt;0,AA33," ")</f>
        <v> </v>
      </c>
      <c r="AV33" t="str">
        <f>IF(AA33&gt;0,AA33," ")</f>
        <v> </v>
      </c>
      <c r="AW33" s="2"/>
      <c r="AX33" s="2"/>
      <c r="AZ33" t="str">
        <f>IF($AA33&gt;0,$AA33," ")</f>
        <v> </v>
      </c>
      <c r="CY33" s="52"/>
      <c r="CZ33" t="s">
        <v>111</v>
      </c>
      <c r="DE33" t="str">
        <f>IF($AA33&gt;0,1," ")</f>
        <v> </v>
      </c>
      <c r="DJ33" t="str">
        <f>IF(CY33&gt;0,CY33," ")</f>
        <v> </v>
      </c>
      <c r="DN33" s="36"/>
      <c r="DO33" s="2"/>
      <c r="DP33" s="10" t="str">
        <f>IF($AA33&gt;0,1," ")</f>
        <v> </v>
      </c>
      <c r="DQ33" s="10" t="str">
        <f>IF($AA33&gt;0,CY33," ")</f>
        <v> </v>
      </c>
      <c r="DT33" t="str">
        <f>IF(CY33&gt;0,CY33," ")</f>
        <v> </v>
      </c>
      <c r="DU33" s="2"/>
      <c r="DV33" s="2"/>
      <c r="DX33" t="str">
        <f>IF($AA33&gt;0,$AA33," ")</f>
        <v> </v>
      </c>
    </row>
    <row r="34" spans="1:123" ht="12.75">
      <c r="A34" s="47" t="str">
        <f t="shared" si="3"/>
        <v> </v>
      </c>
      <c r="B34" s="47" t="str">
        <f t="shared" si="4"/>
        <v> </v>
      </c>
      <c r="E34" s="20" t="s">
        <v>274</v>
      </c>
      <c r="F34" s="21"/>
      <c r="G34" s="21"/>
      <c r="H34" s="21"/>
      <c r="I34" s="21"/>
      <c r="J34" s="21">
        <f>ROUND((AP176*(100/I8)),0)</f>
        <v>4</v>
      </c>
      <c r="K34" s="22"/>
      <c r="L34" s="27"/>
      <c r="M34" s="12" t="s">
        <v>314</v>
      </c>
      <c r="AA34" s="52"/>
      <c r="AB34" t="s">
        <v>113</v>
      </c>
      <c r="AM34" t="str">
        <f>IF(AA34&gt;0,AA34," ")</f>
        <v> </v>
      </c>
      <c r="AR34" s="10"/>
      <c r="AS34" s="10"/>
      <c r="AT34" t="str">
        <f>IF(AA34&gt;0,AA34," ")</f>
        <v> </v>
      </c>
      <c r="AU34" t="str">
        <f>IF($AA34*(100/$I$8)&gt;1.99,$AA34," ")</f>
        <v> </v>
      </c>
      <c r="CY34" s="52"/>
      <c r="CZ34" t="s">
        <v>113</v>
      </c>
      <c r="DK34" t="str">
        <f>IF(CY34&gt;0,CY34," ")</f>
        <v> </v>
      </c>
      <c r="DN34" s="20"/>
      <c r="DP34" s="10"/>
      <c r="DQ34" s="10"/>
      <c r="DR34" t="str">
        <f>IF(CY34&gt;0,CY34," ")</f>
        <v> </v>
      </c>
      <c r="DS34" t="str">
        <f>IF($AA34*(100/$I$8)&gt;1.99,$AA34," ")</f>
        <v> </v>
      </c>
    </row>
    <row r="35" spans="1:126" ht="12.75">
      <c r="A35" s="47" t="str">
        <f t="shared" si="3"/>
        <v> </v>
      </c>
      <c r="B35" s="47" t="str">
        <f t="shared" si="4"/>
        <v> </v>
      </c>
      <c r="E35" s="23" t="s">
        <v>279</v>
      </c>
      <c r="F35" s="24"/>
      <c r="G35" s="24"/>
      <c r="H35" s="24"/>
      <c r="I35" s="24"/>
      <c r="J35" s="55">
        <f>(ROUND(((AP176/(AA176-AT176-AV176))*100),0))</f>
        <v>100</v>
      </c>
      <c r="K35" s="26" t="s">
        <v>252</v>
      </c>
      <c r="M35" t="s">
        <v>143</v>
      </c>
      <c r="AA35" s="52"/>
      <c r="AB35" t="s">
        <v>115</v>
      </c>
      <c r="AE35" t="str">
        <f>IF(AA35&gt;0,1," ")</f>
        <v> </v>
      </c>
      <c r="AL35" t="str">
        <f>IF(AA35&gt;0,AA35," ")</f>
        <v> </v>
      </c>
      <c r="AP35" s="36"/>
      <c r="AQ35" s="2"/>
      <c r="AR35" s="10"/>
      <c r="AS35" s="10"/>
      <c r="AV35" t="str">
        <f>IF(AA35&gt;0,AA35," ")</f>
        <v> </v>
      </c>
      <c r="AW35" t="str">
        <f>IF($AA35&gt;0,$AA35," ")</f>
        <v> </v>
      </c>
      <c r="AX35" s="2"/>
      <c r="CU35" s="2"/>
      <c r="CV35" s="2"/>
      <c r="CY35" s="52"/>
      <c r="CZ35" t="s">
        <v>115</v>
      </c>
      <c r="DC35" t="str">
        <f>IF(CY35&gt;0,1," ")</f>
        <v> </v>
      </c>
      <c r="DJ35" t="str">
        <f>IF(CY35&gt;0,CY35," ")</f>
        <v> </v>
      </c>
      <c r="DN35" s="36"/>
      <c r="DO35" s="2"/>
      <c r="DP35" s="10"/>
      <c r="DQ35" s="10"/>
      <c r="DT35" t="str">
        <f>IF(CY35&gt;0,CY35," ")</f>
        <v> </v>
      </c>
      <c r="DU35" t="str">
        <f>IF($AA35&gt;0,$AA35," ")</f>
        <v> </v>
      </c>
      <c r="DV35" s="2"/>
    </row>
    <row r="36" spans="1:121" ht="12.75">
      <c r="A36" s="47" t="str">
        <f t="shared" si="3"/>
        <v> </v>
      </c>
      <c r="B36" s="47" t="str">
        <f t="shared" si="4"/>
        <v> </v>
      </c>
      <c r="E36" s="20" t="s">
        <v>266</v>
      </c>
      <c r="F36" s="21"/>
      <c r="G36" s="21"/>
      <c r="H36" s="21"/>
      <c r="I36" s="21"/>
      <c r="J36" s="21">
        <f>(AQ176)</f>
        <v>0</v>
      </c>
      <c r="K36" s="22"/>
      <c r="M36" t="s">
        <v>164</v>
      </c>
      <c r="AA36" s="52"/>
      <c r="AB36" t="s">
        <v>117</v>
      </c>
      <c r="AN36" t="str">
        <f>IF(AA36&gt;0,AA36," ")</f>
        <v> </v>
      </c>
      <c r="AR36" s="10"/>
      <c r="AS36" s="10"/>
      <c r="CY36" s="52"/>
      <c r="CZ36" t="s">
        <v>117</v>
      </c>
      <c r="DL36" t="str">
        <f>IF(CY36&gt;0,CY36," ")</f>
        <v> </v>
      </c>
      <c r="DN36" s="20"/>
      <c r="DP36" s="10"/>
      <c r="DQ36" s="10"/>
    </row>
    <row r="37" spans="1:130" ht="12.75">
      <c r="A37" s="47" t="str">
        <f t="shared" si="3"/>
        <v> </v>
      </c>
      <c r="B37" s="47" t="str">
        <f t="shared" si="4"/>
        <v> </v>
      </c>
      <c r="E37" s="20" t="s">
        <v>267</v>
      </c>
      <c r="F37" s="21"/>
      <c r="G37" s="21"/>
      <c r="H37" s="21"/>
      <c r="I37" s="21"/>
      <c r="J37" s="21">
        <f>ROUND((AQ176*(100/I8)),0)</f>
        <v>0</v>
      </c>
      <c r="K37" s="22"/>
      <c r="M37" t="s">
        <v>76</v>
      </c>
      <c r="AA37" s="52"/>
      <c r="AB37" t="s">
        <v>119</v>
      </c>
      <c r="AL37" t="str">
        <f>IF(AA37&gt;0,AA37," ")</f>
        <v> </v>
      </c>
      <c r="AO37" t="str">
        <f>IF(AA37&gt;0,AA37," ")</f>
        <v> </v>
      </c>
      <c r="AR37" s="10"/>
      <c r="AS37" s="10"/>
      <c r="BB37" t="str">
        <f>IF($AA37&gt;0,$AA37," ")</f>
        <v> </v>
      </c>
      <c r="CY37" s="52"/>
      <c r="CZ37" t="s">
        <v>119</v>
      </c>
      <c r="DJ37" t="str">
        <f>IF(CY37&gt;0,CY37," ")</f>
        <v> </v>
      </c>
      <c r="DM37" t="str">
        <f>IF(CY37&gt;0,CY37," ")</f>
        <v> </v>
      </c>
      <c r="DN37" s="20"/>
      <c r="DP37" s="10"/>
      <c r="DQ37" s="10"/>
      <c r="DZ37" t="str">
        <f>IF($AA37&gt;0,$AA37," ")</f>
        <v> </v>
      </c>
    </row>
    <row r="38" spans="1:131" ht="12.75">
      <c r="A38" s="47" t="str">
        <f t="shared" si="3"/>
        <v> </v>
      </c>
      <c r="B38" s="47" t="str">
        <f t="shared" si="4"/>
        <v> </v>
      </c>
      <c r="E38" s="23" t="s">
        <v>275</v>
      </c>
      <c r="F38" s="24"/>
      <c r="G38" s="24"/>
      <c r="H38" s="24"/>
      <c r="I38" s="24"/>
      <c r="J38" s="55">
        <f>(ROUND(((AQ176/(AA176-AT176-AV176))*100),0))</f>
        <v>0</v>
      </c>
      <c r="K38" s="26" t="s">
        <v>252</v>
      </c>
      <c r="M38" t="s">
        <v>100</v>
      </c>
      <c r="AA38" s="52">
        <v>4</v>
      </c>
      <c r="AB38" t="s">
        <v>121</v>
      </c>
      <c r="AH38">
        <f>IF(AA38&gt;0,AA38," ")</f>
        <v>4</v>
      </c>
      <c r="AM38">
        <f>IF(AA38&gt;0,AA38," ")</f>
        <v>4</v>
      </c>
      <c r="AP38" s="20">
        <f>IF($AA38&gt;0,$AA38," ")</f>
        <v>4</v>
      </c>
      <c r="AR38" s="10"/>
      <c r="AS38" s="10"/>
      <c r="BC38">
        <f>IF($AA38&gt;0,$AA38," ")</f>
        <v>4</v>
      </c>
      <c r="CY38" s="52"/>
      <c r="CZ38" t="s">
        <v>121</v>
      </c>
      <c r="DF38" t="str">
        <f>IF(CY38&gt;0,CY38," ")</f>
        <v> </v>
      </c>
      <c r="DK38" t="str">
        <f>IF(CY38&gt;0,CY38," ")</f>
        <v> </v>
      </c>
      <c r="DN38" s="20">
        <f>IF($AA38&gt;0,$AA38," ")</f>
        <v>4</v>
      </c>
      <c r="DP38" s="10"/>
      <c r="DQ38" s="10"/>
      <c r="EA38">
        <f>IF($AA38&gt;0,$AA38," ")</f>
        <v>4</v>
      </c>
    </row>
    <row r="39" spans="1:131" ht="12.75">
      <c r="A39" s="47" t="str">
        <f t="shared" si="3"/>
        <v> </v>
      </c>
      <c r="B39" s="47" t="str">
        <f t="shared" si="4"/>
        <v> </v>
      </c>
      <c r="E39" s="20" t="s">
        <v>276</v>
      </c>
      <c r="F39" s="21"/>
      <c r="G39" s="21"/>
      <c r="H39" s="21"/>
      <c r="I39" s="21"/>
      <c r="J39" s="54">
        <f>(J35+J38)</f>
        <v>100</v>
      </c>
      <c r="K39" s="22" t="s">
        <v>252</v>
      </c>
      <c r="AA39" s="52"/>
      <c r="AB39" t="s">
        <v>123</v>
      </c>
      <c r="AR39" s="10"/>
      <c r="AS39" s="10"/>
      <c r="BC39" t="str">
        <f>IF($AA39&gt;0,$AA39," ")</f>
        <v> </v>
      </c>
      <c r="CY39" s="52"/>
      <c r="CZ39" t="s">
        <v>123</v>
      </c>
      <c r="DN39" s="20"/>
      <c r="DP39" s="10"/>
      <c r="DQ39" s="10"/>
      <c r="EA39" t="str">
        <f>IF($AA39&gt;0,$AA39," ")</f>
        <v> </v>
      </c>
    </row>
    <row r="40" spans="1:123" ht="12.75">
      <c r="A40" s="47" t="str">
        <f t="shared" si="3"/>
        <v> </v>
      </c>
      <c r="B40" s="47" t="str">
        <f t="shared" si="4"/>
        <v> </v>
      </c>
      <c r="E40" s="23" t="s">
        <v>268</v>
      </c>
      <c r="F40" s="24"/>
      <c r="G40" s="24"/>
      <c r="H40" s="24"/>
      <c r="I40" s="24"/>
      <c r="J40" s="25">
        <f>(AP177)</f>
        <v>1</v>
      </c>
      <c r="K40" s="22"/>
      <c r="M40" s="12" t="s">
        <v>297</v>
      </c>
      <c r="AA40" s="52"/>
      <c r="AB40" t="s">
        <v>125</v>
      </c>
      <c r="AL40" t="str">
        <f>IF(AA40&gt;0,AA40," ")</f>
        <v> </v>
      </c>
      <c r="AR40" s="10"/>
      <c r="AS40" s="10"/>
      <c r="AT40" t="str">
        <f>IF(AA40&gt;0,AA40," ")</f>
        <v> </v>
      </c>
      <c r="AU40" t="str">
        <f>IF($AA40*(100/$I$8)&gt;1.99,$AA40," ")</f>
        <v> </v>
      </c>
      <c r="CY40" s="52"/>
      <c r="CZ40" t="s">
        <v>125</v>
      </c>
      <c r="DJ40" t="str">
        <f>IF(CY40&gt;0,CY40," ")</f>
        <v> </v>
      </c>
      <c r="DN40" s="20"/>
      <c r="DP40" s="10"/>
      <c r="DQ40" s="10"/>
      <c r="DR40" t="str">
        <f>IF(CY40&gt;0,CY40," ")</f>
        <v> </v>
      </c>
      <c r="DS40" t="str">
        <f>IF($AA40*(100/$I$8)&gt;1.99,$AA40," ")</f>
        <v> </v>
      </c>
    </row>
    <row r="41" spans="1:123" ht="12.75">
      <c r="A41" s="47" t="str">
        <f t="shared" si="3"/>
        <v> </v>
      </c>
      <c r="B41" s="47" t="str">
        <f t="shared" si="4"/>
        <v> </v>
      </c>
      <c r="E41" s="23" t="s">
        <v>269</v>
      </c>
      <c r="F41" s="24"/>
      <c r="G41" s="24"/>
      <c r="H41" s="24"/>
      <c r="I41" s="24"/>
      <c r="J41" s="25">
        <f>(AQ177)</f>
        <v>0</v>
      </c>
      <c r="K41" s="22"/>
      <c r="M41" t="s">
        <v>299</v>
      </c>
      <c r="AA41" s="52"/>
      <c r="AB41" s="2" t="s">
        <v>127</v>
      </c>
      <c r="AD41" s="2"/>
      <c r="AE41" s="2"/>
      <c r="AF41" s="2"/>
      <c r="AG41" s="2"/>
      <c r="AH41" s="2"/>
      <c r="AI41" s="2"/>
      <c r="AJ41" s="2"/>
      <c r="AK41" s="2"/>
      <c r="AL41" s="2"/>
      <c r="AM41" t="str">
        <f>IF(AA41&gt;0,AA41," ")</f>
        <v> </v>
      </c>
      <c r="AN41" s="2"/>
      <c r="AO41" s="2"/>
      <c r="AR41" s="41"/>
      <c r="AS41" s="41"/>
      <c r="AT41" s="2"/>
      <c r="AU41" s="2"/>
      <c r="CY41" s="52"/>
      <c r="CZ41" s="2" t="s">
        <v>127</v>
      </c>
      <c r="DB41" s="2"/>
      <c r="DC41" s="2"/>
      <c r="DD41" s="2"/>
      <c r="DE41" s="2"/>
      <c r="DF41" s="2"/>
      <c r="DG41" s="2"/>
      <c r="DH41" s="2"/>
      <c r="DI41" s="2"/>
      <c r="DJ41" s="2"/>
      <c r="DK41" t="str">
        <f>IF(CY41&gt;0,CY41," ")</f>
        <v> </v>
      </c>
      <c r="DL41" s="2"/>
      <c r="DM41" s="2"/>
      <c r="DN41" s="20"/>
      <c r="DP41" s="41"/>
      <c r="DQ41" s="41"/>
      <c r="DR41" s="2"/>
      <c r="DS41" s="2"/>
    </row>
    <row r="42" spans="1:131" ht="12.75">
      <c r="A42" s="47" t="str">
        <f t="shared" si="3"/>
        <v> </v>
      </c>
      <c r="B42" s="47" t="str">
        <f t="shared" si="4"/>
        <v> </v>
      </c>
      <c r="E42" s="23" t="s">
        <v>270</v>
      </c>
      <c r="F42" s="24"/>
      <c r="G42" s="24"/>
      <c r="H42" s="24"/>
      <c r="I42" s="24"/>
      <c r="J42" s="25">
        <f>(AA177)</f>
        <v>1</v>
      </c>
      <c r="K42" s="22"/>
      <c r="M42" t="s">
        <v>300</v>
      </c>
      <c r="AA42" s="52"/>
      <c r="AB42" s="2" t="s">
        <v>129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R42" s="41"/>
      <c r="AS42" s="41"/>
      <c r="AT42" s="2"/>
      <c r="AU42" s="2"/>
      <c r="BC42" t="str">
        <f>IF($AA42&gt;0,$AA42," ")</f>
        <v> </v>
      </c>
      <c r="CY42" s="52"/>
      <c r="CZ42" s="2" t="s">
        <v>129</v>
      </c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0"/>
      <c r="DP42" s="41"/>
      <c r="DQ42" s="41"/>
      <c r="DR42" s="2"/>
      <c r="DS42" s="2"/>
      <c r="EA42" t="str">
        <f>IF($AA42&gt;0,$AA42," ")</f>
        <v> </v>
      </c>
    </row>
    <row r="43" spans="1:131" ht="12.75">
      <c r="A43" s="47" t="str">
        <f t="shared" si="3"/>
        <v> </v>
      </c>
      <c r="B43" s="47" t="str">
        <f t="shared" si="4"/>
        <v> </v>
      </c>
      <c r="E43" s="20" t="s">
        <v>277</v>
      </c>
      <c r="F43" s="21"/>
      <c r="G43" s="21"/>
      <c r="H43" s="21"/>
      <c r="I43" s="21"/>
      <c r="J43" s="21">
        <f>(D6)</f>
        <v>4</v>
      </c>
      <c r="K43" s="22"/>
      <c r="M43" t="s">
        <v>110</v>
      </c>
      <c r="AA43" s="52"/>
      <c r="AB43" s="2" t="s">
        <v>131</v>
      </c>
      <c r="AC43" s="2"/>
      <c r="AD43" s="2"/>
      <c r="AE43" s="2"/>
      <c r="AF43" s="2"/>
      <c r="AG43" t="str">
        <f>IF($AA43&gt;0,1," ")</f>
        <v> </v>
      </c>
      <c r="AH43" s="2"/>
      <c r="AI43" t="str">
        <f>IF($AA42&gt;0,IF($AB42="Chestnut Lamprey (adult)",IF($AA43&gt;0,1," ")," ")," ")</f>
        <v> </v>
      </c>
      <c r="AL43" s="2"/>
      <c r="AM43" s="2"/>
      <c r="AN43" s="2"/>
      <c r="AO43" s="2"/>
      <c r="AR43" s="10" t="str">
        <f>IF($AA43&gt;0,1," ")</f>
        <v> </v>
      </c>
      <c r="AS43" s="10" t="str">
        <f>IF($AA43&gt;0,AA43," ")</f>
        <v> </v>
      </c>
      <c r="AT43" s="2"/>
      <c r="AU43" s="2"/>
      <c r="BC43" t="str">
        <f>IF($AA43&gt;0,$AA43," ")</f>
        <v> </v>
      </c>
      <c r="CY43" s="52"/>
      <c r="CZ43" s="2" t="s">
        <v>131</v>
      </c>
      <c r="DA43" s="2"/>
      <c r="DB43" s="2"/>
      <c r="DC43" s="2"/>
      <c r="DD43" s="2"/>
      <c r="DE43" t="str">
        <f>IF($AA43&gt;0,1," ")</f>
        <v> </v>
      </c>
      <c r="DF43" s="2"/>
      <c r="DG43" t="str">
        <f>IF($AA42&gt;0,IF($AB42="Chestnut Lamprey (adult)",IF($AA43&gt;0,1," ")," ")," ")</f>
        <v> </v>
      </c>
      <c r="DJ43" s="2"/>
      <c r="DK43" s="2"/>
      <c r="DL43" s="2"/>
      <c r="DM43" s="2"/>
      <c r="DN43" s="20"/>
      <c r="DP43" s="10" t="str">
        <f>IF($AA43&gt;0,1," ")</f>
        <v> </v>
      </c>
      <c r="DQ43" s="10" t="str">
        <f>IF($AA43&gt;0,CY43," ")</f>
        <v> </v>
      </c>
      <c r="DR43" s="2"/>
      <c r="DS43" s="2"/>
      <c r="EA43" t="str">
        <f>IF($AA43&gt;0,$AA43," ")</f>
        <v> </v>
      </c>
    </row>
    <row r="44" spans="1:125" ht="12.75">
      <c r="A44" s="47" t="str">
        <f t="shared" si="3"/>
        <v> </v>
      </c>
      <c r="B44" s="47" t="str">
        <f t="shared" si="4"/>
        <v> </v>
      </c>
      <c r="E44" s="37" t="s">
        <v>278</v>
      </c>
      <c r="F44" s="31"/>
      <c r="G44" s="31"/>
      <c r="H44" s="31"/>
      <c r="I44" s="31"/>
      <c r="J44" s="31">
        <f>(I8)</f>
        <v>102</v>
      </c>
      <c r="K44" s="32"/>
      <c r="M44" t="s">
        <v>114</v>
      </c>
      <c r="AA44" s="52"/>
      <c r="AB44" t="s">
        <v>133</v>
      </c>
      <c r="AE44" t="str">
        <f>IF(AA44&gt;0,1," ")</f>
        <v> </v>
      </c>
      <c r="AL44" t="str">
        <f>IF(AA44&gt;0,AA44," ")</f>
        <v> </v>
      </c>
      <c r="AR44" s="10"/>
      <c r="AS44" s="10"/>
      <c r="AV44" t="str">
        <f>IF(AA44&gt;0,AA44," ")</f>
        <v> </v>
      </c>
      <c r="AW44" t="str">
        <f>IF($AA44&gt;0,$AA44," ")</f>
        <v> </v>
      </c>
      <c r="CY44" s="52"/>
      <c r="CZ44" t="s">
        <v>133</v>
      </c>
      <c r="DC44" t="str">
        <f>IF(CY44&gt;0,1," ")</f>
        <v> </v>
      </c>
      <c r="DJ44" t="str">
        <f>IF(CY44&gt;0,CY44," ")</f>
        <v> </v>
      </c>
      <c r="DN44" s="20"/>
      <c r="DP44" s="10"/>
      <c r="DQ44" s="10"/>
      <c r="DT44" t="str">
        <f>IF(CY44&gt;0,CY44," ")</f>
        <v> </v>
      </c>
      <c r="DU44" t="str">
        <f>IF($AA44&gt;0,$AA44," ")</f>
        <v> </v>
      </c>
    </row>
    <row r="45" spans="1:126" ht="12.75">
      <c r="A45" s="47" t="str">
        <f t="shared" si="3"/>
        <v> </v>
      </c>
      <c r="B45" s="47" t="str">
        <f t="shared" si="4"/>
        <v> </v>
      </c>
      <c r="M45" t="s">
        <v>244</v>
      </c>
      <c r="AA45" s="52"/>
      <c r="AB45" s="2" t="s">
        <v>135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6"/>
      <c r="AQ45" s="2"/>
      <c r="AR45" s="41"/>
      <c r="AS45" s="41"/>
      <c r="AT45" s="2"/>
      <c r="AU45" s="2"/>
      <c r="AW45" s="2"/>
      <c r="AX45" s="2"/>
      <c r="CU45" s="2"/>
      <c r="CV45" s="2"/>
      <c r="CY45" s="52"/>
      <c r="CZ45" s="2" t="s">
        <v>135</v>
      </c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36"/>
      <c r="DO45" s="2"/>
      <c r="DP45" s="41"/>
      <c r="DQ45" s="41"/>
      <c r="DR45" s="2"/>
      <c r="DS45" s="2"/>
      <c r="DU45" s="2"/>
      <c r="DV45" s="2"/>
    </row>
    <row r="46" spans="1:125" ht="12.75">
      <c r="A46" s="47" t="str">
        <f t="shared" si="3"/>
        <v> </v>
      </c>
      <c r="B46" s="47" t="str">
        <f t="shared" si="4"/>
        <v> </v>
      </c>
      <c r="E46" s="33" t="s">
        <v>322</v>
      </c>
      <c r="F46" s="18"/>
      <c r="G46" s="18"/>
      <c r="H46" s="18"/>
      <c r="I46" s="18"/>
      <c r="J46" s="18"/>
      <c r="K46" s="19"/>
      <c r="AA46" s="52"/>
      <c r="AB46" t="s">
        <v>137</v>
      </c>
      <c r="AE46" t="str">
        <f>IF(AA46&gt;0,1," ")</f>
        <v> </v>
      </c>
      <c r="AL46" t="str">
        <f>IF(AA46&gt;0,AA46," ")</f>
        <v> </v>
      </c>
      <c r="AR46" s="10"/>
      <c r="AS46" s="10"/>
      <c r="AV46" t="str">
        <f>IF(AA46&gt;0,AA46," ")</f>
        <v> </v>
      </c>
      <c r="AW46" t="str">
        <f>IF($AA46&gt;0,$AA46," ")</f>
        <v> </v>
      </c>
      <c r="CY46" s="52"/>
      <c r="CZ46" t="s">
        <v>137</v>
      </c>
      <c r="DC46" t="str">
        <f>IF(CY46&gt;0,1," ")</f>
        <v> </v>
      </c>
      <c r="DJ46" t="str">
        <f>IF(CY46&gt;0,CY46," ")</f>
        <v> </v>
      </c>
      <c r="DN46" s="20"/>
      <c r="DP46" s="10"/>
      <c r="DQ46" s="10"/>
      <c r="DT46" t="str">
        <f>IF(CY46&gt;0,CY46," ")</f>
        <v> </v>
      </c>
      <c r="DU46" t="str">
        <f>IF($AA46&gt;0,$AA46," ")</f>
        <v> </v>
      </c>
    </row>
    <row r="47" spans="1:127" ht="12.75">
      <c r="A47" s="47" t="str">
        <f t="shared" si="3"/>
        <v> </v>
      </c>
      <c r="B47" s="47" t="str">
        <f t="shared" si="4"/>
        <v> </v>
      </c>
      <c r="E47" s="20" t="s">
        <v>323</v>
      </c>
      <c r="F47" s="21"/>
      <c r="G47" s="21"/>
      <c r="H47" s="21"/>
      <c r="I47" s="21"/>
      <c r="J47" s="21">
        <f>(AS177)</f>
        <v>0</v>
      </c>
      <c r="K47" s="22"/>
      <c r="M47" s="12" t="s">
        <v>298</v>
      </c>
      <c r="AA47" s="52"/>
      <c r="AB47" t="s">
        <v>139</v>
      </c>
      <c r="AE47" t="str">
        <f>IF(AA47&gt;0,1," ")</f>
        <v> </v>
      </c>
      <c r="AH47" t="str">
        <f>IF(AA47&gt;0,AA47," ")</f>
        <v> </v>
      </c>
      <c r="AN47" t="str">
        <f>IF(AA47&gt;0,AA47," ")</f>
        <v> </v>
      </c>
      <c r="AP47" s="20" t="str">
        <f>IF($AA47&gt;0,$AA47," ")</f>
        <v> </v>
      </c>
      <c r="AR47" s="10"/>
      <c r="AS47" s="10"/>
      <c r="AY47" t="str">
        <f>IF($AA47&gt;0,$AA47," ")</f>
        <v> </v>
      </c>
      <c r="CY47" s="52"/>
      <c r="CZ47" t="s">
        <v>139</v>
      </c>
      <c r="DC47" t="str">
        <f>IF(CY47&gt;0,1," ")</f>
        <v> </v>
      </c>
      <c r="DF47" t="str">
        <f>IF(CY47&gt;0,CY47," ")</f>
        <v> </v>
      </c>
      <c r="DL47" t="str">
        <f>IF(CY47&gt;0,CY47," ")</f>
        <v> </v>
      </c>
      <c r="DN47" s="20" t="str">
        <f>IF($AA47&gt;0,$AA47," ")</f>
        <v> </v>
      </c>
      <c r="DP47" s="10"/>
      <c r="DQ47" s="10"/>
      <c r="DW47" t="str">
        <f>IF($AA47&gt;0,$AA47," ")</f>
        <v> </v>
      </c>
    </row>
    <row r="48" spans="1:131" ht="12.75">
      <c r="A48" s="47" t="str">
        <f t="shared" si="3"/>
        <v> </v>
      </c>
      <c r="B48" s="47" t="str">
        <f t="shared" si="4"/>
        <v> </v>
      </c>
      <c r="E48" s="20" t="s">
        <v>328</v>
      </c>
      <c r="F48" s="21"/>
      <c r="G48" s="21"/>
      <c r="H48" s="21"/>
      <c r="I48" s="21"/>
      <c r="J48" s="54">
        <f>ROUND(((AS177)/(AA176)*100),0)</f>
        <v>0</v>
      </c>
      <c r="K48" s="22" t="s">
        <v>252</v>
      </c>
      <c r="L48" s="27"/>
      <c r="M48" t="s">
        <v>301</v>
      </c>
      <c r="AA48" s="52"/>
      <c r="AB48" t="s">
        <v>141</v>
      </c>
      <c r="AM48" t="str">
        <f>IF(AA48&gt;0,AA48," ")</f>
        <v> </v>
      </c>
      <c r="AO48" t="str">
        <f>IF(AA48&gt;0,AA48," ")</f>
        <v> </v>
      </c>
      <c r="AR48" s="10"/>
      <c r="AS48" s="10"/>
      <c r="BC48" t="str">
        <f>IF($AA48&gt;0,$AA48," ")</f>
        <v> </v>
      </c>
      <c r="CY48" s="52"/>
      <c r="CZ48" t="s">
        <v>141</v>
      </c>
      <c r="DK48" t="str">
        <f>IF(CY48&gt;0,CY48," ")</f>
        <v> </v>
      </c>
      <c r="DM48" t="str">
        <f>IF(CY48&gt;0,CY48," ")</f>
        <v> </v>
      </c>
      <c r="DN48" s="20"/>
      <c r="DP48" s="10"/>
      <c r="DQ48" s="10"/>
      <c r="EA48" t="str">
        <f>IF($AA48&gt;0,$AA48," ")</f>
        <v> </v>
      </c>
    </row>
    <row r="49" spans="1:131" ht="12.75">
      <c r="A49" s="47" t="str">
        <f t="shared" si="3"/>
        <v> </v>
      </c>
      <c r="B49" s="47" t="str">
        <f t="shared" si="4"/>
        <v> </v>
      </c>
      <c r="E49" s="45" t="s">
        <v>324</v>
      </c>
      <c r="F49" s="21"/>
      <c r="G49" s="21"/>
      <c r="H49" s="21"/>
      <c r="I49" s="21"/>
      <c r="J49" s="54">
        <f>(E12)</f>
        <v>0</v>
      </c>
      <c r="K49" s="34"/>
      <c r="M49" t="s">
        <v>302</v>
      </c>
      <c r="AA49" s="52"/>
      <c r="AB49" t="s">
        <v>143</v>
      </c>
      <c r="AH49" t="str">
        <f>IF(AA49&gt;0,AA49," ")</f>
        <v> </v>
      </c>
      <c r="AP49" s="36"/>
      <c r="AQ49" t="str">
        <f>IF($AA49&gt;0,$AA49," ")</f>
        <v> </v>
      </c>
      <c r="AR49" s="10"/>
      <c r="AS49" s="10"/>
      <c r="AW49" s="2"/>
      <c r="AX49" s="2"/>
      <c r="BC49" t="str">
        <f>IF($AA49&gt;0,$AA49," ")</f>
        <v> </v>
      </c>
      <c r="CU49" s="2"/>
      <c r="CV49" s="2"/>
      <c r="CY49" s="52"/>
      <c r="CZ49" t="s">
        <v>143</v>
      </c>
      <c r="DF49" t="str">
        <f>IF(CY49&gt;0,CY49," ")</f>
        <v> </v>
      </c>
      <c r="DN49" s="36"/>
      <c r="DO49" t="str">
        <f>IF($AA49&gt;0,$AA49," ")</f>
        <v> </v>
      </c>
      <c r="DP49" s="10"/>
      <c r="DQ49" s="10"/>
      <c r="DU49" s="2"/>
      <c r="DV49" s="2"/>
      <c r="EA49" t="str">
        <f>IF($AA49&gt;0,$AA49," ")</f>
        <v> </v>
      </c>
    </row>
    <row r="50" spans="1:123" ht="12.75">
      <c r="A50" s="47" t="str">
        <f t="shared" si="3"/>
        <v> </v>
      </c>
      <c r="B50" s="47" t="str">
        <f t="shared" si="4"/>
        <v> </v>
      </c>
      <c r="E50" s="46" t="s">
        <v>327</v>
      </c>
      <c r="F50" s="31"/>
      <c r="G50" s="31"/>
      <c r="H50" s="31"/>
      <c r="I50" s="31"/>
      <c r="J50" s="31">
        <f>(AR176)</f>
        <v>0</v>
      </c>
      <c r="K50" s="35"/>
      <c r="M50" t="s">
        <v>35</v>
      </c>
      <c r="AA50" s="52"/>
      <c r="AB50" s="2" t="s">
        <v>145</v>
      </c>
      <c r="AC50" t="str">
        <f>IF(AA50&gt;0,1," ")</f>
        <v> </v>
      </c>
      <c r="AD50" s="2"/>
      <c r="AE50" s="2"/>
      <c r="AF50" s="2"/>
      <c r="AG50" s="2"/>
      <c r="AH50" s="2"/>
      <c r="AI50" s="2"/>
      <c r="AJ50" s="2"/>
      <c r="AK50" s="2"/>
      <c r="AL50" s="2"/>
      <c r="AM50" t="str">
        <f>IF(AA50&gt;0,AA50," ")</f>
        <v> </v>
      </c>
      <c r="AN50" s="2"/>
      <c r="AO50" s="2"/>
      <c r="AR50" s="41"/>
      <c r="AS50" s="41"/>
      <c r="AT50" s="2"/>
      <c r="AU50" s="2"/>
      <c r="CY50" s="52"/>
      <c r="CZ50" s="2" t="s">
        <v>145</v>
      </c>
      <c r="DA50" t="str">
        <f>IF(CY50&gt;0,1," ")</f>
        <v> </v>
      </c>
      <c r="DB50" s="2"/>
      <c r="DC50" s="2"/>
      <c r="DD50" s="2"/>
      <c r="DE50" s="2"/>
      <c r="DF50" s="2"/>
      <c r="DG50" s="2"/>
      <c r="DH50" s="2"/>
      <c r="DI50" s="2"/>
      <c r="DJ50" s="2"/>
      <c r="DK50" t="str">
        <f>IF(CY50&gt;0,CY50," ")</f>
        <v> </v>
      </c>
      <c r="DL50" s="2"/>
      <c r="DM50" s="2"/>
      <c r="DN50" s="20"/>
      <c r="DP50" s="41"/>
      <c r="DQ50" s="41"/>
      <c r="DR50" s="2"/>
      <c r="DS50" s="2"/>
    </row>
    <row r="51" spans="1:121" ht="12.75">
      <c r="A51" s="47" t="str">
        <f t="shared" si="3"/>
        <v> </v>
      </c>
      <c r="B51" s="47" t="str">
        <f t="shared" si="4"/>
        <v> </v>
      </c>
      <c r="M51" t="s">
        <v>223</v>
      </c>
      <c r="AA51" s="52"/>
      <c r="AB51" t="s">
        <v>147</v>
      </c>
      <c r="AD51" t="str">
        <f>IF(AA51&gt;0,1," ")</f>
        <v> </v>
      </c>
      <c r="AG51" t="str">
        <f>IF($AA51&gt;0,1," ")</f>
        <v> </v>
      </c>
      <c r="AM51" t="str">
        <f>IF(AA51&gt;0,AA51," ")</f>
        <v> </v>
      </c>
      <c r="AO51" t="str">
        <f>IF(AA51&gt;0,AA51," ")</f>
        <v> </v>
      </c>
      <c r="AR51" s="10" t="str">
        <f>IF($AA51&gt;0,1," ")</f>
        <v> </v>
      </c>
      <c r="AS51" s="10" t="str">
        <f>IF($AA51&gt;0,AA51," ")</f>
        <v> </v>
      </c>
      <c r="CY51" s="52"/>
      <c r="CZ51" t="s">
        <v>147</v>
      </c>
      <c r="DB51" t="str">
        <f>IF(CY51&gt;0,1," ")</f>
        <v> </v>
      </c>
      <c r="DE51" t="str">
        <f>IF($AA51&gt;0,1," ")</f>
        <v> </v>
      </c>
      <c r="DK51" t="str">
        <f>IF(CY51&gt;0,CY51," ")</f>
        <v> </v>
      </c>
      <c r="DM51" t="str">
        <f>IF(CY51&gt;0,CY51," ")</f>
        <v> </v>
      </c>
      <c r="DN51" s="20"/>
      <c r="DP51" s="10" t="str">
        <f>IF($AA51&gt;0,1," ")</f>
        <v> </v>
      </c>
      <c r="DQ51" s="10" t="str">
        <f>IF($AA51&gt;0,CY51," ")</f>
        <v> </v>
      </c>
    </row>
    <row r="52" spans="1:123" ht="12.75">
      <c r="A52" s="47" t="str">
        <f t="shared" si="3"/>
        <v> </v>
      </c>
      <c r="B52" s="47" t="str">
        <f t="shared" si="4"/>
        <v> </v>
      </c>
      <c r="E52" s="17" t="s">
        <v>298</v>
      </c>
      <c r="F52" s="18"/>
      <c r="G52" s="18"/>
      <c r="H52" s="18"/>
      <c r="I52" s="18"/>
      <c r="J52" s="18"/>
      <c r="K52" s="19"/>
      <c r="M52" t="s">
        <v>105</v>
      </c>
      <c r="AA52" s="52"/>
      <c r="AB52" s="2" t="s">
        <v>149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R52" s="41"/>
      <c r="AS52" s="41"/>
      <c r="AT52" s="2"/>
      <c r="AU52" s="2"/>
      <c r="CY52" s="52"/>
      <c r="CZ52" s="2" t="s">
        <v>149</v>
      </c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0"/>
      <c r="DP52" s="41"/>
      <c r="DQ52" s="41"/>
      <c r="DR52" s="2"/>
      <c r="DS52" s="2"/>
    </row>
    <row r="53" spans="1:123" ht="12.75">
      <c r="A53" s="47" t="str">
        <f t="shared" si="3"/>
        <v> </v>
      </c>
      <c r="B53" s="47" t="str">
        <f t="shared" si="4"/>
        <v> </v>
      </c>
      <c r="E53" s="20" t="s">
        <v>289</v>
      </c>
      <c r="F53" s="21"/>
      <c r="G53" s="21"/>
      <c r="H53" s="21"/>
      <c r="I53" s="21"/>
      <c r="J53" s="21">
        <f>(BA179)</f>
        <v>0</v>
      </c>
      <c r="K53" s="22"/>
      <c r="M53" t="s">
        <v>130</v>
      </c>
      <c r="AA53" s="52"/>
      <c r="AB53" s="2" t="s">
        <v>151</v>
      </c>
      <c r="AC53" s="2"/>
      <c r="AD53" s="2"/>
      <c r="AE53" s="2"/>
      <c r="AF53" s="2"/>
      <c r="AG53" t="str">
        <f>IF($AA53&gt;0,1," ")</f>
        <v> </v>
      </c>
      <c r="AH53" s="2"/>
      <c r="AI53" s="2"/>
      <c r="AJ53" s="2"/>
      <c r="AK53" s="2"/>
      <c r="AL53" s="2"/>
      <c r="AM53" t="str">
        <f>IF(AA53&gt;0,AA53," ")</f>
        <v> </v>
      </c>
      <c r="AN53" s="2"/>
      <c r="AO53" s="2"/>
      <c r="AR53" s="10" t="str">
        <f>IF($AA53&gt;0,1," ")</f>
        <v> </v>
      </c>
      <c r="AS53" s="10" t="str">
        <f>IF($AA53&gt;0,AA53," ")</f>
        <v> </v>
      </c>
      <c r="AT53" s="2"/>
      <c r="AU53" s="2"/>
      <c r="CY53" s="52"/>
      <c r="CZ53" s="2" t="s">
        <v>151</v>
      </c>
      <c r="DA53" s="2"/>
      <c r="DB53" s="2"/>
      <c r="DC53" s="2"/>
      <c r="DD53" s="2"/>
      <c r="DE53" t="str">
        <f>IF($AA53&gt;0,1," ")</f>
        <v> </v>
      </c>
      <c r="DF53" s="2"/>
      <c r="DG53" s="2"/>
      <c r="DH53" s="2"/>
      <c r="DI53" s="2"/>
      <c r="DJ53" s="2"/>
      <c r="DK53" t="str">
        <f>IF(CY53&gt;0,CY53," ")</f>
        <v> </v>
      </c>
      <c r="DL53" s="2"/>
      <c r="DM53" s="2"/>
      <c r="DN53" s="20"/>
      <c r="DP53" s="10" t="str">
        <f>IF($AA53&gt;0,1," ")</f>
        <v> </v>
      </c>
      <c r="DQ53" s="10" t="str">
        <f>IF($AA53&gt;0,CY53," ")</f>
        <v> </v>
      </c>
      <c r="DR53" s="2"/>
      <c r="DS53" s="2"/>
    </row>
    <row r="54" spans="1:131" ht="12.75">
      <c r="A54" s="47" t="str">
        <f t="shared" si="3"/>
        <v> </v>
      </c>
      <c r="B54" s="47" t="str">
        <f t="shared" si="4"/>
        <v> </v>
      </c>
      <c r="E54" s="36" t="s">
        <v>290</v>
      </c>
      <c r="F54" s="21"/>
      <c r="G54" s="21"/>
      <c r="H54" s="21"/>
      <c r="I54" s="21"/>
      <c r="J54" s="21">
        <f>(BA181)</f>
        <v>0</v>
      </c>
      <c r="K54" s="22"/>
      <c r="M54" t="s">
        <v>159</v>
      </c>
      <c r="AA54" s="52"/>
      <c r="AB54" t="s">
        <v>153</v>
      </c>
      <c r="AM54" t="str">
        <f>IF(AA54&gt;0,AA54," ")</f>
        <v> </v>
      </c>
      <c r="AO54" t="str">
        <f>IF(AA54&gt;0,AA54," ")</f>
        <v> </v>
      </c>
      <c r="AR54" s="10"/>
      <c r="AS54" s="10"/>
      <c r="BC54" t="str">
        <f>IF($AA54&gt;0,$AA54," ")</f>
        <v> </v>
      </c>
      <c r="CY54" s="52"/>
      <c r="CZ54" t="s">
        <v>153</v>
      </c>
      <c r="DK54" t="str">
        <f>IF(CY54&gt;0,CY54," ")</f>
        <v> </v>
      </c>
      <c r="DM54" t="str">
        <f>IF(CY54&gt;0,CY54," ")</f>
        <v> </v>
      </c>
      <c r="DN54" s="20"/>
      <c r="DP54" s="10"/>
      <c r="DQ54" s="10"/>
      <c r="EA54" t="str">
        <f>IF($AA54&gt;0,$AA54," ")</f>
        <v> </v>
      </c>
    </row>
    <row r="55" spans="1:131" ht="12.75">
      <c r="A55" s="47" t="str">
        <f t="shared" si="3"/>
        <v> </v>
      </c>
      <c r="B55" s="47" t="str">
        <f t="shared" si="4"/>
        <v> </v>
      </c>
      <c r="E55" s="20" t="s">
        <v>295</v>
      </c>
      <c r="F55" s="21"/>
      <c r="G55" s="21"/>
      <c r="H55" s="21"/>
      <c r="I55" s="21"/>
      <c r="J55" s="54">
        <f>ROUND((BA181/AA176)*100,0)</f>
        <v>0</v>
      </c>
      <c r="K55" s="22" t="s">
        <v>252</v>
      </c>
      <c r="M55" t="s">
        <v>120</v>
      </c>
      <c r="AA55" s="52"/>
      <c r="AB55" t="s">
        <v>155</v>
      </c>
      <c r="AD55" t="str">
        <f>IF(AA55&gt;0,1," ")</f>
        <v> </v>
      </c>
      <c r="AM55" t="str">
        <f>IF(AA55&gt;0,AA55," ")</f>
        <v> </v>
      </c>
      <c r="AP55" s="36"/>
      <c r="AQ55" s="2"/>
      <c r="AR55" s="10"/>
      <c r="AS55" s="10"/>
      <c r="AW55" s="2"/>
      <c r="AX55" s="2"/>
      <c r="BC55" t="str">
        <f>IF($AA55&gt;0,$AA55," ")</f>
        <v> </v>
      </c>
      <c r="CU55" s="2"/>
      <c r="CV55" s="2"/>
      <c r="CY55" s="52"/>
      <c r="CZ55" t="s">
        <v>155</v>
      </c>
      <c r="DB55" t="str">
        <f>IF(CY55&gt;0,1," ")</f>
        <v> </v>
      </c>
      <c r="DK55" t="str">
        <f>IF(CY55&gt;0,CY55," ")</f>
        <v> </v>
      </c>
      <c r="DN55" s="36"/>
      <c r="DO55" s="2"/>
      <c r="DP55" s="10"/>
      <c r="DQ55" s="10"/>
      <c r="DU55" s="2"/>
      <c r="DV55" s="2"/>
      <c r="EA55" t="str">
        <f>IF($AA55&gt;0,$AA55," ")</f>
        <v> </v>
      </c>
    </row>
    <row r="56" spans="1:131" ht="12.75">
      <c r="A56" s="47" t="str">
        <f t="shared" si="3"/>
        <v> </v>
      </c>
      <c r="B56" s="47" t="str">
        <f t="shared" si="4"/>
        <v> </v>
      </c>
      <c r="E56" s="58" t="s">
        <v>336</v>
      </c>
      <c r="F56" s="31"/>
      <c r="G56" s="31"/>
      <c r="H56" s="31"/>
      <c r="I56" s="31"/>
      <c r="J56" s="52"/>
      <c r="K56" s="32" t="s">
        <v>335</v>
      </c>
      <c r="M56" t="s">
        <v>95</v>
      </c>
      <c r="AA56" s="52"/>
      <c r="AB56" t="s">
        <v>157</v>
      </c>
      <c r="AH56" t="str">
        <f>IF(AA56&gt;0,AA56," ")</f>
        <v> </v>
      </c>
      <c r="AN56" t="str">
        <f>IF(AA56&gt;0,AA56," ")</f>
        <v> </v>
      </c>
      <c r="AP56" s="20" t="str">
        <f>IF($AA56&gt;0,$AA56," ")</f>
        <v> </v>
      </c>
      <c r="AR56" s="10"/>
      <c r="AS56" s="10"/>
      <c r="BC56" t="str">
        <f>IF($AA56&gt;0,$AA56," ")</f>
        <v> </v>
      </c>
      <c r="CY56" s="52"/>
      <c r="CZ56" t="s">
        <v>157</v>
      </c>
      <c r="DF56" t="str">
        <f>IF(CY56&gt;0,CY56," ")</f>
        <v> </v>
      </c>
      <c r="DL56" t="str">
        <f>IF(CY56&gt;0,CY56," ")</f>
        <v> </v>
      </c>
      <c r="DN56" s="20" t="str">
        <f>IF($AA56&gt;0,$AA56," ")</f>
        <v> </v>
      </c>
      <c r="DP56" s="10"/>
      <c r="DQ56" s="10"/>
      <c r="EA56" t="str">
        <f>IF($AA56&gt;0,$AA56," ")</f>
        <v> </v>
      </c>
    </row>
    <row r="57" spans="1:130" ht="12.75">
      <c r="A57" s="47" t="str">
        <f t="shared" si="3"/>
        <v> </v>
      </c>
      <c r="B57" s="47" t="str">
        <f t="shared" si="4"/>
        <v> </v>
      </c>
      <c r="M57" t="s">
        <v>119</v>
      </c>
      <c r="AA57" s="52"/>
      <c r="AB57" t="s">
        <v>159</v>
      </c>
      <c r="AM57" t="str">
        <f>IF(AA57&gt;0,AA57," ")</f>
        <v> </v>
      </c>
      <c r="AR57" s="10"/>
      <c r="AS57" s="10"/>
      <c r="BB57" t="str">
        <f>IF($AA57&gt;0,$AA57," ")</f>
        <v> </v>
      </c>
      <c r="CY57" s="52"/>
      <c r="CZ57" t="s">
        <v>159</v>
      </c>
      <c r="DK57" t="str">
        <f>IF(CY57&gt;0,CY57," ")</f>
        <v> </v>
      </c>
      <c r="DN57" s="20"/>
      <c r="DP57" s="10"/>
      <c r="DQ57" s="10"/>
      <c r="DZ57" t="str">
        <f>IF($AA57&gt;0,$AA57," ")</f>
        <v> </v>
      </c>
    </row>
    <row r="58" spans="1:123" ht="12.75">
      <c r="A58" s="47" t="str">
        <f t="shared" si="3"/>
        <v> </v>
      </c>
      <c r="B58" s="47" t="str">
        <f t="shared" si="4"/>
        <v> </v>
      </c>
      <c r="E58" s="17" t="s">
        <v>297</v>
      </c>
      <c r="F58" s="18"/>
      <c r="G58" s="18"/>
      <c r="H58" s="18"/>
      <c r="I58" s="18"/>
      <c r="J58" s="18"/>
      <c r="K58" s="19"/>
      <c r="AA58" s="52"/>
      <c r="AB58" t="s">
        <v>161</v>
      </c>
      <c r="AL58" t="str">
        <f>IF(AA58&gt;0,AA58," ")</f>
        <v> </v>
      </c>
      <c r="AR58" s="10"/>
      <c r="AS58" s="10"/>
      <c r="AT58" t="str">
        <f>IF(AA58&gt;0,AA58," ")</f>
        <v> </v>
      </c>
      <c r="AU58" t="str">
        <f>IF($AA58*(100/$I$8)&gt;1.99,$AA58," ")</f>
        <v> </v>
      </c>
      <c r="CY58" s="52"/>
      <c r="CZ58" t="s">
        <v>161</v>
      </c>
      <c r="DJ58" t="str">
        <f>IF(CY58&gt;0,CY58," ")</f>
        <v> </v>
      </c>
      <c r="DN58" s="20"/>
      <c r="DP58" s="10"/>
      <c r="DQ58" s="10"/>
      <c r="DR58" t="str">
        <f>IF(CY58&gt;0,CY58," ")</f>
        <v> </v>
      </c>
      <c r="DS58" t="str">
        <f>IF($AA58*(100/$I$8)&gt;1.99,$AA58," ")</f>
        <v> </v>
      </c>
    </row>
    <row r="59" spans="1:123" ht="12.75">
      <c r="A59" s="47" t="str">
        <f t="shared" si="3"/>
        <v> </v>
      </c>
      <c r="B59" s="47" t="str">
        <f t="shared" si="4"/>
        <v> </v>
      </c>
      <c r="E59" s="20" t="s">
        <v>303</v>
      </c>
      <c r="F59" s="21"/>
      <c r="G59" s="21"/>
      <c r="H59" s="21"/>
      <c r="I59" s="21"/>
      <c r="J59" s="21">
        <f>(BA183)</f>
        <v>0</v>
      </c>
      <c r="K59" s="22"/>
      <c r="M59" s="12" t="s">
        <v>351</v>
      </c>
      <c r="AA59" s="52"/>
      <c r="AB59" s="2" t="s">
        <v>163</v>
      </c>
      <c r="AC59" s="2"/>
      <c r="AD59" s="2"/>
      <c r="AE59" s="2"/>
      <c r="AF59" s="2"/>
      <c r="AH59" s="2"/>
      <c r="AI59" s="2"/>
      <c r="AJ59" s="2"/>
      <c r="AK59" s="2"/>
      <c r="AL59" s="2"/>
      <c r="AM59" t="str">
        <f>IF(AA59&gt;0,AA59," ")</f>
        <v> </v>
      </c>
      <c r="AN59" s="2"/>
      <c r="AO59" s="2"/>
      <c r="AR59" s="10"/>
      <c r="AS59" s="10"/>
      <c r="AT59" s="2"/>
      <c r="AU59" s="2"/>
      <c r="CY59" s="52"/>
      <c r="CZ59" s="2" t="s">
        <v>163</v>
      </c>
      <c r="DA59" s="2"/>
      <c r="DB59" s="2"/>
      <c r="DC59" s="2"/>
      <c r="DD59" s="2"/>
      <c r="DF59" s="2"/>
      <c r="DG59" s="2"/>
      <c r="DH59" s="2"/>
      <c r="DI59" s="2"/>
      <c r="DJ59" s="2"/>
      <c r="DK59" t="str">
        <f>IF(CY59&gt;0,CY59," ")</f>
        <v> </v>
      </c>
      <c r="DL59" s="2"/>
      <c r="DM59" s="2"/>
      <c r="DN59" s="20"/>
      <c r="DP59" s="10"/>
      <c r="DQ59" s="10"/>
      <c r="DR59" s="2"/>
      <c r="DS59" s="2"/>
    </row>
    <row r="60" spans="1:123" ht="12.75">
      <c r="A60" s="47" t="str">
        <f t="shared" si="3"/>
        <v> </v>
      </c>
      <c r="B60" s="47" t="str">
        <f t="shared" si="4"/>
        <v> </v>
      </c>
      <c r="E60" s="36" t="s">
        <v>304</v>
      </c>
      <c r="F60" s="21"/>
      <c r="G60" s="21"/>
      <c r="H60" s="21"/>
      <c r="I60" s="21"/>
      <c r="J60" s="21">
        <f>(BA185)</f>
        <v>0</v>
      </c>
      <c r="K60" s="22"/>
      <c r="M60" s="48" t="s">
        <v>346</v>
      </c>
      <c r="AA60" s="52"/>
      <c r="AB60" s="2" t="s">
        <v>166</v>
      </c>
      <c r="AC60" s="2"/>
      <c r="AD60" s="2"/>
      <c r="AE60" s="2"/>
      <c r="AF60" s="2"/>
      <c r="AG60" t="str">
        <f>IF($AA60&gt;0,1," ")</f>
        <v> </v>
      </c>
      <c r="AH60" s="2"/>
      <c r="AI60" s="2"/>
      <c r="AJ60" s="2"/>
      <c r="AK60" s="2"/>
      <c r="AL60" s="2"/>
      <c r="AM60" t="str">
        <f>IF(AA60&gt;0,AA60," ")</f>
        <v> </v>
      </c>
      <c r="AN60" s="2"/>
      <c r="AO60" s="2"/>
      <c r="AR60" s="10" t="str">
        <f>IF($AA60&gt;0,1," ")</f>
        <v> </v>
      </c>
      <c r="AS60" s="10" t="str">
        <f>IF($AA60&gt;0,AA60," ")</f>
        <v> </v>
      </c>
      <c r="AT60" s="2"/>
      <c r="AU60" s="2"/>
      <c r="CY60" s="52"/>
      <c r="CZ60" s="2" t="s">
        <v>166</v>
      </c>
      <c r="DA60" s="2"/>
      <c r="DB60" s="2"/>
      <c r="DC60" s="2"/>
      <c r="DD60" s="2"/>
      <c r="DE60" t="str">
        <f>IF($AA60&gt;0,1," ")</f>
        <v> </v>
      </c>
      <c r="DF60" s="2"/>
      <c r="DG60" s="2"/>
      <c r="DH60" s="2"/>
      <c r="DI60" s="2"/>
      <c r="DJ60" s="2"/>
      <c r="DK60" t="str">
        <f>IF(CY60&gt;0,CY60," ")</f>
        <v> </v>
      </c>
      <c r="DL60" s="2"/>
      <c r="DM60" s="2"/>
      <c r="DN60" s="20"/>
      <c r="DP60" s="10" t="str">
        <f>IF($AA60&gt;0,1," ")</f>
        <v> </v>
      </c>
      <c r="DQ60" s="10" t="str">
        <f>IF($AA60&gt;0,CY60," ")</f>
        <v> </v>
      </c>
      <c r="DR60" s="2"/>
      <c r="DS60" s="2"/>
    </row>
    <row r="61" spans="1:121" ht="12.75">
      <c r="A61" s="47" t="str">
        <f t="shared" si="3"/>
        <v> </v>
      </c>
      <c r="B61" s="47" t="str">
        <f t="shared" si="4"/>
        <v> </v>
      </c>
      <c r="E61" s="20" t="s">
        <v>307</v>
      </c>
      <c r="F61" s="21"/>
      <c r="G61" s="21"/>
      <c r="H61" s="21"/>
      <c r="I61" s="21"/>
      <c r="J61" s="21">
        <f>ROUND((BA185/AA176)*100,0)</f>
        <v>0</v>
      </c>
      <c r="K61" s="22" t="s">
        <v>252</v>
      </c>
      <c r="M61" t="s">
        <v>347</v>
      </c>
      <c r="AA61" s="52"/>
      <c r="AB61" t="s">
        <v>169</v>
      </c>
      <c r="AD61" t="str">
        <f>IF(AA61&gt;0,1," ")</f>
        <v> </v>
      </c>
      <c r="AG61" t="str">
        <f>IF($AA61&gt;0,1," ")</f>
        <v> </v>
      </c>
      <c r="AM61" t="str">
        <f>IF(AA61&gt;0,AA61," ")</f>
        <v> </v>
      </c>
      <c r="AO61" t="str">
        <f>IF(AA61&gt;0,AA61," ")</f>
        <v> </v>
      </c>
      <c r="AR61" s="10" t="str">
        <f>IF($AA61&gt;0,1," ")</f>
        <v> </v>
      </c>
      <c r="AS61" s="10" t="str">
        <f>IF($AA61&gt;0,1," ")</f>
        <v> </v>
      </c>
      <c r="CY61" s="52"/>
      <c r="CZ61" t="s">
        <v>169</v>
      </c>
      <c r="DB61" t="str">
        <f>IF(CY61&gt;0,1," ")</f>
        <v> </v>
      </c>
      <c r="DE61" t="str">
        <f>IF($AA61&gt;0,1," ")</f>
        <v> </v>
      </c>
      <c r="DK61" t="str">
        <f>IF(CY61&gt;0,CY61," ")</f>
        <v> </v>
      </c>
      <c r="DM61" t="str">
        <f>IF(CY61&gt;0,CY61," ")</f>
        <v> </v>
      </c>
      <c r="DN61" s="20"/>
      <c r="DP61" s="10" t="str">
        <f>IF($AA61&gt;0,1," ")</f>
        <v> </v>
      </c>
      <c r="DQ61" s="10" t="str">
        <f>IF($AA61&gt;0,1," ")</f>
        <v> </v>
      </c>
    </row>
    <row r="62" spans="1:123" ht="12.75">
      <c r="A62" s="47" t="str">
        <f t="shared" si="3"/>
        <v> </v>
      </c>
      <c r="B62" s="47" t="str">
        <f t="shared" si="4"/>
        <v> </v>
      </c>
      <c r="E62" s="71" t="s">
        <v>358</v>
      </c>
      <c r="F62" s="18"/>
      <c r="G62" s="18"/>
      <c r="H62" s="18"/>
      <c r="I62" s="18"/>
      <c r="J62" s="18">
        <f>(BA187)</f>
        <v>0</v>
      </c>
      <c r="K62" s="19"/>
      <c r="M62" t="s">
        <v>348</v>
      </c>
      <c r="N62" t="s">
        <v>349</v>
      </c>
      <c r="AA62" s="52"/>
      <c r="AB62" s="2" t="s">
        <v>174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R62" s="41"/>
      <c r="AS62" s="41"/>
      <c r="AT62" s="2"/>
      <c r="AU62" s="2"/>
      <c r="CY62" s="52"/>
      <c r="CZ62" s="2" t="s">
        <v>174</v>
      </c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0"/>
      <c r="DP62" s="41"/>
      <c r="DQ62" s="41"/>
      <c r="DR62" s="2"/>
      <c r="DS62" s="2"/>
    </row>
    <row r="63" spans="1:131" ht="12.75">
      <c r="A63" s="47" t="str">
        <f t="shared" si="3"/>
        <v> </v>
      </c>
      <c r="B63" s="47" t="str">
        <f t="shared" si="4"/>
        <v> </v>
      </c>
      <c r="E63" s="36" t="s">
        <v>359</v>
      </c>
      <c r="F63" s="21"/>
      <c r="G63" s="21"/>
      <c r="H63" s="21"/>
      <c r="I63" s="21"/>
      <c r="J63" s="21">
        <f>(BA189)</f>
        <v>0</v>
      </c>
      <c r="K63" s="22"/>
      <c r="M63" t="s">
        <v>350</v>
      </c>
      <c r="AA63" s="52"/>
      <c r="AB63" t="s">
        <v>180</v>
      </c>
      <c r="AC63" t="str">
        <f>IF(AA63&gt;0,1," ")</f>
        <v> </v>
      </c>
      <c r="AM63" t="str">
        <f>IF(AA63&gt;0,AA63," ")</f>
        <v> </v>
      </c>
      <c r="AO63" t="str">
        <f>IF(AA63&gt;0,AA63," ")</f>
        <v> </v>
      </c>
      <c r="AR63" s="10"/>
      <c r="AS63" s="10"/>
      <c r="BC63" t="str">
        <f>IF($AA63&gt;0,$AA63," ")</f>
        <v> </v>
      </c>
      <c r="CY63" s="52"/>
      <c r="CZ63" t="s">
        <v>180</v>
      </c>
      <c r="DA63" t="str">
        <f>IF(CY63&gt;0,1," ")</f>
        <v> </v>
      </c>
      <c r="DK63" t="str">
        <f>IF(CY63&gt;0,CY63," ")</f>
        <v> </v>
      </c>
      <c r="DM63" t="str">
        <f>IF(CY63&gt;0,CY63," ")</f>
        <v> </v>
      </c>
      <c r="DN63" s="20"/>
      <c r="DP63" s="10"/>
      <c r="DQ63" s="10"/>
      <c r="EA63" t="str">
        <f>IF($AA63&gt;0,$AA63," ")</f>
        <v> </v>
      </c>
    </row>
    <row r="64" spans="1:131" ht="12.75">
      <c r="A64" s="47" t="str">
        <f t="shared" si="3"/>
        <v> </v>
      </c>
      <c r="B64" s="47" t="str">
        <f t="shared" si="4"/>
        <v> </v>
      </c>
      <c r="E64" s="37" t="s">
        <v>360</v>
      </c>
      <c r="F64" s="31"/>
      <c r="G64" s="31"/>
      <c r="H64" s="31"/>
      <c r="I64" s="31"/>
      <c r="J64" s="72">
        <f>ROUND((BA189/AA176)*100,0)</f>
        <v>0</v>
      </c>
      <c r="K64" s="32" t="s">
        <v>252</v>
      </c>
      <c r="AA64" s="52"/>
      <c r="AB64" t="s">
        <v>182</v>
      </c>
      <c r="AH64" t="str">
        <f>IF(AA64&gt;0,AA64," ")</f>
        <v> </v>
      </c>
      <c r="AN64" t="str">
        <f>IF(AA64&gt;0,AA64," ")</f>
        <v> </v>
      </c>
      <c r="AP64" s="20" t="str">
        <f>IF($AA64&gt;0,$AA64," ")</f>
        <v> </v>
      </c>
      <c r="AR64" s="10"/>
      <c r="AS64" s="10"/>
      <c r="BC64" t="str">
        <f>IF($AA64&gt;0,$AA64," ")</f>
        <v> </v>
      </c>
      <c r="CY64" s="52"/>
      <c r="CZ64" t="s">
        <v>182</v>
      </c>
      <c r="DF64" t="str">
        <f>IF(CY64&gt;0,CY64," ")</f>
        <v> </v>
      </c>
      <c r="DL64" t="str">
        <f>IF(CY64&gt;0,CY64," ")</f>
        <v> </v>
      </c>
      <c r="DN64" s="20" t="str">
        <f>IF($AA64&gt;0,$AA64," ")</f>
        <v> </v>
      </c>
      <c r="DP64" s="10"/>
      <c r="DQ64" s="10"/>
      <c r="EA64" t="str">
        <f>IF($AA64&gt;0,$AA64," ")</f>
        <v> </v>
      </c>
    </row>
    <row r="65" spans="1:123" ht="12.75">
      <c r="A65" s="47" t="str">
        <f t="shared" si="3"/>
        <v> </v>
      </c>
      <c r="B65" s="47" t="str">
        <f t="shared" si="4"/>
        <v> </v>
      </c>
      <c r="AA65" s="52"/>
      <c r="AB65" s="2" t="s">
        <v>184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t="str">
        <f>IF(AA65&gt;0,AA65," ")</f>
        <v> </v>
      </c>
      <c r="AN65" s="2"/>
      <c r="AO65" s="2"/>
      <c r="AR65" s="41"/>
      <c r="AS65" s="41"/>
      <c r="AT65" s="2"/>
      <c r="AU65" s="2"/>
      <c r="CY65" s="52"/>
      <c r="CZ65" s="2" t="s">
        <v>184</v>
      </c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t="str">
        <f>IF(CY65&gt;0,CY65," ")</f>
        <v> </v>
      </c>
      <c r="DL65" s="2"/>
      <c r="DM65" s="2"/>
      <c r="DN65" s="20"/>
      <c r="DP65" s="41"/>
      <c r="DQ65" s="41"/>
      <c r="DR65" s="2"/>
      <c r="DS65" s="2"/>
    </row>
    <row r="66" spans="1:121" ht="12.75">
      <c r="A66" s="47" t="str">
        <f t="shared" si="3"/>
        <v> </v>
      </c>
      <c r="B66" s="47" t="str">
        <f t="shared" si="4"/>
        <v> </v>
      </c>
      <c r="E66" s="17" t="s">
        <v>343</v>
      </c>
      <c r="F66" s="18"/>
      <c r="G66" s="18"/>
      <c r="H66" s="18"/>
      <c r="I66" s="18"/>
      <c r="J66" s="18"/>
      <c r="K66" s="19"/>
      <c r="AA66" s="52"/>
      <c r="AB66" t="s">
        <v>190</v>
      </c>
      <c r="AE66" t="str">
        <f>IF(AA66&gt;0,1," ")</f>
        <v> </v>
      </c>
      <c r="AH66" t="str">
        <f>IF(AA66&gt;0,AA66," ")</f>
        <v> </v>
      </c>
      <c r="AN66" t="str">
        <f>IF(AA66&gt;0,AA66," ")</f>
        <v> </v>
      </c>
      <c r="AP66" s="20" t="str">
        <f>IF($AA66&gt;0,$AA66," ")</f>
        <v> </v>
      </c>
      <c r="AR66" s="10"/>
      <c r="AS66" s="10"/>
      <c r="CY66" s="52"/>
      <c r="CZ66" t="s">
        <v>190</v>
      </c>
      <c r="DC66" t="str">
        <f>IF(CY66&gt;0,1," ")</f>
        <v> </v>
      </c>
      <c r="DF66" t="str">
        <f>IF(CY66&gt;0,CY66," ")</f>
        <v> </v>
      </c>
      <c r="DL66" t="str">
        <f>IF(CY66&gt;0,CY66," ")</f>
        <v> </v>
      </c>
      <c r="DN66" s="20" t="str">
        <f>IF($AA66&gt;0,$AA66," ")</f>
        <v> </v>
      </c>
      <c r="DP66" s="10"/>
      <c r="DQ66" s="10"/>
    </row>
    <row r="67" spans="1:123" ht="12.75">
      <c r="A67" s="47" t="str">
        <f t="shared" si="3"/>
        <v> </v>
      </c>
      <c r="B67" s="47" t="str">
        <f t="shared" si="4"/>
        <v> </v>
      </c>
      <c r="E67" s="20" t="s">
        <v>344</v>
      </c>
      <c r="F67" s="21"/>
      <c r="G67" s="21"/>
      <c r="H67" s="21"/>
      <c r="I67" s="21"/>
      <c r="J67" s="50">
        <v>39706</v>
      </c>
      <c r="K67" s="22"/>
      <c r="AA67" s="52"/>
      <c r="AB67" s="2" t="s">
        <v>192</v>
      </c>
      <c r="AC67" s="2"/>
      <c r="AD67" s="2"/>
      <c r="AE67" t="str">
        <f>IF(AA67&gt;0,1," ")</f>
        <v> 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R67" s="41"/>
      <c r="AS67" s="41"/>
      <c r="AT67" s="2"/>
      <c r="AU67" s="2"/>
      <c r="CY67" s="52"/>
      <c r="CZ67" s="2" t="s">
        <v>192</v>
      </c>
      <c r="DA67" s="2"/>
      <c r="DB67" s="2"/>
      <c r="DC67" t="str">
        <f>IF(CY67&gt;0,1," ")</f>
        <v> </v>
      </c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0"/>
      <c r="DP67" s="41"/>
      <c r="DQ67" s="41"/>
      <c r="DR67" s="2"/>
      <c r="DS67" s="2"/>
    </row>
    <row r="68" spans="1:121" ht="12.75">
      <c r="A68" s="47" t="str">
        <f t="shared" si="3"/>
        <v> </v>
      </c>
      <c r="B68" s="47" t="str">
        <f t="shared" si="4"/>
        <v> </v>
      </c>
      <c r="E68" s="20" t="s">
        <v>321</v>
      </c>
      <c r="F68" s="21"/>
      <c r="G68" s="21"/>
      <c r="H68" s="21"/>
      <c r="I68" s="52">
        <v>9.984</v>
      </c>
      <c r="J68" s="51" t="s">
        <v>369</v>
      </c>
      <c r="K68" s="22"/>
      <c r="AA68" s="52"/>
      <c r="AB68" t="s">
        <v>194</v>
      </c>
      <c r="AL68" t="str">
        <f>IF(AA68&gt;0,AA68," ")</f>
        <v> </v>
      </c>
      <c r="AR68" s="10"/>
      <c r="AS68" s="10"/>
      <c r="CY68" s="52"/>
      <c r="CZ68" t="s">
        <v>194</v>
      </c>
      <c r="DJ68" t="str">
        <f>IF(CY68&gt;0,CY68," ")</f>
        <v> </v>
      </c>
      <c r="DN68" s="20"/>
      <c r="DP68" s="10"/>
      <c r="DQ68" s="10"/>
    </row>
    <row r="69" spans="1:126" ht="12.75">
      <c r="A69" s="47" t="str">
        <f t="shared" si="3"/>
        <v> </v>
      </c>
      <c r="B69" s="47" t="str">
        <f t="shared" si="4"/>
        <v> </v>
      </c>
      <c r="E69" s="20" t="s">
        <v>338</v>
      </c>
      <c r="F69" s="21"/>
      <c r="G69" s="21"/>
      <c r="H69" s="21"/>
      <c r="I69" s="21"/>
      <c r="J69" s="52">
        <v>1</v>
      </c>
      <c r="K69" s="22"/>
      <c r="AA69" s="52"/>
      <c r="AB69" s="2" t="s">
        <v>198</v>
      </c>
      <c r="AC69" s="2"/>
      <c r="AD69" s="2"/>
      <c r="AE69" s="2"/>
      <c r="AF69" s="2"/>
      <c r="AG69" t="str">
        <f>IF($AA69&gt;0,1," ")</f>
        <v> </v>
      </c>
      <c r="AH69" s="2"/>
      <c r="AI69" s="2"/>
      <c r="AJ69" s="2"/>
      <c r="AK69" s="2"/>
      <c r="AL69" s="2"/>
      <c r="AM69" t="str">
        <f>IF(AA69&gt;0,AA69," ")</f>
        <v> </v>
      </c>
      <c r="AN69" s="2"/>
      <c r="AO69" t="str">
        <f>IF(AA69&gt;0,AA69," ")</f>
        <v> </v>
      </c>
      <c r="AP69" s="36"/>
      <c r="AQ69" s="2"/>
      <c r="AR69" s="10" t="str">
        <f>IF($AA69&gt;0,1," ")</f>
        <v> </v>
      </c>
      <c r="AS69" s="10" t="str">
        <f>IF($AA69&gt;0,AA69," ")</f>
        <v> </v>
      </c>
      <c r="AT69" s="2"/>
      <c r="AU69" s="2"/>
      <c r="AW69" s="2"/>
      <c r="AX69" s="2"/>
      <c r="CU69" s="2"/>
      <c r="CV69" s="2"/>
      <c r="CY69" s="52"/>
      <c r="CZ69" s="2" t="s">
        <v>198</v>
      </c>
      <c r="DA69" s="2"/>
      <c r="DB69" s="2"/>
      <c r="DC69" s="2"/>
      <c r="DD69" s="2"/>
      <c r="DE69" t="str">
        <f>IF($AA69&gt;0,1," ")</f>
        <v> </v>
      </c>
      <c r="DF69" s="2"/>
      <c r="DG69" s="2"/>
      <c r="DH69" s="2"/>
      <c r="DI69" s="2"/>
      <c r="DJ69" s="2"/>
      <c r="DK69" t="str">
        <f>IF(CY69&gt;0,CY69," ")</f>
        <v> </v>
      </c>
      <c r="DL69" s="2"/>
      <c r="DM69" t="str">
        <f>IF(CY69&gt;0,CY69," ")</f>
        <v> </v>
      </c>
      <c r="DN69" s="36"/>
      <c r="DO69" s="2"/>
      <c r="DP69" s="10" t="str">
        <f>IF($AA69&gt;0,1," ")</f>
        <v> </v>
      </c>
      <c r="DQ69" s="10" t="str">
        <f>IF($AA69&gt;0,CY69," ")</f>
        <v> </v>
      </c>
      <c r="DR69" s="2"/>
      <c r="DS69" s="2"/>
      <c r="DU69" s="2"/>
      <c r="DV69" s="2"/>
    </row>
    <row r="70" spans="1:131" ht="12.75">
      <c r="A70" s="47" t="str">
        <f t="shared" si="3"/>
        <v> </v>
      </c>
      <c r="B70" s="47" t="str">
        <f t="shared" si="4"/>
        <v> </v>
      </c>
      <c r="E70" s="20" t="s">
        <v>339</v>
      </c>
      <c r="F70" s="21"/>
      <c r="G70" s="21"/>
      <c r="H70" s="21"/>
      <c r="I70" s="21"/>
      <c r="J70" s="52">
        <v>0</v>
      </c>
      <c r="K70" s="22"/>
      <c r="AA70" s="52"/>
      <c r="AB70" t="s">
        <v>200</v>
      </c>
      <c r="AC70" t="str">
        <f>IF(AA70&gt;0,1," ")</f>
        <v> </v>
      </c>
      <c r="AG70" t="str">
        <f>IF($AA70&gt;0,1," ")</f>
        <v> </v>
      </c>
      <c r="AM70" t="str">
        <f>IF(AA70&gt;0,AA70," ")</f>
        <v> </v>
      </c>
      <c r="AO70" t="str">
        <f>IF(AA70&gt;0,AA70," ")</f>
        <v> </v>
      </c>
      <c r="AP70" s="36"/>
      <c r="AQ70" s="2"/>
      <c r="AR70" s="10" t="str">
        <f>IF($AA70&gt;0,1," ")</f>
        <v> </v>
      </c>
      <c r="AS70" s="10" t="str">
        <f>IF($AA70&gt;0,1," ")</f>
        <v> </v>
      </c>
      <c r="AW70" s="2"/>
      <c r="AX70" s="2"/>
      <c r="BC70" t="str">
        <f>IF($AA70&gt;0,$AA70," ")</f>
        <v> </v>
      </c>
      <c r="CU70" s="2"/>
      <c r="CV70" s="2"/>
      <c r="CY70" s="52"/>
      <c r="CZ70" t="s">
        <v>200</v>
      </c>
      <c r="DA70" t="str">
        <f>IF(CY70&gt;0,1," ")</f>
        <v> </v>
      </c>
      <c r="DE70" t="str">
        <f>IF($AA70&gt;0,1," ")</f>
        <v> </v>
      </c>
      <c r="DK70" t="str">
        <f>IF(CY70&gt;0,CY70," ")</f>
        <v> </v>
      </c>
      <c r="DM70" t="str">
        <f>IF(CY70&gt;0,CY70," ")</f>
        <v> </v>
      </c>
      <c r="DN70" s="36"/>
      <c r="DO70" s="2"/>
      <c r="DP70" s="10" t="str">
        <f>IF($AA70&gt;0,1," ")</f>
        <v> </v>
      </c>
      <c r="DQ70" s="10" t="str">
        <f>IF($AA70&gt;0,1," ")</f>
        <v> </v>
      </c>
      <c r="DU70" s="2"/>
      <c r="DV70" s="2"/>
      <c r="EA70" t="str">
        <f>IF($AA70&gt;0,$AA70," ")</f>
        <v> </v>
      </c>
    </row>
    <row r="71" spans="1:131" ht="12.75">
      <c r="A71" s="47" t="str">
        <f t="shared" si="3"/>
        <v> </v>
      </c>
      <c r="B71" s="47" t="str">
        <f t="shared" si="4"/>
        <v> </v>
      </c>
      <c r="E71" s="20" t="s">
        <v>340</v>
      </c>
      <c r="F71" s="21"/>
      <c r="G71" s="21"/>
      <c r="H71" s="21"/>
      <c r="I71" s="21"/>
      <c r="J71" s="52">
        <v>152</v>
      </c>
      <c r="K71" s="22"/>
      <c r="AA71" s="52"/>
      <c r="AB71" t="s">
        <v>205</v>
      </c>
      <c r="AF71" t="str">
        <f>IF(AA71&gt;0,1," ")</f>
        <v> </v>
      </c>
      <c r="AH71" t="str">
        <f>IF(AA71&gt;0,AA71," ")</f>
        <v> </v>
      </c>
      <c r="AM71" t="str">
        <f>IF(AA71&gt;0,AA71," ")</f>
        <v> </v>
      </c>
      <c r="AP71" s="20" t="str">
        <f>IF($AA71&gt;0,$AA71," ")</f>
        <v> </v>
      </c>
      <c r="AR71" s="10"/>
      <c r="AS71" s="10"/>
      <c r="AW71" s="2"/>
      <c r="AX71" s="2"/>
      <c r="BC71" t="str">
        <f>IF($AA71&gt;0,$AA71," ")</f>
        <v> </v>
      </c>
      <c r="CU71" s="2"/>
      <c r="CV71" s="2"/>
      <c r="CY71" s="52"/>
      <c r="CZ71" t="s">
        <v>205</v>
      </c>
      <c r="DD71" t="str">
        <f>IF(CY71&gt;0,1," ")</f>
        <v> </v>
      </c>
      <c r="DF71" t="str">
        <f>IF(CY71&gt;0,CY71," ")</f>
        <v> </v>
      </c>
      <c r="DK71" t="str">
        <f>IF(CY71&gt;0,CY71," ")</f>
        <v> </v>
      </c>
      <c r="DN71" s="20" t="str">
        <f>IF($AA71&gt;0,$AA71," ")</f>
        <v> </v>
      </c>
      <c r="DP71" s="10"/>
      <c r="DQ71" s="10"/>
      <c r="DU71" s="2"/>
      <c r="DV71" s="2"/>
      <c r="EA71" t="str">
        <f>IF($AA71&gt;0,$AA71," ")</f>
        <v> </v>
      </c>
    </row>
    <row r="72" spans="1:126" ht="12.75">
      <c r="A72" s="47" t="str">
        <f t="shared" si="3"/>
        <v> </v>
      </c>
      <c r="B72" s="47" t="str">
        <f t="shared" si="4"/>
        <v> </v>
      </c>
      <c r="E72" s="20" t="s">
        <v>337</v>
      </c>
      <c r="F72" s="21"/>
      <c r="G72" s="21"/>
      <c r="H72" s="21"/>
      <c r="I72" s="21"/>
      <c r="J72" s="52">
        <v>13</v>
      </c>
      <c r="K72" s="22"/>
      <c r="AA72" s="52"/>
      <c r="AB72" s="2" t="s">
        <v>207</v>
      </c>
      <c r="AC72" t="str">
        <f>IF(AA72&gt;0,1," ")</f>
        <v> </v>
      </c>
      <c r="AD72" s="2"/>
      <c r="AE72" s="2"/>
      <c r="AF72" s="2"/>
      <c r="AG72" t="str">
        <f>IF($AA72&gt;0,1," ")</f>
        <v> </v>
      </c>
      <c r="AH72" s="2"/>
      <c r="AI72" s="2"/>
      <c r="AJ72" s="2"/>
      <c r="AK72" s="2"/>
      <c r="AL72" s="2"/>
      <c r="AM72" s="2"/>
      <c r="AN72" t="str">
        <f>IF(AA72&gt;0,AA72," ")</f>
        <v> </v>
      </c>
      <c r="AO72" s="2"/>
      <c r="AP72" s="36"/>
      <c r="AQ72" s="2"/>
      <c r="AR72" s="10" t="str">
        <f>IF($AA72&gt;0,1," ")</f>
        <v> </v>
      </c>
      <c r="AS72" s="10" t="str">
        <f>IF($AA72&gt;0,AA72," ")</f>
        <v> </v>
      </c>
      <c r="AT72" s="2"/>
      <c r="AU72" s="2"/>
      <c r="AW72" s="2"/>
      <c r="AX72" s="2"/>
      <c r="CU72" s="2"/>
      <c r="CV72" s="2"/>
      <c r="CY72" s="52"/>
      <c r="CZ72" s="2" t="s">
        <v>207</v>
      </c>
      <c r="DA72" t="str">
        <f>IF(CY72&gt;0,1," ")</f>
        <v> </v>
      </c>
      <c r="DB72" s="2"/>
      <c r="DC72" s="2"/>
      <c r="DD72" s="2"/>
      <c r="DE72" t="str">
        <f>IF($AA72&gt;0,1," ")</f>
        <v> </v>
      </c>
      <c r="DF72" s="2"/>
      <c r="DG72" s="2"/>
      <c r="DH72" s="2"/>
      <c r="DI72" s="2"/>
      <c r="DJ72" s="2"/>
      <c r="DK72" s="2"/>
      <c r="DL72" t="str">
        <f>IF(CY72&gt;0,CY72," ")</f>
        <v> </v>
      </c>
      <c r="DM72" s="2"/>
      <c r="DN72" s="36"/>
      <c r="DO72" s="2"/>
      <c r="DP72" s="10" t="str">
        <f>IF($AA72&gt;0,1," ")</f>
        <v> </v>
      </c>
      <c r="DQ72" s="10" t="str">
        <f>IF($AA72&gt;0,CY72," ")</f>
        <v> </v>
      </c>
      <c r="DR72" s="2"/>
      <c r="DS72" s="2"/>
      <c r="DU72" s="2"/>
      <c r="DV72" s="2"/>
    </row>
    <row r="73" spans="1:131" ht="12.75">
      <c r="A73" s="47" t="str">
        <f t="shared" si="3"/>
        <v> </v>
      </c>
      <c r="B73" s="47" t="str">
        <f t="shared" si="4"/>
        <v> </v>
      </c>
      <c r="E73" s="20" t="s">
        <v>342</v>
      </c>
      <c r="F73" s="21"/>
      <c r="G73" s="21"/>
      <c r="H73" s="21"/>
      <c r="I73" s="21"/>
      <c r="J73" s="52">
        <v>166</v>
      </c>
      <c r="K73" s="22"/>
      <c r="AA73" s="52"/>
      <c r="AB73" t="s">
        <v>209</v>
      </c>
      <c r="AM73" t="str">
        <f>IF(AA73&gt;0,AA73," ")</f>
        <v> </v>
      </c>
      <c r="AP73" s="36"/>
      <c r="AQ73" s="2"/>
      <c r="AR73" s="10"/>
      <c r="AS73" s="10"/>
      <c r="AW73" s="2"/>
      <c r="AX73" s="2"/>
      <c r="BC73" t="str">
        <f>IF($AA73&gt;0,$AA73," ")</f>
        <v> </v>
      </c>
      <c r="CU73" s="2"/>
      <c r="CV73" s="2"/>
      <c r="CY73" s="52"/>
      <c r="CZ73" t="s">
        <v>209</v>
      </c>
      <c r="DK73" t="str">
        <f>IF(CY73&gt;0,CY73," ")</f>
        <v> </v>
      </c>
      <c r="DN73" s="36"/>
      <c r="DO73" s="2"/>
      <c r="DP73" s="10"/>
      <c r="DQ73" s="10"/>
      <c r="DU73" s="2"/>
      <c r="DV73" s="2"/>
      <c r="EA73" t="str">
        <f>IF($AA73&gt;0,$AA73," ")</f>
        <v> </v>
      </c>
    </row>
    <row r="74" spans="1:131" ht="12.75">
      <c r="A74" s="47" t="str">
        <f t="shared" si="3"/>
        <v> </v>
      </c>
      <c r="B74" s="47" t="str">
        <f t="shared" si="4"/>
        <v> </v>
      </c>
      <c r="E74" s="20" t="s">
        <v>341</v>
      </c>
      <c r="F74" s="21"/>
      <c r="G74" s="21"/>
      <c r="H74" s="21"/>
      <c r="I74" s="21"/>
      <c r="J74" s="52">
        <v>13</v>
      </c>
      <c r="K74" s="22" t="s">
        <v>252</v>
      </c>
      <c r="AA74" s="52"/>
      <c r="AB74" t="s">
        <v>215</v>
      </c>
      <c r="AD74" t="str">
        <f>IF(AA74&gt;0,1," ")</f>
        <v> </v>
      </c>
      <c r="AG74" t="str">
        <f>IF($AA74&gt;0,1," ")</f>
        <v> </v>
      </c>
      <c r="AM74" t="str">
        <f>IF(AA74&gt;0,AA74," ")</f>
        <v> </v>
      </c>
      <c r="AP74" s="36"/>
      <c r="AQ74" s="2"/>
      <c r="AR74" s="10" t="str">
        <f>IF($AA74&gt;0,1," ")</f>
        <v> </v>
      </c>
      <c r="AS74" s="10" t="str">
        <f>IF($AA74&gt;0,AA74," ")</f>
        <v> </v>
      </c>
      <c r="AW74" s="2"/>
      <c r="AX74" s="2"/>
      <c r="BC74" t="str">
        <f>IF($AA74&gt;0,$AA74," ")</f>
        <v> </v>
      </c>
      <c r="CU74" s="2"/>
      <c r="CV74" s="2"/>
      <c r="CY74" s="52"/>
      <c r="CZ74" t="s">
        <v>215</v>
      </c>
      <c r="DB74" t="str">
        <f>IF(CY74&gt;0,1," ")</f>
        <v> </v>
      </c>
      <c r="DE74" t="str">
        <f>IF($AA74&gt;0,1," ")</f>
        <v> </v>
      </c>
      <c r="DK74" t="str">
        <f>IF(CY74&gt;0,CY74," ")</f>
        <v> </v>
      </c>
      <c r="DN74" s="36"/>
      <c r="DO74" s="2"/>
      <c r="DP74" s="10" t="str">
        <f>IF($AA74&gt;0,1," ")</f>
        <v> </v>
      </c>
      <c r="DQ74" s="10" t="str">
        <f>IF($AA74&gt;0,CY74," ")</f>
        <v> </v>
      </c>
      <c r="DU74" s="2"/>
      <c r="DV74" s="2"/>
      <c r="EA74" t="str">
        <f>IF($AA74&gt;0,$AA74," ")</f>
        <v> </v>
      </c>
    </row>
    <row r="75" spans="1:123" ht="12.75">
      <c r="A75" s="47" t="str">
        <f t="shared" si="3"/>
        <v> </v>
      </c>
      <c r="B75" s="47" t="str">
        <f t="shared" si="4"/>
        <v> </v>
      </c>
      <c r="E75" s="45" t="s">
        <v>331</v>
      </c>
      <c r="F75" s="49"/>
      <c r="G75" s="49"/>
      <c r="H75" s="49"/>
      <c r="I75" s="49"/>
      <c r="J75" s="56">
        <f>ROUND((J69/(J$69+J$70+J$71))*100,0)</f>
        <v>1</v>
      </c>
      <c r="K75" s="53" t="s">
        <v>252</v>
      </c>
      <c r="AA75" s="52"/>
      <c r="AB75" s="2" t="s">
        <v>217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t="str">
        <f>IF(AA75&gt;0,AA75," ")</f>
        <v> </v>
      </c>
      <c r="AN75" s="2"/>
      <c r="AO75" s="2"/>
      <c r="AR75" s="41"/>
      <c r="AS75" s="41"/>
      <c r="AT75" s="2"/>
      <c r="AU75" s="2"/>
      <c r="CY75" s="52"/>
      <c r="CZ75" s="2" t="s">
        <v>217</v>
      </c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t="str">
        <f>IF(CY75&gt;0,CY75," ")</f>
        <v> </v>
      </c>
      <c r="DL75" s="2"/>
      <c r="DM75" s="2"/>
      <c r="DN75" s="20"/>
      <c r="DP75" s="41"/>
      <c r="DQ75" s="41"/>
      <c r="DR75" s="2"/>
      <c r="DS75" s="2"/>
    </row>
    <row r="76" spans="1:131" ht="12.75">
      <c r="A76" s="47" t="str">
        <f t="shared" si="3"/>
        <v> </v>
      </c>
      <c r="B76" s="47" t="str">
        <f t="shared" si="4"/>
        <v> </v>
      </c>
      <c r="E76" s="45" t="s">
        <v>333</v>
      </c>
      <c r="F76" s="49"/>
      <c r="G76" s="49"/>
      <c r="H76" s="49"/>
      <c r="I76" s="49"/>
      <c r="J76" s="56">
        <f>ROUND((J70/(J$69+J$70+J$71))*100,0)</f>
        <v>0</v>
      </c>
      <c r="K76" s="53" t="s">
        <v>252</v>
      </c>
      <c r="AA76" s="52"/>
      <c r="AB76" t="s">
        <v>219</v>
      </c>
      <c r="AD76" t="str">
        <f>IF(AA76&gt;0,1," ")</f>
        <v> </v>
      </c>
      <c r="AM76" t="str">
        <f>IF(AA76&gt;0,AA76," ")</f>
        <v> </v>
      </c>
      <c r="AP76" s="36"/>
      <c r="AQ76" s="2"/>
      <c r="AR76" s="10"/>
      <c r="AS76" s="10"/>
      <c r="AW76" s="2"/>
      <c r="AX76" s="2"/>
      <c r="BC76" t="str">
        <f>IF($AA76&gt;0,$AA76," ")</f>
        <v> </v>
      </c>
      <c r="CU76" s="2"/>
      <c r="CV76" s="2"/>
      <c r="CY76" s="52"/>
      <c r="CZ76" t="s">
        <v>219</v>
      </c>
      <c r="DB76" t="str">
        <f>IF(CY76&gt;0,1," ")</f>
        <v> </v>
      </c>
      <c r="DK76" t="str">
        <f>IF(CY76&gt;0,CY76," ")</f>
        <v> </v>
      </c>
      <c r="DN76" s="36"/>
      <c r="DO76" s="2"/>
      <c r="DP76" s="10"/>
      <c r="DQ76" s="10"/>
      <c r="DU76" s="2"/>
      <c r="DV76" s="2"/>
      <c r="EA76" t="str">
        <f>IF($AA76&gt;0,$AA76," ")</f>
        <v> </v>
      </c>
    </row>
    <row r="77" spans="1:126" ht="12.75">
      <c r="A77" s="47" t="str">
        <f t="shared" si="3"/>
        <v> </v>
      </c>
      <c r="B77" s="47" t="str">
        <f t="shared" si="4"/>
        <v> </v>
      </c>
      <c r="E77" s="28" t="s">
        <v>332</v>
      </c>
      <c r="F77" s="29"/>
      <c r="G77" s="29"/>
      <c r="H77" s="29"/>
      <c r="I77" s="29"/>
      <c r="J77" s="57">
        <f>ROUND((J71/(J$69+J$70+J$71))*100,0)</f>
        <v>99</v>
      </c>
      <c r="K77" s="30" t="s">
        <v>252</v>
      </c>
      <c r="AA77" s="52"/>
      <c r="AB77" s="2" t="s">
        <v>221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6"/>
      <c r="AQ77" s="2"/>
      <c r="AR77" s="41"/>
      <c r="AS77" s="41"/>
      <c r="AT77" s="2"/>
      <c r="AU77" s="2"/>
      <c r="AW77" s="2"/>
      <c r="AX77" s="2"/>
      <c r="CU77" s="2"/>
      <c r="CV77" s="2"/>
      <c r="CY77" s="52"/>
      <c r="CZ77" s="2" t="s">
        <v>221</v>
      </c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36"/>
      <c r="DO77" s="2"/>
      <c r="DP77" s="41"/>
      <c r="DQ77" s="41"/>
      <c r="DR77" s="2"/>
      <c r="DS77" s="2"/>
      <c r="DU77" s="2"/>
      <c r="DV77" s="2"/>
    </row>
    <row r="78" spans="27:130" ht="12.75">
      <c r="AA78" s="52"/>
      <c r="AB78" s="2" t="s">
        <v>223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t="str">
        <f>IF(AA78&gt;0,AA78," ")</f>
        <v> </v>
      </c>
      <c r="AN78" s="2"/>
      <c r="AO78" t="str">
        <f>IF(AA78&gt;0,AA78," ")</f>
        <v> </v>
      </c>
      <c r="AR78" s="41"/>
      <c r="AS78" s="41"/>
      <c r="AT78" s="2"/>
      <c r="AU78" s="2"/>
      <c r="BB78" t="str">
        <f>IF($AA78&gt;0,$AA78," ")</f>
        <v> </v>
      </c>
      <c r="CY78" s="52"/>
      <c r="CZ78" s="2" t="s">
        <v>223</v>
      </c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t="str">
        <f>IF(CY78&gt;0,CY78," ")</f>
        <v> </v>
      </c>
      <c r="DL78" s="2"/>
      <c r="DM78" t="str">
        <f>IF(CY78&gt;0,CY78," ")</f>
        <v> </v>
      </c>
      <c r="DN78" s="20"/>
      <c r="DP78" s="41"/>
      <c r="DQ78" s="41"/>
      <c r="DR78" s="2"/>
      <c r="DS78" s="2"/>
      <c r="DZ78" t="str">
        <f>IF($AA78&gt;0,$AA78," ")</f>
        <v> </v>
      </c>
    </row>
    <row r="79" spans="27:126" ht="12.75">
      <c r="AA79" s="52"/>
      <c r="AB79" t="s">
        <v>225</v>
      </c>
      <c r="AC79" t="str">
        <f>IF(AA79&gt;0,1," ")</f>
        <v> </v>
      </c>
      <c r="AM79" t="str">
        <f>IF(AA79&gt;0,AA79," ")</f>
        <v> </v>
      </c>
      <c r="AP79" s="36"/>
      <c r="AQ79" s="2"/>
      <c r="AR79" s="10"/>
      <c r="AS79" s="10"/>
      <c r="AW79" s="2"/>
      <c r="AX79" s="2"/>
      <c r="CU79" s="2"/>
      <c r="CV79" s="2"/>
      <c r="CY79" s="52"/>
      <c r="CZ79" t="s">
        <v>225</v>
      </c>
      <c r="DA79" t="str">
        <f>IF(CY79&gt;0,1," ")</f>
        <v> </v>
      </c>
      <c r="DK79" t="str">
        <f>IF(CY79&gt;0,CY79," ")</f>
        <v> </v>
      </c>
      <c r="DN79" s="36"/>
      <c r="DO79" s="2"/>
      <c r="DP79" s="10"/>
      <c r="DQ79" s="10"/>
      <c r="DU79" s="2"/>
      <c r="DV79" s="2"/>
    </row>
    <row r="80" spans="27:126" ht="12.75">
      <c r="AA80" s="52"/>
      <c r="AB80" s="2" t="s">
        <v>227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t="str">
        <f>IF(AA80&gt;0,AA80," ")</f>
        <v> </v>
      </c>
      <c r="AN80" s="2"/>
      <c r="AO80" t="str">
        <f>IF(AA80&gt;0,AA80," ")</f>
        <v> </v>
      </c>
      <c r="AP80" s="36"/>
      <c r="AQ80" s="2"/>
      <c r="AR80" s="41"/>
      <c r="AS80" s="41"/>
      <c r="AT80" s="2"/>
      <c r="AU80" s="2"/>
      <c r="AW80" s="2"/>
      <c r="AX80" s="2"/>
      <c r="CU80" s="2"/>
      <c r="CV80" s="2"/>
      <c r="CY80" s="52"/>
      <c r="CZ80" s="2" t="s">
        <v>227</v>
      </c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t="str">
        <f>IF(CY80&gt;0,CY80," ")</f>
        <v> </v>
      </c>
      <c r="DL80" s="2"/>
      <c r="DM80" t="str">
        <f>IF(CY80&gt;0,CY80," ")</f>
        <v> </v>
      </c>
      <c r="DN80" s="36"/>
      <c r="DO80" s="2"/>
      <c r="DP80" s="41"/>
      <c r="DQ80" s="41"/>
      <c r="DR80" s="2"/>
      <c r="DS80" s="2"/>
      <c r="DU80" s="2"/>
      <c r="DV80" s="2"/>
    </row>
    <row r="81" spans="27:128" ht="12.75">
      <c r="AA81" s="52"/>
      <c r="AB81" s="2" t="s">
        <v>229</v>
      </c>
      <c r="AC81" s="2"/>
      <c r="AD81" s="2"/>
      <c r="AE81" s="2"/>
      <c r="AF81" s="2"/>
      <c r="AG81" s="2"/>
      <c r="AH81" s="2"/>
      <c r="AI81" s="2"/>
      <c r="AJ81" s="2"/>
      <c r="AK81" s="2"/>
      <c r="AL81" t="str">
        <f>IF(AA81&gt;0,AA81," ")</f>
        <v> </v>
      </c>
      <c r="AM81" s="2"/>
      <c r="AN81" s="2"/>
      <c r="AO81" s="2"/>
      <c r="AR81" s="41"/>
      <c r="AS81" s="41"/>
      <c r="AT81" s="2"/>
      <c r="AU81" s="2"/>
      <c r="AV81" t="str">
        <f>IF(AA81&gt;0,AA81," ")</f>
        <v> </v>
      </c>
      <c r="AZ81" t="str">
        <f>IF($AA81&gt;0,$AA81," ")</f>
        <v> </v>
      </c>
      <c r="CY81" s="52"/>
      <c r="CZ81" s="2" t="s">
        <v>229</v>
      </c>
      <c r="DA81" s="2"/>
      <c r="DB81" s="2"/>
      <c r="DC81" s="2"/>
      <c r="DD81" s="2"/>
      <c r="DE81" s="2"/>
      <c r="DF81" s="2"/>
      <c r="DG81" s="2"/>
      <c r="DH81" s="2"/>
      <c r="DI81" s="2"/>
      <c r="DJ81" t="str">
        <f>IF(CY81&gt;0,CY81," ")</f>
        <v> </v>
      </c>
      <c r="DK81" s="2"/>
      <c r="DL81" s="2"/>
      <c r="DM81" s="2"/>
      <c r="DN81" s="20"/>
      <c r="DP81" s="41"/>
      <c r="DQ81" s="41"/>
      <c r="DR81" s="2"/>
      <c r="DS81" s="2"/>
      <c r="DT81" t="str">
        <f>IF(CY81&gt;0,CY81," ")</f>
        <v> </v>
      </c>
      <c r="DX81" t="str">
        <f>IF($AA81&gt;0,$AA81," ")</f>
        <v> </v>
      </c>
    </row>
    <row r="82" spans="27:123" ht="12.75">
      <c r="AA82" s="52"/>
      <c r="AB82" s="2" t="s">
        <v>231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t="str">
        <f>IF(AA82&gt;0,AA82," ")</f>
        <v> </v>
      </c>
      <c r="AN82" s="2"/>
      <c r="AO82" s="2"/>
      <c r="AR82" s="41"/>
      <c r="AS82" s="41"/>
      <c r="AT82" s="2"/>
      <c r="AU82" s="2"/>
      <c r="CY82" s="52"/>
      <c r="CZ82" s="2" t="s">
        <v>231</v>
      </c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t="str">
        <f>IF(CY82&gt;0,CY82," ")</f>
        <v> </v>
      </c>
      <c r="DL82" s="2"/>
      <c r="DM82" s="2"/>
      <c r="DN82" s="20"/>
      <c r="DP82" s="41"/>
      <c r="DQ82" s="41"/>
      <c r="DR82" s="2"/>
      <c r="DS82" s="2"/>
    </row>
    <row r="83" spans="27:131" ht="12.75">
      <c r="AA83" s="52"/>
      <c r="AB83" t="s">
        <v>233</v>
      </c>
      <c r="AL83" t="str">
        <f>IF(AA83&gt;0,AA83," ")</f>
        <v> </v>
      </c>
      <c r="AR83" s="10"/>
      <c r="AS83" s="10"/>
      <c r="AT83" t="str">
        <f>IF(AA83&gt;0,AA83," ")</f>
        <v> </v>
      </c>
      <c r="AU83" t="str">
        <f>IF($AA83*(100/$I$8)&gt;1.99,$AA83," ")</f>
        <v> </v>
      </c>
      <c r="BC83" t="str">
        <f>IF($AA83&gt;0,$AA83," ")</f>
        <v> </v>
      </c>
      <c r="CY83" s="52"/>
      <c r="CZ83" t="s">
        <v>233</v>
      </c>
      <c r="DJ83" t="str">
        <f>IF(CY83&gt;0,CY83," ")</f>
        <v> </v>
      </c>
      <c r="DN83" s="20"/>
      <c r="DP83" s="10"/>
      <c r="DQ83" s="10"/>
      <c r="DR83" t="str">
        <f>IF(CY83&gt;0,CY83," ")</f>
        <v> </v>
      </c>
      <c r="DS83" t="str">
        <f>IF($AA83*(100/$I$8)&gt;1.99,$AA83," ")</f>
        <v> </v>
      </c>
      <c r="EA83" t="str">
        <f>IF($AA83&gt;0,$AA83," ")</f>
        <v> </v>
      </c>
    </row>
    <row r="84" spans="27:131" ht="12.75">
      <c r="AA84" s="52"/>
      <c r="AB84" t="s">
        <v>235</v>
      </c>
      <c r="AP84" s="36"/>
      <c r="AQ84" s="2"/>
      <c r="AR84" s="10"/>
      <c r="AS84" s="10"/>
      <c r="AW84" s="2"/>
      <c r="AX84" s="2"/>
      <c r="BC84" t="str">
        <f>IF($AA84&gt;0,$AA84," ")</f>
        <v> </v>
      </c>
      <c r="CU84" s="2"/>
      <c r="CV84" s="2"/>
      <c r="CY84" s="52"/>
      <c r="CZ84" t="s">
        <v>235</v>
      </c>
      <c r="DN84" s="36"/>
      <c r="DO84" s="2"/>
      <c r="DP84" s="10"/>
      <c r="DQ84" s="10"/>
      <c r="DU84" s="2"/>
      <c r="DV84" s="2"/>
      <c r="EA84" t="str">
        <f>IF($AA84&gt;0,$AA84," ")</f>
        <v> </v>
      </c>
    </row>
    <row r="85" spans="27:131" ht="12.75">
      <c r="AA85" s="52"/>
      <c r="AB85" t="s">
        <v>237</v>
      </c>
      <c r="AD85" t="str">
        <f>IF(AA85&gt;0,1," ")</f>
        <v> </v>
      </c>
      <c r="AG85" t="str">
        <f>IF($AA85&gt;0,1," ")</f>
        <v> </v>
      </c>
      <c r="AM85" t="str">
        <f>IF(AA85&gt;0,AA85," ")</f>
        <v> </v>
      </c>
      <c r="AP85" s="36"/>
      <c r="AQ85" s="2"/>
      <c r="AR85" s="10" t="str">
        <f>IF($AA85&gt;0,1," ")</f>
        <v> </v>
      </c>
      <c r="AS85" s="10" t="str">
        <f>IF($AA85&gt;0,AA85," ")</f>
        <v> </v>
      </c>
      <c r="AW85" s="2"/>
      <c r="AX85" s="2"/>
      <c r="BC85" t="str">
        <f>IF($AA85&gt;0,$AA85," ")</f>
        <v> </v>
      </c>
      <c r="CU85" s="2"/>
      <c r="CV85" s="2"/>
      <c r="CY85" s="52"/>
      <c r="CZ85" t="s">
        <v>237</v>
      </c>
      <c r="DB85" t="str">
        <f>IF(CY85&gt;0,1," ")</f>
        <v> </v>
      </c>
      <c r="DE85" t="str">
        <f>IF($AA85&gt;0,1," ")</f>
        <v> </v>
      </c>
      <c r="DK85" t="str">
        <f>IF(CY85&gt;0,CY85," ")</f>
        <v> </v>
      </c>
      <c r="DN85" s="36"/>
      <c r="DO85" s="2"/>
      <c r="DP85" s="10" t="str">
        <f>IF($AA85&gt;0,1," ")</f>
        <v> </v>
      </c>
      <c r="DQ85" s="10" t="str">
        <f>IF($AA85&gt;0,CY85," ")</f>
        <v> </v>
      </c>
      <c r="DU85" s="2"/>
      <c r="DV85" s="2"/>
      <c r="EA85" t="str">
        <f>IF($AA85&gt;0,$AA85," ")</f>
        <v> </v>
      </c>
    </row>
    <row r="86" spans="27:131" ht="12.75">
      <c r="AA86" s="52"/>
      <c r="AB86" t="s">
        <v>239</v>
      </c>
      <c r="AD86" t="str">
        <f>IF(AA86&gt;0,1," ")</f>
        <v> </v>
      </c>
      <c r="AM86" t="str">
        <f>IF(AA86&gt;0,AA86," ")</f>
        <v> </v>
      </c>
      <c r="AO86" t="str">
        <f>IF(AA86&gt;0,AA86," ")</f>
        <v> </v>
      </c>
      <c r="AR86" s="10"/>
      <c r="AS86" s="10"/>
      <c r="BC86" t="str">
        <f>IF($AA86&gt;0,$AA86," ")</f>
        <v> </v>
      </c>
      <c r="CY86" s="52"/>
      <c r="CZ86" t="s">
        <v>239</v>
      </c>
      <c r="DB86" t="str">
        <f>IF(CY86&gt;0,1," ")</f>
        <v> </v>
      </c>
      <c r="DK86" t="str">
        <f>IF(CY86&gt;0,CY86," ")</f>
        <v> </v>
      </c>
      <c r="DM86" t="str">
        <f>IF(CY86&gt;0,CY86," ")</f>
        <v> </v>
      </c>
      <c r="DN86" s="20"/>
      <c r="DP86" s="10"/>
      <c r="DQ86" s="10"/>
      <c r="EA86" t="str">
        <f>IF($AA86&gt;0,$AA86," ")</f>
        <v> </v>
      </c>
    </row>
    <row r="87" spans="27:123" ht="12.75">
      <c r="AA87" s="52"/>
      <c r="AB87" t="s">
        <v>241</v>
      </c>
      <c r="AF87" t="str">
        <f>IF(AA87&gt;0,1," ")</f>
        <v> </v>
      </c>
      <c r="AG87" t="str">
        <f>IF($AA87&gt;0,1," ")</f>
        <v> </v>
      </c>
      <c r="AM87" t="str">
        <f>IF(AA87&gt;0,AA87," ")</f>
        <v> </v>
      </c>
      <c r="AR87" s="10" t="str">
        <f>IF($AA87&gt;0,1," ")</f>
        <v> </v>
      </c>
      <c r="AS87" s="10" t="str">
        <f>IF($AA87&gt;0,AA87," ")</f>
        <v> </v>
      </c>
      <c r="AT87" t="str">
        <f>IF(AA87&gt;0,AA87," ")</f>
        <v> </v>
      </c>
      <c r="AU87" t="str">
        <f>IF($AA87*(100/$I$8)&gt;1.99,$AA87," ")</f>
        <v> </v>
      </c>
      <c r="CY87" s="52"/>
      <c r="CZ87" t="s">
        <v>241</v>
      </c>
      <c r="DD87" t="str">
        <f>IF(CY87&gt;0,1," ")</f>
        <v> </v>
      </c>
      <c r="DE87" t="str">
        <f>IF($AA87&gt;0,1," ")</f>
        <v> </v>
      </c>
      <c r="DK87" t="str">
        <f>IF(CY87&gt;0,CY87," ")</f>
        <v> </v>
      </c>
      <c r="DN87" s="20"/>
      <c r="DP87" s="10" t="str">
        <f>IF($AA87&gt;0,1," ")</f>
        <v> </v>
      </c>
      <c r="DQ87" s="10" t="str">
        <f>IF($AA87&gt;0,CY87," ")</f>
        <v> </v>
      </c>
      <c r="DR87" t="str">
        <f>IF(CY87&gt;0,CY87," ")</f>
        <v> </v>
      </c>
      <c r="DS87" t="str">
        <f>IF($AA87*(100/$I$8)&gt;1.99,$AA87," ")</f>
        <v> </v>
      </c>
    </row>
    <row r="88" spans="27:131" ht="12.75">
      <c r="AA88" s="52"/>
      <c r="AB88" t="s">
        <v>243</v>
      </c>
      <c r="AM88" t="str">
        <f>IF(AA88&gt;0,AA88," ")</f>
        <v> </v>
      </c>
      <c r="AO88" t="str">
        <f>IF(AA88&gt;0,AA88," ")</f>
        <v> </v>
      </c>
      <c r="AR88" s="10"/>
      <c r="AS88" s="10"/>
      <c r="BC88" t="str">
        <f>IF($AA88&gt;0,$AA88," ")</f>
        <v> </v>
      </c>
      <c r="CY88" s="52"/>
      <c r="CZ88" t="s">
        <v>243</v>
      </c>
      <c r="DK88" t="str">
        <f>IF(CY88&gt;0,CY88," ")</f>
        <v> </v>
      </c>
      <c r="DM88" t="str">
        <f>IF(CY88&gt;0,CY88," ")</f>
        <v> </v>
      </c>
      <c r="DN88" s="20"/>
      <c r="DP88" s="10"/>
      <c r="DQ88" s="10"/>
      <c r="EA88" t="str">
        <f>IF($AA88&gt;0,$AA88," ")</f>
        <v> </v>
      </c>
    </row>
    <row r="89" spans="27:123" ht="12.75">
      <c r="AA89" s="52"/>
      <c r="AB89" s="2" t="s">
        <v>245</v>
      </c>
      <c r="AC89" s="2"/>
      <c r="AD89" s="2"/>
      <c r="AE89" s="2"/>
      <c r="AF89" s="2"/>
      <c r="AG89" s="2"/>
      <c r="AH89" s="2"/>
      <c r="AI89" s="2"/>
      <c r="AJ89" s="2"/>
      <c r="AK89" s="2"/>
      <c r="AL89" t="str">
        <f>IF(AA89&gt;0,AA89," ")</f>
        <v> </v>
      </c>
      <c r="AM89" s="2"/>
      <c r="AN89" s="2"/>
      <c r="AO89" s="2"/>
      <c r="AR89" s="41"/>
      <c r="AS89" s="41"/>
      <c r="AT89" s="2"/>
      <c r="AU89" s="2"/>
      <c r="CY89" s="52"/>
      <c r="CZ89" s="2" t="s">
        <v>245</v>
      </c>
      <c r="DA89" s="2"/>
      <c r="DB89" s="2"/>
      <c r="DC89" s="2"/>
      <c r="DD89" s="2"/>
      <c r="DE89" s="2"/>
      <c r="DF89" s="2"/>
      <c r="DG89" s="2"/>
      <c r="DH89" s="2"/>
      <c r="DI89" s="2"/>
      <c r="DJ89" t="str">
        <f>IF(CY89&gt;0,CY89," ")</f>
        <v> </v>
      </c>
      <c r="DK89" s="2"/>
      <c r="DL89" s="2"/>
      <c r="DM89" s="2"/>
      <c r="DN89" s="20"/>
      <c r="DP89" s="41"/>
      <c r="DQ89" s="41"/>
      <c r="DR89" s="2"/>
      <c r="DS89" s="2"/>
    </row>
    <row r="90" spans="27:128" ht="12.75">
      <c r="AA90" s="52"/>
      <c r="AB90" s="2" t="s">
        <v>110</v>
      </c>
      <c r="AC90" t="str">
        <f>IF(AA90&gt;0,1," ")</f>
        <v> </v>
      </c>
      <c r="AD90" s="2"/>
      <c r="AE90" s="2"/>
      <c r="AF90" s="2"/>
      <c r="AG90" s="2"/>
      <c r="AH90" s="2"/>
      <c r="AI90" s="2"/>
      <c r="AJ90" s="2"/>
      <c r="AK90" s="2"/>
      <c r="AL90" s="2"/>
      <c r="AM90" t="str">
        <f>IF(AA90&gt;0,AA90," ")</f>
        <v> </v>
      </c>
      <c r="AN90" s="2"/>
      <c r="AO90" t="str">
        <f>IF(AA90&gt;0,AA90," ")</f>
        <v> </v>
      </c>
      <c r="AR90" s="42" t="str">
        <f>IF($AA90&gt;0,1," ")</f>
        <v> </v>
      </c>
      <c r="AS90" s="42" t="str">
        <f>IF($AA90&gt;0,AA90," ")</f>
        <v> </v>
      </c>
      <c r="AT90" s="2"/>
      <c r="AU90" s="2"/>
      <c r="AZ90" t="str">
        <f>IF($AA90&gt;0,$AA90," ")</f>
        <v> </v>
      </c>
      <c r="CY90" s="52"/>
      <c r="CZ90" s="2" t="s">
        <v>110</v>
      </c>
      <c r="DA90" t="str">
        <f>IF(CY90&gt;0,1," ")</f>
        <v> </v>
      </c>
      <c r="DB90" s="2"/>
      <c r="DC90" s="2"/>
      <c r="DD90" s="2"/>
      <c r="DE90" s="2"/>
      <c r="DF90" s="2"/>
      <c r="DG90" s="2"/>
      <c r="DH90" s="2"/>
      <c r="DI90" s="2"/>
      <c r="DJ90" s="2"/>
      <c r="DK90" t="str">
        <f>IF(CY90&gt;0,CY90," ")</f>
        <v> </v>
      </c>
      <c r="DL90" s="2"/>
      <c r="DM90" t="str">
        <f>IF(CY90&gt;0,CY90," ")</f>
        <v> </v>
      </c>
      <c r="DN90" s="20"/>
      <c r="DP90" s="42" t="str">
        <f>IF($AA90&gt;0,1," ")</f>
        <v> </v>
      </c>
      <c r="DQ90" s="42" t="str">
        <f>IF($AA90&gt;0,CY90," ")</f>
        <v> </v>
      </c>
      <c r="DR90" s="2"/>
      <c r="DS90" s="2"/>
      <c r="DX90" t="str">
        <f>IF($AA90&gt;0,$AA90," ")</f>
        <v> </v>
      </c>
    </row>
    <row r="91" spans="27:131" ht="12.75">
      <c r="AA91" s="52"/>
      <c r="AB91" t="s">
        <v>108</v>
      </c>
      <c r="AM91" t="str">
        <f>IF(AA91&gt;0,AA91," ")</f>
        <v> </v>
      </c>
      <c r="AR91" s="10"/>
      <c r="AS91" s="10"/>
      <c r="BC91" t="str">
        <f>IF($AA91&gt;0,$AA91," ")</f>
        <v> </v>
      </c>
      <c r="CY91" s="52"/>
      <c r="CZ91" t="s">
        <v>108</v>
      </c>
      <c r="DK91" t="str">
        <f>IF(CY91&gt;0,CY91," ")</f>
        <v> </v>
      </c>
      <c r="DN91" s="20"/>
      <c r="DP91" s="10"/>
      <c r="DQ91" s="10"/>
      <c r="EA91" t="str">
        <f>IF($AA91&gt;0,$AA91," ")</f>
        <v> </v>
      </c>
    </row>
    <row r="92" spans="27:123" ht="12.75">
      <c r="AA92" s="52"/>
      <c r="AB92" s="2" t="s">
        <v>112</v>
      </c>
      <c r="AC92" s="2"/>
      <c r="AD92" s="2"/>
      <c r="AE92" s="2"/>
      <c r="AF92" s="2"/>
      <c r="AG92" t="str">
        <f>IF($AA92&gt;0,1," ")</f>
        <v> </v>
      </c>
      <c r="AH92" s="2"/>
      <c r="AI92" s="2"/>
      <c r="AJ92" s="2"/>
      <c r="AK92" s="2"/>
      <c r="AL92" s="2"/>
      <c r="AM92" s="2"/>
      <c r="AN92" s="2"/>
      <c r="AO92" s="2"/>
      <c r="AR92" s="10" t="str">
        <f>IF($AA92&gt;0,1," ")</f>
        <v> </v>
      </c>
      <c r="AS92" s="10" t="str">
        <f>IF($AA92&gt;0,AA92," ")</f>
        <v> </v>
      </c>
      <c r="AT92" s="2"/>
      <c r="AU92" s="2"/>
      <c r="CY92" s="52"/>
      <c r="CZ92" s="2" t="s">
        <v>112</v>
      </c>
      <c r="DA92" s="2"/>
      <c r="DB92" s="2"/>
      <c r="DC92" s="2"/>
      <c r="DD92" s="2"/>
      <c r="DE92" t="str">
        <f>IF($AA92&gt;0,1," ")</f>
        <v> </v>
      </c>
      <c r="DF92" s="2"/>
      <c r="DG92" s="2"/>
      <c r="DH92" s="2"/>
      <c r="DI92" s="2"/>
      <c r="DJ92" s="2"/>
      <c r="DK92" s="2"/>
      <c r="DL92" s="2"/>
      <c r="DM92" s="2"/>
      <c r="DN92" s="20"/>
      <c r="DP92" s="10" t="str">
        <f>IF($AA92&gt;0,1," ")</f>
        <v> </v>
      </c>
      <c r="DQ92" s="10" t="str">
        <f>IF($AA92&gt;0,CY92," ")</f>
        <v> </v>
      </c>
      <c r="DR92" s="2"/>
      <c r="DS92" s="2"/>
    </row>
    <row r="93" spans="27:123" ht="12.75">
      <c r="AA93" s="52"/>
      <c r="AB93" s="2" t="s">
        <v>116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t="str">
        <f>IF(AA93&gt;0,AA93," ")</f>
        <v> </v>
      </c>
      <c r="AN93" s="2"/>
      <c r="AO93" s="2"/>
      <c r="AR93" s="41"/>
      <c r="AS93" s="41"/>
      <c r="AT93" s="2"/>
      <c r="AU93" s="2"/>
      <c r="CY93" s="52"/>
      <c r="CZ93" s="2" t="s">
        <v>116</v>
      </c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t="str">
        <f>IF(CY93&gt;0,CY93," ")</f>
        <v> </v>
      </c>
      <c r="DL93" s="2"/>
      <c r="DM93" s="2"/>
      <c r="DN93" s="20"/>
      <c r="DP93" s="41"/>
      <c r="DQ93" s="41"/>
      <c r="DR93" s="2"/>
      <c r="DS93" s="2"/>
    </row>
    <row r="94" spans="27:128" ht="12.75">
      <c r="AA94" s="52"/>
      <c r="AB94" t="s">
        <v>114</v>
      </c>
      <c r="AG94" t="str">
        <f>IF($AA94&gt;0,1," ")</f>
        <v> </v>
      </c>
      <c r="AM94" t="str">
        <f>IF(AA94&gt;0,AA94," ")</f>
        <v> </v>
      </c>
      <c r="AR94" s="10" t="str">
        <f>IF($AA94&gt;0,1," ")</f>
        <v> </v>
      </c>
      <c r="AS94" s="10" t="str">
        <f>IF($AA94&gt;0,AA94," ")</f>
        <v> </v>
      </c>
      <c r="AZ94" t="str">
        <f>IF($AA94&gt;0,$AA94," ")</f>
        <v> </v>
      </c>
      <c r="CY94" s="52"/>
      <c r="CZ94" t="s">
        <v>114</v>
      </c>
      <c r="DE94" t="str">
        <f>IF($AA94&gt;0,1," ")</f>
        <v> </v>
      </c>
      <c r="DK94" t="str">
        <f>IF(CY94&gt;0,CY94," ")</f>
        <v> </v>
      </c>
      <c r="DN94" s="20"/>
      <c r="DP94" s="10" t="str">
        <f>IF($AA94&gt;0,1," ")</f>
        <v> </v>
      </c>
      <c r="DQ94" s="10" t="str">
        <f>IF($AA94&gt;0,CY94," ")</f>
        <v> </v>
      </c>
      <c r="DX94" t="str">
        <f>IF($AA94&gt;0,$AA94," ")</f>
        <v> </v>
      </c>
    </row>
    <row r="95" spans="27:121" ht="12.75">
      <c r="AA95" s="52"/>
      <c r="AB95" t="s">
        <v>97</v>
      </c>
      <c r="AD95" t="str">
        <f>IF(AA95&gt;0,1," ")</f>
        <v> </v>
      </c>
      <c r="AM95" t="str">
        <f>IF(AA95&gt;0,AA95," ")</f>
        <v> </v>
      </c>
      <c r="AR95" s="10"/>
      <c r="AS95" s="10"/>
      <c r="CY95" s="52"/>
      <c r="CZ95" t="s">
        <v>97</v>
      </c>
      <c r="DB95" t="str">
        <f>IF(CY95&gt;0,1," ")</f>
        <v> </v>
      </c>
      <c r="DK95" t="str">
        <f>IF(CY95&gt;0,CY95," ")</f>
        <v> </v>
      </c>
      <c r="DN95" s="20"/>
      <c r="DP95" s="10"/>
      <c r="DQ95" s="10"/>
    </row>
    <row r="96" spans="27:130" ht="12.75">
      <c r="AA96" s="52"/>
      <c r="AB96" t="s">
        <v>95</v>
      </c>
      <c r="AG96" t="str">
        <f>IF($AA96&gt;0,1," ")</f>
        <v> </v>
      </c>
      <c r="AL96" t="str">
        <f>IF(AA96&gt;0,AA96," ")</f>
        <v> </v>
      </c>
      <c r="AR96" s="10" t="str">
        <f>IF($AA96&gt;0,1," ")</f>
        <v> </v>
      </c>
      <c r="AS96" s="10" t="str">
        <f>IF($AA96&gt;0,AA96," ")</f>
        <v> </v>
      </c>
      <c r="AT96" t="str">
        <f>IF(AA96&gt;0,AA96," ")</f>
        <v> </v>
      </c>
      <c r="AU96" t="str">
        <f>IF($AA96*(100/$I$8)&gt;1.99,$AA96," ")</f>
        <v> </v>
      </c>
      <c r="BB96" t="str">
        <f>IF($AA96&gt;0,$AA96," ")</f>
        <v> </v>
      </c>
      <c r="CY96" s="52"/>
      <c r="CZ96" t="s">
        <v>95</v>
      </c>
      <c r="DE96" t="str">
        <f>IF($AA96&gt;0,1," ")</f>
        <v> </v>
      </c>
      <c r="DJ96" t="str">
        <f>IF(CY96&gt;0,CY96," ")</f>
        <v> </v>
      </c>
      <c r="DN96" s="20"/>
      <c r="DP96" s="10" t="str">
        <f>IF($AA96&gt;0,1," ")</f>
        <v> </v>
      </c>
      <c r="DQ96" s="10" t="str">
        <f>IF($AA96&gt;0,CY96," ")</f>
        <v> </v>
      </c>
      <c r="DR96" t="str">
        <f>IF(CY96&gt;0,CY96," ")</f>
        <v> </v>
      </c>
      <c r="DS96" t="str">
        <f>IF($AA96*(100/$I$8)&gt;1.99,$AA96," ")</f>
        <v> </v>
      </c>
      <c r="DZ96" t="str">
        <f>IF($AA96&gt;0,$AA96," ")</f>
        <v> </v>
      </c>
    </row>
    <row r="97" spans="27:130" ht="12.75">
      <c r="AA97" s="52"/>
      <c r="AB97" s="2" t="s">
        <v>101</v>
      </c>
      <c r="AC97" s="2"/>
      <c r="AD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R97" s="10"/>
      <c r="AS97" s="10"/>
      <c r="AT97" s="2"/>
      <c r="AU97" s="2"/>
      <c r="BB97" t="str">
        <f>IF($AA97&gt;0,$AA97," ")</f>
        <v> </v>
      </c>
      <c r="CY97" s="52"/>
      <c r="CZ97" s="2" t="s">
        <v>101</v>
      </c>
      <c r="DA97" s="2"/>
      <c r="DB97" s="2"/>
      <c r="DC97" s="2"/>
      <c r="DD97" s="2"/>
      <c r="DF97" s="2"/>
      <c r="DG97" s="2"/>
      <c r="DH97" s="2"/>
      <c r="DI97" s="2"/>
      <c r="DJ97" s="2"/>
      <c r="DK97" s="2"/>
      <c r="DL97" s="2"/>
      <c r="DM97" s="2"/>
      <c r="DN97" s="20"/>
      <c r="DP97" s="10"/>
      <c r="DQ97" s="10"/>
      <c r="DR97" s="2"/>
      <c r="DS97" s="2"/>
      <c r="DZ97" t="str">
        <f>IF($AA97&gt;0,$AA97," ")</f>
        <v> </v>
      </c>
    </row>
    <row r="98" spans="27:130" ht="12.75">
      <c r="AA98" s="52"/>
      <c r="AB98" s="2" t="s">
        <v>106</v>
      </c>
      <c r="AC98" s="2"/>
      <c r="AD98" s="2"/>
      <c r="AE98" s="2"/>
      <c r="AF98" s="2"/>
      <c r="AG98" t="str">
        <f>IF($AA97&gt;0,1,IF($AA98&gt;0,1," "))</f>
        <v> </v>
      </c>
      <c r="AH98" s="2"/>
      <c r="AI98" s="2"/>
      <c r="AJ98" t="str">
        <f>IF(AA97&gt;0,IF(AB97="N. Brook Lamprey (adult)",IF(AA98&gt;0,1," ")," ")," ")</f>
        <v> </v>
      </c>
      <c r="AK98" t="str">
        <f>IF(AB97&gt;0,IF(AC97="N. Brook Lamprey (adult)",IF(AB98&gt;0,1," ")," ")," ")</f>
        <v> </v>
      </c>
      <c r="AL98" s="2"/>
      <c r="AM98" s="2"/>
      <c r="AN98" s="2"/>
      <c r="AO98" s="2"/>
      <c r="AR98" s="10" t="str">
        <f>IF($AA97&gt;0,1,IF($AA98&gt;0,1," "))</f>
        <v> </v>
      </c>
      <c r="AS98" s="10" t="str">
        <f>IF($AA97&gt;0,AA97,IF($AA98&gt;0,AA98," "))</f>
        <v> </v>
      </c>
      <c r="AT98" s="2"/>
      <c r="AU98" s="2"/>
      <c r="BB98" t="str">
        <f>IF($AA98&gt;0,$AA98," ")</f>
        <v> </v>
      </c>
      <c r="CY98" s="52"/>
      <c r="CZ98" s="2" t="s">
        <v>106</v>
      </c>
      <c r="DA98" s="2"/>
      <c r="DB98" s="2"/>
      <c r="DC98" s="2"/>
      <c r="DD98" s="2"/>
      <c r="DE98" t="str">
        <f>IF($AA97&gt;0,1,IF($AA98&gt;0,1," "))</f>
        <v> </v>
      </c>
      <c r="DF98" s="2"/>
      <c r="DG98" s="2"/>
      <c r="DH98" t="str">
        <f>IF(CY97&gt;0,IF(CZ97="N. Brook Lamprey (adult)",IF(CY98&gt;0,1," ")," ")," ")</f>
        <v> </v>
      </c>
      <c r="DI98" t="str">
        <f>IF(CZ97&gt;0,IF(DA97="N. Brook Lamprey (adult)",IF(CZ98&gt;0,1," ")," ")," ")</f>
        <v> </v>
      </c>
      <c r="DJ98" s="2"/>
      <c r="DK98" s="2"/>
      <c r="DL98" s="2"/>
      <c r="DM98" s="2"/>
      <c r="DN98" s="20"/>
      <c r="DP98" s="10" t="str">
        <f>IF($AA97&gt;0,1,IF($AA98&gt;0,1," "))</f>
        <v> </v>
      </c>
      <c r="DQ98" s="10" t="str">
        <f>IF($AA97&gt;0,CY97,IF($AA98&gt;0,CY98," "))</f>
        <v> </v>
      </c>
      <c r="DR98" s="2"/>
      <c r="DS98" s="2"/>
      <c r="DZ98" t="str">
        <f>IF($AA98&gt;0,$AA98," ")</f>
        <v> </v>
      </c>
    </row>
    <row r="99" spans="27:121" ht="12.75">
      <c r="AA99" s="52"/>
      <c r="AB99" t="s">
        <v>104</v>
      </c>
      <c r="AM99" t="str">
        <f>IF(AA99&gt;0,AA99," ")</f>
        <v> </v>
      </c>
      <c r="AR99" s="10"/>
      <c r="AS99" s="10"/>
      <c r="CY99" s="52"/>
      <c r="CZ99" t="s">
        <v>104</v>
      </c>
      <c r="DK99" t="str">
        <f>IF(CY99&gt;0,CY99," ")</f>
        <v> </v>
      </c>
      <c r="DN99" s="20"/>
      <c r="DP99" s="10"/>
      <c r="DQ99" s="10"/>
    </row>
    <row r="100" spans="1:131" ht="12.75">
      <c r="A100" s="2" t="s">
        <v>165</v>
      </c>
      <c r="B100" s="2"/>
      <c r="C100" s="2"/>
      <c r="D100" s="2"/>
      <c r="E100" t="s">
        <v>178</v>
      </c>
      <c r="F100" s="2"/>
      <c r="G100" s="2"/>
      <c r="H100" s="2"/>
      <c r="I100" s="2"/>
      <c r="J100" s="2"/>
      <c r="K100" s="2"/>
      <c r="L100" s="2"/>
      <c r="AA100" s="52"/>
      <c r="AB100" t="s">
        <v>118</v>
      </c>
      <c r="AC100" t="str">
        <f>IF(AA100&gt;0,1," ")</f>
        <v> </v>
      </c>
      <c r="AG100" t="str">
        <f>IF($AA100&gt;0,1," ")</f>
        <v> </v>
      </c>
      <c r="AM100" t="str">
        <f>IF(AA100&gt;0,AA100," ")</f>
        <v> </v>
      </c>
      <c r="AO100" t="str">
        <f>IF(AA100&gt;0,AA100," ")</f>
        <v> </v>
      </c>
      <c r="AR100" s="10" t="str">
        <f>IF($AA100&gt;0,1," ")</f>
        <v> </v>
      </c>
      <c r="AS100" s="10" t="str">
        <f>IF($AA100&gt;0,AA100," ")</f>
        <v> </v>
      </c>
      <c r="BC100" t="str">
        <f>IF($AA100&gt;0,$AA100," ")</f>
        <v> </v>
      </c>
      <c r="CY100" s="52"/>
      <c r="CZ100" t="s">
        <v>118</v>
      </c>
      <c r="DA100" t="str">
        <f>IF(CY100&gt;0,1," ")</f>
        <v> </v>
      </c>
      <c r="DE100" t="str">
        <f>IF($AA100&gt;0,1," ")</f>
        <v> </v>
      </c>
      <c r="DK100" t="str">
        <f>IF(CY100&gt;0,CY100," ")</f>
        <v> </v>
      </c>
      <c r="DM100" t="str">
        <f>IF(CY100&gt;0,CY100," ")</f>
        <v> </v>
      </c>
      <c r="DN100" s="20"/>
      <c r="DP100" s="10" t="str">
        <f>IF($AA100&gt;0,1," ")</f>
        <v> </v>
      </c>
      <c r="DQ100" s="10" t="str">
        <f>IF($AA100&gt;0,CY100," ")</f>
        <v> </v>
      </c>
      <c r="EA100" t="str">
        <f>IF($AA100&gt;0,$AA100," ")</f>
        <v> </v>
      </c>
    </row>
    <row r="101" spans="2:131" ht="12.75">
      <c r="B101" t="s">
        <v>168</v>
      </c>
      <c r="E101" s="7">
        <f>IF(I7&lt;2.5,ROUND((1.9*I7),1),4.7)</f>
        <v>0.9</v>
      </c>
      <c r="AA101" s="52"/>
      <c r="AB101" t="s">
        <v>132</v>
      </c>
      <c r="AL101" t="str">
        <f>IF(AA101&gt;0,AA101," ")</f>
        <v> </v>
      </c>
      <c r="AP101" s="36"/>
      <c r="AQ101" s="2"/>
      <c r="AR101" s="10"/>
      <c r="AS101" s="10"/>
      <c r="AT101" t="str">
        <f>IF(AA101&gt;0,AA101," ")</f>
        <v> </v>
      </c>
      <c r="AU101" t="str">
        <f>IF($AA101*(100/$I$8)&gt;1.99,$AA101," ")</f>
        <v> </v>
      </c>
      <c r="AW101" s="2"/>
      <c r="AX101" s="2"/>
      <c r="BC101" t="str">
        <f>IF($AA101&gt;0,$AA101," ")</f>
        <v> </v>
      </c>
      <c r="CU101" s="2"/>
      <c r="CV101" s="2"/>
      <c r="CY101" s="52"/>
      <c r="CZ101" t="s">
        <v>132</v>
      </c>
      <c r="DJ101" t="str">
        <f>IF(CY101&gt;0,CY101," ")</f>
        <v> </v>
      </c>
      <c r="DN101" s="36"/>
      <c r="DO101" s="2"/>
      <c r="DP101" s="10"/>
      <c r="DQ101" s="10"/>
      <c r="DR101" t="str">
        <f>IF(CY101&gt;0,CY101," ")</f>
        <v> </v>
      </c>
      <c r="DS101" t="str">
        <f>IF($AA101*(100/$I$8)&gt;1.99,$AA101," ")</f>
        <v> </v>
      </c>
      <c r="DU101" s="2"/>
      <c r="DV101" s="2"/>
      <c r="EA101" t="str">
        <f>IF($AA101&gt;0,$AA101," ")</f>
        <v> </v>
      </c>
    </row>
    <row r="102" spans="1:130" ht="12.75">
      <c r="A102" t="s">
        <v>29</v>
      </c>
      <c r="C102" t="s">
        <v>171</v>
      </c>
      <c r="D102" t="s">
        <v>36</v>
      </c>
      <c r="G102" t="s">
        <v>51</v>
      </c>
      <c r="J102" t="s">
        <v>172</v>
      </c>
      <c r="L102" t="s">
        <v>173</v>
      </c>
      <c r="AA102" s="52"/>
      <c r="AB102" t="s">
        <v>130</v>
      </c>
      <c r="AP102" s="36"/>
      <c r="AQ102" s="2"/>
      <c r="AR102" s="10"/>
      <c r="AS102" s="10"/>
      <c r="AW102" s="2"/>
      <c r="AX102" s="2"/>
      <c r="BB102" t="str">
        <f>IF($AA102&gt;0,$AA102," ")</f>
        <v> </v>
      </c>
      <c r="CU102" s="2"/>
      <c r="CV102" s="2"/>
      <c r="CY102" s="52"/>
      <c r="CZ102" t="s">
        <v>130</v>
      </c>
      <c r="DN102" s="36"/>
      <c r="DO102" s="2"/>
      <c r="DP102" s="10"/>
      <c r="DQ102" s="10"/>
      <c r="DU102" s="2"/>
      <c r="DV102" s="2"/>
      <c r="DZ102" t="str">
        <f>IF($AA102&gt;0,$AA102," ")</f>
        <v> </v>
      </c>
    </row>
    <row r="103" spans="1:123" ht="12.75">
      <c r="A103" t="s">
        <v>176</v>
      </c>
      <c r="B103" t="s">
        <v>177</v>
      </c>
      <c r="C103">
        <f>IF(D7&gt;B104,10,"")</f>
      </c>
      <c r="D103" t="s">
        <v>176</v>
      </c>
      <c r="E103" t="s">
        <v>188</v>
      </c>
      <c r="F103">
        <f>IF(D9&gt;E101,10,"")</f>
      </c>
      <c r="G103" t="s">
        <v>176</v>
      </c>
      <c r="H103" t="s">
        <v>179</v>
      </c>
      <c r="I103">
        <f>IF(D12&gt;H104,10,"")</f>
      </c>
      <c r="J103">
        <f>IF(AND(J15&lt;20,J15&gt;0),10,"")</f>
      </c>
      <c r="L103">
        <f>IF(AND(J16&lt;20,J16&gt;0),10,"")</f>
      </c>
      <c r="AA103" s="52"/>
      <c r="AB103" t="s">
        <v>134</v>
      </c>
      <c r="AF103" t="str">
        <f>IF(AA103&gt;0,1," ")</f>
        <v> </v>
      </c>
      <c r="AM103" t="str">
        <f>IF(AA103&gt;0,AA103," ")</f>
        <v> </v>
      </c>
      <c r="AR103" s="10"/>
      <c r="AS103" s="10"/>
      <c r="AT103" t="str">
        <f>IF(AA103&gt;0,AA103," ")</f>
        <v> </v>
      </c>
      <c r="AU103" t="str">
        <f>IF($AA103*(100/$I$8)&gt;1.99,$AA103," ")</f>
        <v> </v>
      </c>
      <c r="CY103" s="52"/>
      <c r="CZ103" t="s">
        <v>134</v>
      </c>
      <c r="DD103" t="str">
        <f>IF(CY103&gt;0,1," ")</f>
        <v> </v>
      </c>
      <c r="DK103" t="str">
        <f>IF(CY103&gt;0,CY103," ")</f>
        <v> </v>
      </c>
      <c r="DN103" s="20"/>
      <c r="DP103" s="10"/>
      <c r="DQ103" s="10"/>
      <c r="DR103" t="str">
        <f>IF(CY103&gt;0,CY103," ")</f>
        <v> </v>
      </c>
      <c r="DS103" t="str">
        <f>IF($AA103*(100/$I$8)&gt;1.99,$AA103," ")</f>
        <v> </v>
      </c>
    </row>
    <row r="104" spans="2:121" ht="12.75">
      <c r="B104" s="7">
        <f>IF(I7&lt;1.2,ROUND((16.7*I7),1),20)</f>
        <v>7.8</v>
      </c>
      <c r="C104" t="str">
        <f>IF(D7=B104,7," ")</f>
        <v> </v>
      </c>
      <c r="E104" s="7">
        <f>(IF(I7&lt;2.5,ROUND((0.9*I7),1),2.3))</f>
        <v>0.4</v>
      </c>
      <c r="F104" t="str">
        <f>IF(D9=E101,7," ")</f>
        <v> </v>
      </c>
      <c r="H104" s="7">
        <f>IF(I7&lt;2.2,ROUND((2.4*I7),1),5.3)</f>
        <v>1.1</v>
      </c>
      <c r="I104" t="str">
        <f>IF(D12=H104,7," ")</f>
        <v> </v>
      </c>
      <c r="J104">
        <f>IF(J15=20,7,"")</f>
      </c>
      <c r="L104">
        <f>IF(J16=20,7,"")</f>
      </c>
      <c r="AA104" s="52"/>
      <c r="AB104" t="s">
        <v>138</v>
      </c>
      <c r="AG104" t="str">
        <f>IF($AA104&gt;0,1," ")</f>
        <v> </v>
      </c>
      <c r="AO104" t="str">
        <f>IF(AA104&gt;0,AA104," ")</f>
        <v> </v>
      </c>
      <c r="AR104" s="10" t="str">
        <f>IF($AA104&gt;0,1," ")</f>
        <v> </v>
      </c>
      <c r="AS104" s="10" t="str">
        <f>IF($AA104&gt;0,AA104," ")</f>
        <v> </v>
      </c>
      <c r="CY104" s="52"/>
      <c r="CZ104" t="s">
        <v>138</v>
      </c>
      <c r="DE104" t="str">
        <f>IF($AA104&gt;0,1," ")</f>
        <v> </v>
      </c>
      <c r="DM104" t="str">
        <f>IF(CY104&gt;0,CY104," ")</f>
        <v> </v>
      </c>
      <c r="DN104" s="20"/>
      <c r="DP104" s="10" t="str">
        <f>IF($AA104&gt;0,1," ")</f>
        <v> </v>
      </c>
      <c r="DQ104" s="10" t="str">
        <f>IF($AA104&gt;0,CY104," ")</f>
        <v> </v>
      </c>
    </row>
    <row r="105" spans="2:126" ht="12.75">
      <c r="B105" s="1"/>
      <c r="C105">
        <f>IF(D7&gt;B107,IF(D7&lt;B104,5,""),"")</f>
      </c>
      <c r="E105" s="2">
        <f>IF(AND($E$104&gt;0,$E$104&lt;1),ROUND($E$104,0),$E$104)</f>
        <v>0</v>
      </c>
      <c r="F105">
        <f>IF(D9&gt;E105,IF(D9&lt;E101,5,""),"")</f>
      </c>
      <c r="I105">
        <f>IF(D12&gt;H107,IF(D12&lt;H104,5,""),"")</f>
      </c>
      <c r="J105">
        <f>IF(AND(J15&gt;20,J15&lt;50),5,"")</f>
      </c>
      <c r="L105">
        <f>IF(AND(J16&gt;20,J16&lt;40),5,"")</f>
      </c>
      <c r="AA105" s="52"/>
      <c r="AB105" s="2" t="s">
        <v>136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t="str">
        <f>IF(AA105&gt;0,AA105," ")</f>
        <v> </v>
      </c>
      <c r="AP105" s="36"/>
      <c r="AQ105" s="2"/>
      <c r="AR105" s="41"/>
      <c r="AS105" s="41"/>
      <c r="AT105" s="2"/>
      <c r="AU105" s="2"/>
      <c r="AW105" s="2"/>
      <c r="AX105" s="2"/>
      <c r="CU105" s="2"/>
      <c r="CV105" s="2"/>
      <c r="CY105" s="52"/>
      <c r="CZ105" s="2" t="s">
        <v>136</v>
      </c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t="str">
        <f>IF(CY105&gt;0,CY105," ")</f>
        <v> </v>
      </c>
      <c r="DN105" s="36"/>
      <c r="DO105" s="2"/>
      <c r="DP105" s="41"/>
      <c r="DQ105" s="41"/>
      <c r="DR105" s="2"/>
      <c r="DS105" s="2"/>
      <c r="DU105" s="2"/>
      <c r="DV105" s="2"/>
    </row>
    <row r="106" spans="1:121" ht="12.75">
      <c r="A106" t="s">
        <v>186</v>
      </c>
      <c r="B106" t="s">
        <v>187</v>
      </c>
      <c r="C106">
        <f>IF(D7=B107,2,"")</f>
      </c>
      <c r="D106" t="s">
        <v>186</v>
      </c>
      <c r="F106">
        <f>IF(D9=E105,2,"")</f>
        <v>2</v>
      </c>
      <c r="G106" t="s">
        <v>186</v>
      </c>
      <c r="H106" t="s">
        <v>189</v>
      </c>
      <c r="I106">
        <f>IF(D12=H107,2,"")</f>
      </c>
      <c r="J106">
        <f>IF(J15=50,2,"")</f>
      </c>
      <c r="L106">
        <f>IF(J16=40,2,"")</f>
      </c>
      <c r="AA106" s="52"/>
      <c r="AB106" t="s">
        <v>122</v>
      </c>
      <c r="AG106" t="str">
        <f>IF($AA106&gt;0,1," ")</f>
        <v> </v>
      </c>
      <c r="AM106" t="str">
        <f>IF(AA106&gt;0,AA106," ")</f>
        <v> </v>
      </c>
      <c r="AR106" s="10" t="str">
        <f>IF($AA106&gt;0,1," ")</f>
        <v> </v>
      </c>
      <c r="AS106" s="10" t="str">
        <f>IF($AA106&gt;0,AA106," ")</f>
        <v> </v>
      </c>
      <c r="CY106" s="52"/>
      <c r="CZ106" t="s">
        <v>122</v>
      </c>
      <c r="DE106" t="str">
        <f>IF($AA106&gt;0,1," ")</f>
        <v> </v>
      </c>
      <c r="DK106" t="str">
        <f>IF(CY106&gt;0,CY106," ")</f>
        <v> </v>
      </c>
      <c r="DN106" s="20"/>
      <c r="DP106" s="10" t="str">
        <f>IF($AA106&gt;0,1," ")</f>
        <v> </v>
      </c>
      <c r="DQ106" s="10" t="str">
        <f>IF($AA106&gt;0,CY106," ")</f>
        <v> </v>
      </c>
    </row>
    <row r="107" spans="2:130" ht="12.75">
      <c r="B107" s="7">
        <f>(IF(I7&lt;1.2,ROUND((8.3*I7),0),10))</f>
        <v>4</v>
      </c>
      <c r="C107">
        <f>IF(D7&lt;B107,0,"")</f>
        <v>0</v>
      </c>
      <c r="F107">
        <f>IF(D9&lt;E104,0,"")</f>
        <v>0</v>
      </c>
      <c r="H107" s="7">
        <f>IF(I7&lt;2.2,ROUND((1.2*I7),0),2.7)</f>
        <v>1</v>
      </c>
      <c r="I107">
        <f>IF(D12&lt;H107,0,"")</f>
        <v>0</v>
      </c>
      <c r="AA107" s="52"/>
      <c r="AB107" t="s">
        <v>120</v>
      </c>
      <c r="AM107" t="str">
        <f>IF(AA107&gt;0,AA107," ")</f>
        <v> </v>
      </c>
      <c r="AR107" s="10"/>
      <c r="AS107" s="10"/>
      <c r="BB107" t="str">
        <f>IF($AA107&gt;0,$AA107," ")</f>
        <v> </v>
      </c>
      <c r="CY107" s="52"/>
      <c r="CZ107" t="s">
        <v>120</v>
      </c>
      <c r="DK107" t="str">
        <f>IF(CY107&gt;0,CY107," ")</f>
        <v> </v>
      </c>
      <c r="DN107" s="20"/>
      <c r="DP107" s="10"/>
      <c r="DQ107" s="10"/>
      <c r="DZ107" t="str">
        <f>IF($AA107&gt;0,$AA107," ")</f>
        <v> </v>
      </c>
    </row>
    <row r="108" spans="1:125" ht="12.75">
      <c r="A108" s="2"/>
      <c r="B108" s="2"/>
      <c r="C108" s="2"/>
      <c r="D108" s="2"/>
      <c r="E108" t="s">
        <v>203</v>
      </c>
      <c r="F108" s="2"/>
      <c r="G108" s="2"/>
      <c r="H108" s="2"/>
      <c r="I108" s="2"/>
      <c r="J108" s="2"/>
      <c r="L108" s="2"/>
      <c r="AA108" s="52"/>
      <c r="AB108" t="s">
        <v>124</v>
      </c>
      <c r="AE108" t="str">
        <f>IF(AA108&gt;0,1," ")</f>
        <v> </v>
      </c>
      <c r="AL108" t="str">
        <f>IF(AA108&gt;0,AA108," ")</f>
        <v> </v>
      </c>
      <c r="AR108" s="10"/>
      <c r="AS108" s="10"/>
      <c r="AV108" t="str">
        <f>IF(AA108&gt;0,AA108," ")</f>
        <v> </v>
      </c>
      <c r="AW108" t="str">
        <f>IF($AA108&gt;0,$AA108," ")</f>
        <v> </v>
      </c>
      <c r="CY108" s="52"/>
      <c r="CZ108" t="s">
        <v>124</v>
      </c>
      <c r="DC108" t="str">
        <f>IF(CY108&gt;0,1," ")</f>
        <v> </v>
      </c>
      <c r="DJ108" t="str">
        <f>IF(CY108&gt;0,CY108," ")</f>
        <v> </v>
      </c>
      <c r="DN108" s="20"/>
      <c r="DP108" s="10"/>
      <c r="DQ108" s="10"/>
      <c r="DT108" t="str">
        <f>IF(CY108&gt;0,CY108," ")</f>
        <v> </v>
      </c>
      <c r="DU108" t="str">
        <f>IF($AA108&gt;0,$AA108," ")</f>
        <v> </v>
      </c>
    </row>
    <row r="109" spans="4:126" ht="12.75">
      <c r="D109" t="s">
        <v>40</v>
      </c>
      <c r="E109" s="7">
        <f>IF(I7&lt;1.1,ROUND((3*I7),1),3.3)</f>
        <v>1.4</v>
      </c>
      <c r="G109" t="s">
        <v>46</v>
      </c>
      <c r="J109" t="s">
        <v>196</v>
      </c>
      <c r="L109" t="s">
        <v>197</v>
      </c>
      <c r="AA109" s="52"/>
      <c r="AB109" t="s">
        <v>128</v>
      </c>
      <c r="AM109" t="str">
        <f>IF(AA109&gt;0,AA109," ")</f>
        <v> </v>
      </c>
      <c r="AP109" s="36"/>
      <c r="AQ109" s="2"/>
      <c r="AR109" s="10"/>
      <c r="AS109" s="10"/>
      <c r="AW109" s="2"/>
      <c r="AX109" s="2"/>
      <c r="CU109" s="2"/>
      <c r="CV109" s="2"/>
      <c r="CY109" s="52"/>
      <c r="CZ109" t="s">
        <v>128</v>
      </c>
      <c r="DK109" t="str">
        <f>IF(CY109&gt;0,CY109," ")</f>
        <v> </v>
      </c>
      <c r="DN109" s="36"/>
      <c r="DO109" s="2"/>
      <c r="DP109" s="10"/>
      <c r="DQ109" s="10"/>
      <c r="DU109" s="2"/>
      <c r="DV109" s="2"/>
    </row>
    <row r="110" spans="1:121" ht="12.75">
      <c r="A110" t="s">
        <v>33</v>
      </c>
      <c r="D110" t="s">
        <v>43</v>
      </c>
      <c r="G110" t="s">
        <v>43</v>
      </c>
      <c r="J110">
        <f>IF(J17&gt;60,10,"")</f>
        <v>10</v>
      </c>
      <c r="L110">
        <f>IF(J18&gt;14,10,"")</f>
      </c>
      <c r="AA110" s="52"/>
      <c r="AB110" t="s">
        <v>126</v>
      </c>
      <c r="AM110" t="str">
        <f>IF(AA110&gt;0,AA110," ")</f>
        <v> </v>
      </c>
      <c r="AR110" s="10"/>
      <c r="AS110" s="10"/>
      <c r="CY110" s="52"/>
      <c r="CZ110" t="s">
        <v>126</v>
      </c>
      <c r="DK110" t="str">
        <f>IF(CY110&gt;0,CY110," ")</f>
        <v> </v>
      </c>
      <c r="DN110" s="20"/>
      <c r="DP110" s="10"/>
      <c r="DQ110" s="10"/>
    </row>
    <row r="111" spans="1:121" ht="12.75">
      <c r="A111" t="s">
        <v>176</v>
      </c>
      <c r="B111" t="s">
        <v>202</v>
      </c>
      <c r="C111">
        <f>IF(D8&gt;B112,10,"")</f>
      </c>
      <c r="D111" t="s">
        <v>176</v>
      </c>
      <c r="E111" t="s">
        <v>212</v>
      </c>
      <c r="F111">
        <f>IF(D10&gt;E109,10,"")</f>
      </c>
      <c r="G111" t="s">
        <v>176</v>
      </c>
      <c r="H111" t="s">
        <v>204</v>
      </c>
      <c r="I111">
        <f>IF(D11&gt;H113,10,"")</f>
      </c>
      <c r="J111">
        <f>IF(J17=60,7,"")</f>
      </c>
      <c r="L111">
        <f>IF(J18=14,7,"")</f>
      </c>
      <c r="AA111" s="52"/>
      <c r="AB111" t="s">
        <v>45</v>
      </c>
      <c r="AG111" t="str">
        <f>IF($AA111&gt;0,1," ")</f>
        <v> </v>
      </c>
      <c r="AR111" s="10" t="str">
        <f>IF($AA111&gt;0,1," ")</f>
        <v> </v>
      </c>
      <c r="AS111" s="10" t="str">
        <f>IF($AA111&gt;0,AA111," ")</f>
        <v> </v>
      </c>
      <c r="CY111" s="52"/>
      <c r="CZ111" t="s">
        <v>45</v>
      </c>
      <c r="DE111" t="str">
        <f>IF($AA111&gt;0,1," ")</f>
        <v> </v>
      </c>
      <c r="DN111" s="20"/>
      <c r="DP111" s="10" t="str">
        <f>IF($AA111&gt;0,1," ")</f>
        <v> </v>
      </c>
      <c r="DQ111" s="10" t="str">
        <f>IF($AA111&gt;0,CY111," ")</f>
        <v> </v>
      </c>
    </row>
    <row r="112" spans="2:131" ht="12.75">
      <c r="B112" s="7">
        <f>IF(I7&lt;1.4,ROUND((2.9*I7),1),4)</f>
        <v>1.4</v>
      </c>
      <c r="C112" t="str">
        <f>IF(D8=B112,7," ")</f>
        <v> </v>
      </c>
      <c r="E112" s="7">
        <f>IF(I7&lt;1.1,ROUND((1.5*I7),0),1.7)</f>
        <v>1</v>
      </c>
      <c r="F112" t="str">
        <f>IF(D10=E109,7," ")</f>
        <v> </v>
      </c>
      <c r="H112" s="7">
        <f>IF(I7&lt;2.45,ROUND((1.1*I7),1),2.7)</f>
        <v>0.5</v>
      </c>
      <c r="I112" t="str">
        <f>IF(D11=H112,7," ")</f>
        <v> </v>
      </c>
      <c r="J112">
        <f>IF(AND(J17&gt;30,J17&lt;60),5,"")</f>
      </c>
      <c r="L112">
        <f>IF(AND(J18&gt;7,J18&lt;14),5,"")</f>
      </c>
      <c r="AA112" s="52"/>
      <c r="AB112" t="s">
        <v>42</v>
      </c>
      <c r="AF112" t="str">
        <f>IF(AA112&gt;0,1," ")</f>
        <v> </v>
      </c>
      <c r="AM112" t="str">
        <f>IF(AA112&gt;0,AA112," ")</f>
        <v> </v>
      </c>
      <c r="AR112" s="10"/>
      <c r="AS112" s="10"/>
      <c r="AT112" t="str">
        <f>IF(AA112&gt;0,AA112," ")</f>
        <v> </v>
      </c>
      <c r="AU112" t="str">
        <f>IF($AA112*(100/$I$8)&gt;1.99,$AA112," ")</f>
        <v> </v>
      </c>
      <c r="BC112" t="str">
        <f>IF($AA112&gt;0,$AA112," ")</f>
        <v> </v>
      </c>
      <c r="CY112" s="52"/>
      <c r="CZ112" t="s">
        <v>42</v>
      </c>
      <c r="DD112" t="str">
        <f>IF(CY112&gt;0,1," ")</f>
        <v> </v>
      </c>
      <c r="DK112" t="str">
        <f>IF(CY112&gt;0,CY112," ")</f>
        <v> </v>
      </c>
      <c r="DN112" s="20"/>
      <c r="DP112" s="10"/>
      <c r="DQ112" s="10"/>
      <c r="DR112" t="str">
        <f>IF(CY112&gt;0,CY112," ")</f>
        <v> </v>
      </c>
      <c r="DS112" t="str">
        <f>IF($AA112*(100/$I$8)&gt;1.99,$AA112," ")</f>
        <v> </v>
      </c>
      <c r="EA112" t="str">
        <f>IF($AA112&gt;0,$AA112," ")</f>
        <v> </v>
      </c>
    </row>
    <row r="113" spans="3:126" ht="12.75">
      <c r="C113">
        <f>IF(D8&gt;B115,IF(D8&lt;B112,5,""),"")</f>
      </c>
      <c r="F113">
        <f>IF(D10&gt;E112,IF(D10&lt;E109,5,""),"")</f>
      </c>
      <c r="H113" s="2">
        <f>IF(AND($H$112&gt;0,$H$112&lt;1),ROUND($H$112+0.4,0),$H$112)</f>
        <v>1</v>
      </c>
      <c r="I113">
        <f>IF(D11&gt;H116,IF(D11&lt;H112,5,""),"")</f>
      </c>
      <c r="J113">
        <f>IF(J17=30,2,"")</f>
      </c>
      <c r="L113">
        <f>IF(J18=7,2,"")</f>
      </c>
      <c r="AA113" s="52"/>
      <c r="AB113" s="2" t="s">
        <v>48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t="str">
        <f>IF(AA113&gt;0,AA113," ")</f>
        <v> </v>
      </c>
      <c r="AN113" s="2"/>
      <c r="AO113" s="2"/>
      <c r="AP113" s="36"/>
      <c r="AQ113" s="2"/>
      <c r="AR113" s="41"/>
      <c r="AS113" s="41"/>
      <c r="AT113" s="2"/>
      <c r="AU113" s="2"/>
      <c r="AW113" s="2"/>
      <c r="AX113" s="2"/>
      <c r="CU113" s="2"/>
      <c r="CV113" s="2"/>
      <c r="CY113" s="52"/>
      <c r="CZ113" s="2" t="s">
        <v>48</v>
      </c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t="str">
        <f>IF(CY113&gt;0,CY113," ")</f>
        <v> </v>
      </c>
      <c r="DL113" s="2"/>
      <c r="DM113" s="2"/>
      <c r="DN113" s="36"/>
      <c r="DO113" s="2"/>
      <c r="DP113" s="41"/>
      <c r="DQ113" s="41"/>
      <c r="DR113" s="2"/>
      <c r="DS113" s="2"/>
      <c r="DU113" s="2"/>
      <c r="DV113" s="2"/>
    </row>
    <row r="114" spans="1:126" ht="12.75">
      <c r="A114" t="s">
        <v>186</v>
      </c>
      <c r="B114" t="s">
        <v>211</v>
      </c>
      <c r="C114">
        <f>IF(D8=B115,2,"")</f>
      </c>
      <c r="D114" t="s">
        <v>186</v>
      </c>
      <c r="F114">
        <f>IF(D10=E112,2,"")</f>
      </c>
      <c r="G114" t="s">
        <v>186</v>
      </c>
      <c r="H114" t="s">
        <v>213</v>
      </c>
      <c r="I114">
        <f>IF(D11=H116,2,"")</f>
      </c>
      <c r="J114" t="s">
        <v>214</v>
      </c>
      <c r="AA114" s="52"/>
      <c r="AB114" t="s">
        <v>53</v>
      </c>
      <c r="AC114" t="str">
        <f>IF(AA114&gt;0,1," ")</f>
        <v> </v>
      </c>
      <c r="AN114" t="str">
        <f>IF(AA114&gt;0,AA114," ")</f>
        <v> </v>
      </c>
      <c r="AP114" s="36"/>
      <c r="AQ114" s="2"/>
      <c r="AR114" s="10"/>
      <c r="AS114" s="10"/>
      <c r="AW114" s="2"/>
      <c r="AX114" s="2"/>
      <c r="CU114" s="2"/>
      <c r="CV114" s="2"/>
      <c r="CY114" s="52"/>
      <c r="CZ114" t="s">
        <v>53</v>
      </c>
      <c r="DA114" t="str">
        <f>IF(CY114&gt;0,1," ")</f>
        <v> </v>
      </c>
      <c r="DL114" t="str">
        <f>IF(CY114&gt;0,CY114," ")</f>
        <v> </v>
      </c>
      <c r="DN114" s="36"/>
      <c r="DO114" s="2"/>
      <c r="DP114" s="10"/>
      <c r="DQ114" s="10"/>
      <c r="DU114" s="2"/>
      <c r="DV114" s="2"/>
    </row>
    <row r="115" spans="2:131" ht="12.75">
      <c r="B115" s="7">
        <f>(IF(I7&lt;1.4,ROUND((1.4*I7),0),2))</f>
        <v>1</v>
      </c>
      <c r="C115">
        <f>IF(D8&lt;B115,0,"")</f>
        <v>0</v>
      </c>
      <c r="F115">
        <f>IF(D10&lt;E112,0,"")</f>
        <v>0</v>
      </c>
      <c r="H115" s="7">
        <f>IF(I7&lt;2.45,ROUND((0.5*I7),1),1.3)</f>
        <v>0.2</v>
      </c>
      <c r="I115">
        <f>IF(D11&lt;H115,0,"")</f>
        <v>0</v>
      </c>
      <c r="J115">
        <f>IF(J19&gt;50,10,"")</f>
      </c>
      <c r="AA115" s="52"/>
      <c r="AB115" t="s">
        <v>50</v>
      </c>
      <c r="AD115" t="str">
        <f>IF(AA115&gt;0,1," ")</f>
        <v> </v>
      </c>
      <c r="AG115" t="str">
        <f>IF($AA115&gt;0,1," ")</f>
        <v> </v>
      </c>
      <c r="AM115" t="str">
        <f>IF(AA115&gt;0,AA115," ")</f>
        <v> </v>
      </c>
      <c r="AO115" t="str">
        <f>IF(AA115&gt;0,AA115," ")</f>
        <v> </v>
      </c>
      <c r="AR115" s="10" t="str">
        <f>IF($AA115&gt;0,1," ")</f>
        <v> </v>
      </c>
      <c r="AS115" s="10" t="str">
        <f>IF($AA115&gt;0,AA115," ")</f>
        <v> </v>
      </c>
      <c r="BC115" t="str">
        <f>IF($AA115&gt;0,$AA115," ")</f>
        <v> </v>
      </c>
      <c r="CY115" s="52"/>
      <c r="CZ115" t="s">
        <v>50</v>
      </c>
      <c r="DB115" t="str">
        <f>IF(CY115&gt;0,1," ")</f>
        <v> </v>
      </c>
      <c r="DE115" t="str">
        <f>IF($AA115&gt;0,1," ")</f>
        <v> </v>
      </c>
      <c r="DK115" t="str">
        <f>IF(CY115&gt;0,CY115," ")</f>
        <v> </v>
      </c>
      <c r="DM115" t="str">
        <f>IF(CY115&gt;0,CY115," ")</f>
        <v> </v>
      </c>
      <c r="DN115" s="20"/>
      <c r="DP115" s="10" t="str">
        <f>IF($AA115&gt;0,1," ")</f>
        <v> </v>
      </c>
      <c r="DQ115" s="10" t="str">
        <f>IF($AA115&gt;0,CY115," ")</f>
        <v> </v>
      </c>
      <c r="EA115" t="str">
        <f>IF($AA115&gt;0,$AA115," ")</f>
        <v> </v>
      </c>
    </row>
    <row r="116" spans="8:126" ht="12.75">
      <c r="H116" s="2">
        <f>IF(AND($H$115&gt;0,$H$115&lt;1),ROUND($H$115+0.4,0),$H$115)</f>
        <v>1</v>
      </c>
      <c r="J116">
        <f>IF(J19=50,7,"")</f>
      </c>
      <c r="AA116" s="52"/>
      <c r="AB116" s="2" t="s">
        <v>28</v>
      </c>
      <c r="AC116" s="2"/>
      <c r="AD116" s="2"/>
      <c r="AE116" t="str">
        <f>IF(AA116&gt;0,1," ")</f>
        <v> 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6"/>
      <c r="AQ116" s="2"/>
      <c r="AR116" s="41"/>
      <c r="AS116" s="41"/>
      <c r="AT116" s="2"/>
      <c r="AU116" s="2"/>
      <c r="AW116" s="2"/>
      <c r="AX116" s="2"/>
      <c r="CU116" s="2"/>
      <c r="CV116" s="2"/>
      <c r="CY116" s="52"/>
      <c r="CZ116" s="2" t="s">
        <v>28</v>
      </c>
      <c r="DA116" s="2"/>
      <c r="DB116" s="2"/>
      <c r="DC116" t="str">
        <f>IF(CY116&gt;0,1," ")</f>
        <v> </v>
      </c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36"/>
      <c r="DO116" s="2"/>
      <c r="DP116" s="41"/>
      <c r="DQ116" s="41"/>
      <c r="DR116" s="2"/>
      <c r="DS116" s="2"/>
      <c r="DU116" s="2"/>
      <c r="DV116" s="2"/>
    </row>
    <row r="117" spans="10:126" ht="12.75">
      <c r="J117">
        <f>IF(AND(J19&gt;20,J19&lt;50),5,"")</f>
      </c>
      <c r="AA117" s="52"/>
      <c r="AB117" t="s">
        <v>24</v>
      </c>
      <c r="AE117" t="str">
        <f>IF(AA117&gt;0,1," ")</f>
        <v> </v>
      </c>
      <c r="AL117" t="str">
        <f>IF(AA117&gt;0,AA117," ")</f>
        <v> </v>
      </c>
      <c r="AP117" s="36"/>
      <c r="AQ117" s="2"/>
      <c r="AR117" s="10"/>
      <c r="AS117" s="10"/>
      <c r="AV117" t="str">
        <f>IF(AA117&gt;0,AA117," ")</f>
        <v> </v>
      </c>
      <c r="AW117" t="str">
        <f>IF($AA117&gt;0,$AA117," ")</f>
        <v> </v>
      </c>
      <c r="AX117" s="2"/>
      <c r="CU117" s="2"/>
      <c r="CV117" s="2"/>
      <c r="CY117" s="52"/>
      <c r="CZ117" t="s">
        <v>24</v>
      </c>
      <c r="DC117" t="str">
        <f>IF(CY117&gt;0,1," ")</f>
        <v> </v>
      </c>
      <c r="DJ117" t="str">
        <f>IF(CY117&gt;0,CY117," ")</f>
        <v> </v>
      </c>
      <c r="DN117" s="36"/>
      <c r="DO117" s="2"/>
      <c r="DP117" s="10"/>
      <c r="DQ117" s="10"/>
      <c r="DT117" t="str">
        <f>IF(CY117&gt;0,CY117," ")</f>
        <v> </v>
      </c>
      <c r="DU117" t="str">
        <f>IF($AA117&gt;0,$AA117," ")</f>
        <v> </v>
      </c>
      <c r="DV117" s="2"/>
    </row>
    <row r="118" spans="10:126" ht="12.75">
      <c r="J118">
        <f>IF(J19=20,2,"")</f>
      </c>
      <c r="AA118" s="52"/>
      <c r="AB118" s="2" t="s">
        <v>32</v>
      </c>
      <c r="AC118" s="2"/>
      <c r="AD118" s="2"/>
      <c r="AE118" s="2"/>
      <c r="AF118" s="2"/>
      <c r="AG118" s="2"/>
      <c r="AH118" t="str">
        <f>IF(AA118&gt;0,AA118," ")</f>
        <v> </v>
      </c>
      <c r="AL118" s="2"/>
      <c r="AM118" s="2"/>
      <c r="AN118" t="str">
        <f>IF(AA118&gt;0,AA118," ")</f>
        <v> </v>
      </c>
      <c r="AO118" s="2"/>
      <c r="AP118" s="36"/>
      <c r="AQ118" s="2"/>
      <c r="AR118" s="41"/>
      <c r="AS118" s="41"/>
      <c r="AT118" s="2"/>
      <c r="AU118" s="2"/>
      <c r="AW118" s="2"/>
      <c r="AX118" s="2"/>
      <c r="CU118" s="2"/>
      <c r="CV118" s="2"/>
      <c r="CY118" s="52"/>
      <c r="CZ118" s="2" t="s">
        <v>32</v>
      </c>
      <c r="DA118" s="2"/>
      <c r="DB118" s="2"/>
      <c r="DC118" s="2"/>
      <c r="DD118" s="2"/>
      <c r="DE118" s="2"/>
      <c r="DF118" t="str">
        <f>IF(CY118&gt;0,CY118," ")</f>
        <v> </v>
      </c>
      <c r="DJ118" s="2"/>
      <c r="DK118" s="2"/>
      <c r="DL118" t="str">
        <f>IF(CY118&gt;0,CY118," ")</f>
        <v> </v>
      </c>
      <c r="DM118" s="2"/>
      <c r="DN118" s="36"/>
      <c r="DO118" s="2"/>
      <c r="DP118" s="41"/>
      <c r="DQ118" s="41"/>
      <c r="DR118" s="2"/>
      <c r="DS118" s="2"/>
      <c r="DU118" s="2"/>
      <c r="DV118" s="2"/>
    </row>
    <row r="119" spans="27:121" ht="12.75">
      <c r="AA119" s="52"/>
      <c r="AB119" t="s">
        <v>39</v>
      </c>
      <c r="AM119" t="str">
        <f>IF(AA119&gt;0,AA119," ")</f>
        <v> </v>
      </c>
      <c r="AR119" s="10"/>
      <c r="AS119" s="10"/>
      <c r="CY119" s="52"/>
      <c r="CZ119" t="s">
        <v>39</v>
      </c>
      <c r="DK119" t="str">
        <f>IF(CY119&gt;0,CY119," ")</f>
        <v> </v>
      </c>
      <c r="DN119" s="20"/>
      <c r="DP119" s="10"/>
      <c r="DQ119" s="10"/>
    </row>
    <row r="120" spans="27:130" ht="12.75">
      <c r="AA120" s="52"/>
      <c r="AB120" t="s">
        <v>35</v>
      </c>
      <c r="AG120" t="str">
        <f>IF($AA120&gt;0,1," ")</f>
        <v> </v>
      </c>
      <c r="AM120" t="str">
        <f>IF(AA120&gt;0,AA120," ")</f>
        <v> </v>
      </c>
      <c r="AO120" t="str">
        <f>IF(AA120&gt;0,AA120," ")</f>
        <v> </v>
      </c>
      <c r="AP120" s="36"/>
      <c r="AQ120" s="2"/>
      <c r="AR120" s="10" t="str">
        <f>IF($AA120&gt;0,1," ")</f>
        <v> </v>
      </c>
      <c r="AS120" s="10" t="str">
        <f>IF($AA120&gt;0,AA120," ")</f>
        <v> </v>
      </c>
      <c r="AW120" s="2"/>
      <c r="AX120" s="2"/>
      <c r="BB120" t="str">
        <f>IF($AA120&gt;0,$AA120," ")</f>
        <v> </v>
      </c>
      <c r="CU120" s="2"/>
      <c r="CV120" s="2"/>
      <c r="CY120" s="52"/>
      <c r="CZ120" t="s">
        <v>35</v>
      </c>
      <c r="DE120" t="str">
        <f>IF($AA120&gt;0,1," ")</f>
        <v> </v>
      </c>
      <c r="DK120" t="str">
        <f>IF(CY120&gt;0,CY120," ")</f>
        <v> </v>
      </c>
      <c r="DM120" t="str">
        <f>IF(CY120&gt;0,CY120," ")</f>
        <v> </v>
      </c>
      <c r="DN120" s="36"/>
      <c r="DO120" s="2"/>
      <c r="DP120" s="10" t="str">
        <f>IF($AA120&gt;0,1," ")</f>
        <v> </v>
      </c>
      <c r="DQ120" s="10" t="str">
        <f>IF($AA120&gt;0,CY120," ")</f>
        <v> </v>
      </c>
      <c r="DU120" s="2"/>
      <c r="DV120" s="2"/>
      <c r="DZ120" t="str">
        <f>IF($AA120&gt;0,$AA120," ")</f>
        <v> </v>
      </c>
    </row>
    <row r="121" spans="27:123" ht="12.75">
      <c r="AA121" s="52"/>
      <c r="AB121" s="2" t="s">
        <v>57</v>
      </c>
      <c r="AC121" t="str">
        <f>IF(AA121&gt;0,1," ")</f>
        <v> 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t="str">
        <f>IF(AA121&gt;0,AA121," ")</f>
        <v> </v>
      </c>
      <c r="AO121" s="2"/>
      <c r="AR121" s="41"/>
      <c r="AS121" s="41"/>
      <c r="AT121" s="2"/>
      <c r="AU121" s="2"/>
      <c r="CY121" s="52"/>
      <c r="CZ121" s="2" t="s">
        <v>57</v>
      </c>
      <c r="DA121" t="str">
        <f>IF(CY121&gt;0,1," ")</f>
        <v> </v>
      </c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t="str">
        <f>IF(CY121&gt;0,CY121," ")</f>
        <v> </v>
      </c>
      <c r="DM121" s="2"/>
      <c r="DN121" s="20"/>
      <c r="DP121" s="41"/>
      <c r="DQ121" s="41"/>
      <c r="DR121" s="2"/>
      <c r="DS121" s="2"/>
    </row>
    <row r="122" spans="27:121" ht="12.75">
      <c r="AA122" s="52"/>
      <c r="AB122" t="s">
        <v>84</v>
      </c>
      <c r="AD122" t="str">
        <f>IF(AA122&gt;0,1," ")</f>
        <v> </v>
      </c>
      <c r="AM122" t="str">
        <f>IF(AA122&gt;0,AA122," ")</f>
        <v> </v>
      </c>
      <c r="AO122" t="str">
        <f>IF(AA122&gt;0,AA122," ")</f>
        <v> </v>
      </c>
      <c r="AR122" s="10"/>
      <c r="AS122" s="10"/>
      <c r="CY122" s="52"/>
      <c r="CZ122" t="s">
        <v>84</v>
      </c>
      <c r="DB122" t="str">
        <f>IF(CY122&gt;0,1," ")</f>
        <v> </v>
      </c>
      <c r="DK122" t="str">
        <f>IF(CY122&gt;0,CY122," ")</f>
        <v> </v>
      </c>
      <c r="DM122" t="str">
        <f>IF(CY122&gt;0,CY122," ")</f>
        <v> </v>
      </c>
      <c r="DN122" s="20"/>
      <c r="DP122" s="10"/>
      <c r="DQ122" s="10"/>
    </row>
    <row r="123" spans="27:121" ht="12.75">
      <c r="AA123" s="52"/>
      <c r="AB123" t="s">
        <v>80</v>
      </c>
      <c r="AC123" t="str">
        <f>IF(AA123&gt;0,1," ")</f>
        <v> </v>
      </c>
      <c r="AM123" t="str">
        <f>IF(AA123&gt;0,AA123," ")</f>
        <v> </v>
      </c>
      <c r="AO123" t="str">
        <f>IF(AA123&gt;0,AA123," ")</f>
        <v> </v>
      </c>
      <c r="AR123" s="10"/>
      <c r="AS123" s="10"/>
      <c r="CY123" s="52"/>
      <c r="CZ123" t="s">
        <v>80</v>
      </c>
      <c r="DA123" t="str">
        <f>IF(CY123&gt;0,1," ")</f>
        <v> </v>
      </c>
      <c r="DK123" t="str">
        <f>IF(CY123&gt;0,CY123," ")</f>
        <v> </v>
      </c>
      <c r="DM123" t="str">
        <f>IF(CY123&gt;0,CY123," ")</f>
        <v> </v>
      </c>
      <c r="DN123" s="20"/>
      <c r="DP123" s="10"/>
      <c r="DQ123" s="10"/>
    </row>
    <row r="124" spans="27:121" ht="12.75">
      <c r="AA124" s="52"/>
      <c r="AB124" t="s">
        <v>87</v>
      </c>
      <c r="AM124" t="str">
        <f>IF(AA124&gt;0,AA124," ")</f>
        <v> </v>
      </c>
      <c r="AO124" t="str">
        <f>IF(AA124&gt;0,AA124," ")</f>
        <v> </v>
      </c>
      <c r="AR124" s="10"/>
      <c r="AS124" s="10"/>
      <c r="CY124" s="52"/>
      <c r="CZ124" t="s">
        <v>87</v>
      </c>
      <c r="DK124" t="str">
        <f>IF(CY124&gt;0,CY124," ")</f>
        <v> </v>
      </c>
      <c r="DM124" t="str">
        <f>IF(CY124&gt;0,CY124," ")</f>
        <v> </v>
      </c>
      <c r="DN124" s="20"/>
      <c r="DP124" s="10"/>
      <c r="DQ124" s="10"/>
    </row>
    <row r="125" spans="27:131" ht="12.75">
      <c r="AA125" s="52"/>
      <c r="AB125" t="s">
        <v>92</v>
      </c>
      <c r="AF125" t="str">
        <f>IF(AA125&gt;0,1," ")</f>
        <v> </v>
      </c>
      <c r="AG125" t="str">
        <f>IF($AA125&gt;0,1," ")</f>
        <v> </v>
      </c>
      <c r="AL125" t="str">
        <f>IF(AA125&gt;0,AA125," ")</f>
        <v> </v>
      </c>
      <c r="AP125" s="36"/>
      <c r="AQ125" s="2"/>
      <c r="AR125" s="10" t="str">
        <f>IF($AA125&gt;0,1," ")</f>
        <v> </v>
      </c>
      <c r="AS125" s="10" t="str">
        <f>IF($AA125&gt;0,AA125," ")</f>
        <v> </v>
      </c>
      <c r="AT125" t="str">
        <f>IF(AA125&gt;0,AA125," ")</f>
        <v> </v>
      </c>
      <c r="AU125" t="str">
        <f>IF($AA125*(100/$I$8)&gt;1.99,$AA125," ")</f>
        <v> </v>
      </c>
      <c r="AW125" s="2"/>
      <c r="AX125" s="2"/>
      <c r="BC125" t="str">
        <f>IF($AA125&gt;0,$AA125," ")</f>
        <v> </v>
      </c>
      <c r="CU125" s="2"/>
      <c r="CV125" s="2"/>
      <c r="CY125" s="52"/>
      <c r="CZ125" t="s">
        <v>92</v>
      </c>
      <c r="DD125" t="str">
        <f>IF(CY125&gt;0,1," ")</f>
        <v> </v>
      </c>
      <c r="DE125" t="str">
        <f>IF($AA125&gt;0,1," ")</f>
        <v> </v>
      </c>
      <c r="DJ125" t="str">
        <f>IF(CY125&gt;0,CY125," ")</f>
        <v> </v>
      </c>
      <c r="DN125" s="36"/>
      <c r="DO125" s="2"/>
      <c r="DP125" s="10" t="str">
        <f>IF($AA125&gt;0,1," ")</f>
        <v> </v>
      </c>
      <c r="DQ125" s="10" t="str">
        <f>IF($AA125&gt;0,CY125," ")</f>
        <v> </v>
      </c>
      <c r="DR125" t="str">
        <f>IF(CY125&gt;0,CY125," ")</f>
        <v> </v>
      </c>
      <c r="DS125" t="str">
        <f>IF($AA125*(100/$I$8)&gt;1.99,$AA125," ")</f>
        <v> </v>
      </c>
      <c r="DU125" s="2"/>
      <c r="DV125" s="2"/>
      <c r="EA125" t="str">
        <f>IF($AA125&gt;0,$AA125," ")</f>
        <v> </v>
      </c>
    </row>
    <row r="126" spans="27:131" ht="12.75">
      <c r="AA126" s="52"/>
      <c r="AB126" t="s">
        <v>90</v>
      </c>
      <c r="AG126" t="str">
        <f>IF($AA126&gt;0,1," ")</f>
        <v> </v>
      </c>
      <c r="AM126" t="str">
        <f>IF(AA126&gt;0,AA126," ")</f>
        <v> </v>
      </c>
      <c r="AO126" t="str">
        <f>IF(AA126&gt;0,AA126," ")</f>
        <v> </v>
      </c>
      <c r="AP126" s="36"/>
      <c r="AQ126" s="2"/>
      <c r="AR126" s="10" t="str">
        <f>IF($AA126&gt;0,1," ")</f>
        <v> </v>
      </c>
      <c r="AS126" s="10" t="str">
        <f>IF($AA126&gt;0,AA126," ")</f>
        <v> </v>
      </c>
      <c r="AW126" s="2"/>
      <c r="AX126" s="2"/>
      <c r="BC126" t="str">
        <f>IF($AA126&gt;0,$AA126," ")</f>
        <v> </v>
      </c>
      <c r="CU126" s="2"/>
      <c r="CV126" s="2"/>
      <c r="CY126" s="52"/>
      <c r="CZ126" t="s">
        <v>90</v>
      </c>
      <c r="DE126" t="str">
        <f>IF($AA126&gt;0,1," ")</f>
        <v> </v>
      </c>
      <c r="DK126" t="str">
        <f>IF(CY126&gt;0,CY126," ")</f>
        <v> </v>
      </c>
      <c r="DM126" t="str">
        <f>IF(CY126&gt;0,CY126," ")</f>
        <v> </v>
      </c>
      <c r="DN126" s="36"/>
      <c r="DO126" s="2"/>
      <c r="DP126" s="10" t="str">
        <f>IF($AA126&gt;0,1," ")</f>
        <v> </v>
      </c>
      <c r="DQ126" s="10" t="str">
        <f>IF($AA126&gt;0,CY126," ")</f>
        <v> </v>
      </c>
      <c r="DU126" s="2"/>
      <c r="DV126" s="2"/>
      <c r="EA126" t="str">
        <f>IF($AA126&gt;0,$AA126," ")</f>
        <v> </v>
      </c>
    </row>
    <row r="127" spans="27:123" ht="12.75">
      <c r="AA127" s="52"/>
      <c r="AB127" s="2" t="s">
        <v>65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t="str">
        <f>IF(AA127&gt;0,AA127," ")</f>
        <v> </v>
      </c>
      <c r="AN127" s="2"/>
      <c r="AO127" s="2"/>
      <c r="AR127" s="41"/>
      <c r="AS127" s="41"/>
      <c r="AT127" s="2"/>
      <c r="AU127" s="2"/>
      <c r="CY127" s="52"/>
      <c r="CZ127" s="2" t="s">
        <v>65</v>
      </c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t="str">
        <f>IF(CY127&gt;0,CY127," ")</f>
        <v> </v>
      </c>
      <c r="DL127" s="2"/>
      <c r="DM127" s="2"/>
      <c r="DN127" s="20"/>
      <c r="DP127" s="41"/>
      <c r="DQ127" s="41"/>
      <c r="DR127" s="2"/>
      <c r="DS127" s="2"/>
    </row>
    <row r="128" spans="27:123" ht="12.75">
      <c r="AA128" s="52"/>
      <c r="AB128" s="2" t="s">
        <v>61</v>
      </c>
      <c r="AC128" s="2"/>
      <c r="AD128" s="2"/>
      <c r="AE128" t="str">
        <f>IF(AA128&gt;0,1," ")</f>
        <v> </v>
      </c>
      <c r="AF128" s="2"/>
      <c r="AG128" s="2"/>
      <c r="AH128" t="str">
        <f>IF(AA128&gt;0,AA128," ")</f>
        <v> </v>
      </c>
      <c r="AL128" s="2"/>
      <c r="AM128" s="2"/>
      <c r="AN128" t="str">
        <f>IF(AA128&gt;0,AA128," ")</f>
        <v> </v>
      </c>
      <c r="AO128" s="2"/>
      <c r="AR128" s="41"/>
      <c r="AS128" s="41"/>
      <c r="AT128" s="2"/>
      <c r="AU128" s="2"/>
      <c r="CY128" s="52"/>
      <c r="CZ128" s="2" t="s">
        <v>61</v>
      </c>
      <c r="DA128" s="2"/>
      <c r="DB128" s="2"/>
      <c r="DC128" t="str">
        <f>IF(CY128&gt;0,1," ")</f>
        <v> </v>
      </c>
      <c r="DD128" s="2"/>
      <c r="DE128" s="2"/>
      <c r="DF128" t="str">
        <f>IF(CY128&gt;0,CY128," ")</f>
        <v> </v>
      </c>
      <c r="DJ128" s="2"/>
      <c r="DK128" s="2"/>
      <c r="DL128" t="str">
        <f>IF(CY128&gt;0,CY128," ")</f>
        <v> </v>
      </c>
      <c r="DM128" s="2"/>
      <c r="DN128" s="20"/>
      <c r="DP128" s="41"/>
      <c r="DQ128" s="41"/>
      <c r="DR128" s="2"/>
      <c r="DS128" s="2"/>
    </row>
    <row r="129" spans="27:121" ht="12.75">
      <c r="AA129" s="52"/>
      <c r="AB129" t="s">
        <v>69</v>
      </c>
      <c r="AE129" t="str">
        <f>IF(AA129&gt;0,1," ")</f>
        <v> </v>
      </c>
      <c r="AM129" t="str">
        <f>IF(AA129&gt;0,AA129," ")</f>
        <v> </v>
      </c>
      <c r="AR129" s="10"/>
      <c r="AS129" s="10"/>
      <c r="CY129" s="52"/>
      <c r="CZ129" t="s">
        <v>69</v>
      </c>
      <c r="DC129" t="str">
        <f>IF(CY129&gt;0,1," ")</f>
        <v> </v>
      </c>
      <c r="DK129" t="str">
        <f>IF(CY129&gt;0,CY129," ")</f>
        <v> </v>
      </c>
      <c r="DN129" s="20"/>
      <c r="DP129" s="10"/>
      <c r="DQ129" s="10"/>
    </row>
    <row r="130" spans="27:130" ht="12.75">
      <c r="AA130" s="52"/>
      <c r="AB130" s="2" t="s">
        <v>77</v>
      </c>
      <c r="AC130" s="2"/>
      <c r="AD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R130" s="10"/>
      <c r="AS130" s="10"/>
      <c r="AT130" s="2"/>
      <c r="AU130" s="2"/>
      <c r="BB130" t="str">
        <f>IF($AA130&gt;0,$AA130," ")</f>
        <v> </v>
      </c>
      <c r="CY130" s="52"/>
      <c r="CZ130" s="2" t="s">
        <v>77</v>
      </c>
      <c r="DA130" s="2"/>
      <c r="DB130" s="2"/>
      <c r="DC130" s="2"/>
      <c r="DD130" s="2"/>
      <c r="DF130" s="2"/>
      <c r="DG130" s="2"/>
      <c r="DH130" s="2"/>
      <c r="DI130" s="2"/>
      <c r="DJ130" s="2"/>
      <c r="DK130" s="2"/>
      <c r="DL130" s="2"/>
      <c r="DM130" s="2"/>
      <c r="DN130" s="20"/>
      <c r="DP130" s="10"/>
      <c r="DQ130" s="10"/>
      <c r="DR130" s="2"/>
      <c r="DS130" s="2"/>
      <c r="DZ130" t="str">
        <f>IF($AA130&gt;0,$AA130," ")</f>
        <v> </v>
      </c>
    </row>
    <row r="131" spans="27:130" ht="12.75">
      <c r="AA131" s="52"/>
      <c r="AB131" s="2" t="s">
        <v>73</v>
      </c>
      <c r="AC131" s="2"/>
      <c r="AD131" s="2"/>
      <c r="AE131" s="2"/>
      <c r="AF131" s="2"/>
      <c r="AG131" t="str">
        <f>IF($AA130&gt;0,1,IF($AA131&gt;0,1," "))</f>
        <v> </v>
      </c>
      <c r="AH131" s="2"/>
      <c r="AI131" s="2"/>
      <c r="AJ131" t="str">
        <f>IF(AA130&gt;0,IF(AB130="S. Brook Lamprey (adult)",IF(AA131&gt;0,1," ")," ")," ")</f>
        <v> </v>
      </c>
      <c r="AK131" t="str">
        <f>IF(AB130&gt;0,IF(AC130="S. Brook Lamprey (adult)",IF(AB131&gt;0,1," ")," ")," ")</f>
        <v> </v>
      </c>
      <c r="AL131" s="2"/>
      <c r="AM131" s="2"/>
      <c r="AN131" s="2"/>
      <c r="AO131" s="2"/>
      <c r="AP131" s="36"/>
      <c r="AQ131" s="2"/>
      <c r="AR131" s="10" t="str">
        <f>IF($AA130&gt;0,1,IF($AA131&gt;0,1," "))</f>
        <v> </v>
      </c>
      <c r="AS131" s="10" t="str">
        <f>IF($AA130&gt;0,AA130,IF($AA131&gt;0,AA131," "))</f>
        <v> </v>
      </c>
      <c r="AT131" s="2"/>
      <c r="AU131" s="2"/>
      <c r="AW131" s="2"/>
      <c r="AX131" s="2"/>
      <c r="BB131" t="str">
        <f>IF($AA131&gt;0,$AA131," ")</f>
        <v> </v>
      </c>
      <c r="CU131" s="2"/>
      <c r="CV131" s="2"/>
      <c r="CY131" s="52"/>
      <c r="CZ131" s="2" t="s">
        <v>73</v>
      </c>
      <c r="DA131" s="2"/>
      <c r="DB131" s="2"/>
      <c r="DC131" s="2"/>
      <c r="DD131" s="2"/>
      <c r="DE131" t="str">
        <f>IF($AA130&gt;0,1,IF($AA131&gt;0,1," "))</f>
        <v> </v>
      </c>
      <c r="DF131" s="2"/>
      <c r="DG131" s="2"/>
      <c r="DH131" t="str">
        <f>IF(CY130&gt;0,IF(CZ130="S. Brook Lamprey (adult)",IF(CY131&gt;0,1," ")," ")," ")</f>
        <v> </v>
      </c>
      <c r="DI131" t="str">
        <f>IF(CZ130&gt;0,IF(DA130="S. Brook Lamprey (adult)",IF(CZ131&gt;0,1," ")," ")," ")</f>
        <v> </v>
      </c>
      <c r="DJ131" s="2"/>
      <c r="DK131" s="2"/>
      <c r="DL131" s="2"/>
      <c r="DM131" s="2"/>
      <c r="DN131" s="36"/>
      <c r="DO131" s="2"/>
      <c r="DP131" s="10" t="str">
        <f>IF($AA130&gt;0,1,IF($AA131&gt;0,1," "))</f>
        <v> </v>
      </c>
      <c r="DQ131" s="10" t="str">
        <f>IF($AA130&gt;0,CY130,IF($AA131&gt;0,CY131," "))</f>
        <v> </v>
      </c>
      <c r="DR131" s="2"/>
      <c r="DS131" s="2"/>
      <c r="DU131" s="2"/>
      <c r="DV131" s="2"/>
      <c r="DZ131" t="str">
        <f>IF($AA131&gt;0,$AA131," ")</f>
        <v> </v>
      </c>
    </row>
    <row r="132" spans="27:121" ht="12.75">
      <c r="AA132" s="52"/>
      <c r="AB132" t="s">
        <v>140</v>
      </c>
      <c r="AM132" t="str">
        <f>IF(AA132&gt;0,AA132," ")</f>
        <v> </v>
      </c>
      <c r="AR132" s="10"/>
      <c r="AS132" s="10"/>
      <c r="CY132" s="52"/>
      <c r="CZ132" t="s">
        <v>140</v>
      </c>
      <c r="DK132" t="str">
        <f>IF(CY132&gt;0,CY132," ")</f>
        <v> </v>
      </c>
      <c r="DN132" s="20"/>
      <c r="DP132" s="10"/>
      <c r="DQ132" s="10"/>
    </row>
    <row r="133" spans="27:126" ht="12.75">
      <c r="AA133" s="52"/>
      <c r="AB133" t="s">
        <v>218</v>
      </c>
      <c r="AL133" t="str">
        <f>IF(AA133&gt;0,AA133," ")</f>
        <v> </v>
      </c>
      <c r="AO133" t="str">
        <f>IF(AA133&gt;0,AA133," ")</f>
        <v> </v>
      </c>
      <c r="AP133" s="36"/>
      <c r="AQ133" s="2"/>
      <c r="AR133" s="10"/>
      <c r="AS133" s="10"/>
      <c r="AT133" t="str">
        <f>IF(AA133&gt;0,AA133," ")</f>
        <v> </v>
      </c>
      <c r="AU133" t="str">
        <f>IF($AA133*(100/$I$8)&gt;1.99,$AA133," ")</f>
        <v> </v>
      </c>
      <c r="AW133" s="2"/>
      <c r="AX133" s="2"/>
      <c r="CU133" s="2"/>
      <c r="CV133" s="2"/>
      <c r="CY133" s="52"/>
      <c r="CZ133" t="s">
        <v>218</v>
      </c>
      <c r="DJ133" t="str">
        <f>IF(CY133&gt;0,CY133," ")</f>
        <v> </v>
      </c>
      <c r="DM133" t="str">
        <f>IF(CY133&gt;0,CY133," ")</f>
        <v> </v>
      </c>
      <c r="DN133" s="36"/>
      <c r="DO133" s="2"/>
      <c r="DP133" s="10"/>
      <c r="DQ133" s="10"/>
      <c r="DR133" t="str">
        <f>IF(CY133&gt;0,CY133," ")</f>
        <v> </v>
      </c>
      <c r="DS133" t="str">
        <f>IF($AA133*(100/$I$8)&gt;1.99,$AA133," ")</f>
        <v> </v>
      </c>
      <c r="DU133" s="2"/>
      <c r="DV133" s="2"/>
    </row>
    <row r="134" spans="27:126" ht="12.75">
      <c r="AA134" s="52"/>
      <c r="AB134" s="2" t="s">
        <v>216</v>
      </c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R134" s="41"/>
      <c r="AS134" s="41"/>
      <c r="AT134" s="2"/>
      <c r="AU134" s="2"/>
      <c r="AX134" t="str">
        <f>IF($AA134&gt;0,$AA134," ")</f>
        <v> </v>
      </c>
      <c r="CY134" s="52"/>
      <c r="CZ134" s="2" t="s">
        <v>216</v>
      </c>
      <c r="DA134" s="2"/>
      <c r="DB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0"/>
      <c r="DP134" s="41"/>
      <c r="DQ134" s="41"/>
      <c r="DR134" s="2"/>
      <c r="DS134" s="2"/>
      <c r="DV134" t="str">
        <f>IF($AA134&gt;0,$AA134," ")</f>
        <v> </v>
      </c>
    </row>
    <row r="135" spans="27:126" ht="12.75">
      <c r="AA135" s="52"/>
      <c r="AB135" s="2" t="s">
        <v>220</v>
      </c>
      <c r="AC135" s="2"/>
      <c r="AD135" s="2"/>
      <c r="AE135" t="str">
        <f>IF($AA134&gt;0,1,IF($AA135&gt;0,1," "))</f>
        <v> </v>
      </c>
      <c r="AF135" s="2"/>
      <c r="AG135" t="str">
        <f>IF($AA135&gt;0,1," ")</f>
        <v> </v>
      </c>
      <c r="AH135" s="2"/>
      <c r="AI135" s="2"/>
      <c r="AJ135" t="str">
        <f>IF(AA134&gt;0,IF(AB134="Sea Lamprey (adult)",IF(AA135&gt;0,1," ")," ")," ")</f>
        <v> </v>
      </c>
      <c r="AK135" t="str">
        <f>IF(AB134&gt;0,IF(AC134="Sea Lamprey (adult)",IF(AB135&gt;0,1," ")," ")," ")</f>
        <v> </v>
      </c>
      <c r="AL135" s="2"/>
      <c r="AM135" s="2"/>
      <c r="AN135" s="2"/>
      <c r="AO135" s="2"/>
      <c r="AR135" s="10" t="str">
        <f>IF($AA135&gt;0,1," ")</f>
        <v> </v>
      </c>
      <c r="AS135" s="10" t="str">
        <f>IF($AA135&gt;0,AA135," ")</f>
        <v> </v>
      </c>
      <c r="AT135" s="2"/>
      <c r="AU135" s="2"/>
      <c r="AX135" t="str">
        <f>IF($AA135&gt;0,$AA135," ")</f>
        <v> </v>
      </c>
      <c r="CY135" s="52"/>
      <c r="CZ135" s="2" t="s">
        <v>220</v>
      </c>
      <c r="DA135" s="2"/>
      <c r="DB135" s="2"/>
      <c r="DC135" t="str">
        <f>IF($AA134&gt;0,1,IF($AA135&gt;0,1," "))</f>
        <v> </v>
      </c>
      <c r="DD135" s="2"/>
      <c r="DE135" t="str">
        <f>IF($AA135&gt;0,1," ")</f>
        <v> </v>
      </c>
      <c r="DF135" s="2"/>
      <c r="DG135" s="2"/>
      <c r="DH135" t="str">
        <f>IF(CY134&gt;0,IF(CZ134="Sea Lamprey (adult)",IF(CY135&gt;0,1," ")," ")," ")</f>
        <v> </v>
      </c>
      <c r="DI135" t="str">
        <f>IF(CZ134&gt;0,IF(DA134="Sea Lamprey (adult)",IF(CZ135&gt;0,1," ")," ")," ")</f>
        <v> </v>
      </c>
      <c r="DJ135" s="2"/>
      <c r="DK135" s="2"/>
      <c r="DL135" s="2"/>
      <c r="DM135" s="2"/>
      <c r="DN135" s="20"/>
      <c r="DP135" s="10" t="str">
        <f>IF($AA135&gt;0,1," ")</f>
        <v> </v>
      </c>
      <c r="DQ135" s="10" t="str">
        <f>IF($AA135&gt;0,CY135," ")</f>
        <v> </v>
      </c>
      <c r="DR135" s="2"/>
      <c r="DS135" s="2"/>
      <c r="DV135" t="str">
        <f>IF($AA135&gt;0,$AA135," ")</f>
        <v> </v>
      </c>
    </row>
    <row r="136" spans="27:131" ht="12.75">
      <c r="AA136" s="52"/>
      <c r="AB136" t="s">
        <v>224</v>
      </c>
      <c r="AC136" t="str">
        <f>IF(AA136&gt;0,1," ")</f>
        <v> </v>
      </c>
      <c r="AM136" t="str">
        <f>IF(AA136&gt;0,AA136," ")</f>
        <v> </v>
      </c>
      <c r="AO136" t="str">
        <f>IF(AA136&gt;0,AA136," ")</f>
        <v> </v>
      </c>
      <c r="AP136" s="36"/>
      <c r="AQ136" s="2"/>
      <c r="AR136" s="10"/>
      <c r="AS136" s="10"/>
      <c r="AW136" s="2"/>
      <c r="AX136" s="2"/>
      <c r="BC136" t="str">
        <f>IF($AA136&gt;0,$AA136," ")</f>
        <v> </v>
      </c>
      <c r="CU136" s="2"/>
      <c r="CV136" s="2"/>
      <c r="CY136" s="52"/>
      <c r="CZ136" t="s">
        <v>224</v>
      </c>
      <c r="DA136" t="str">
        <f>IF(CY136&gt;0,1," ")</f>
        <v> </v>
      </c>
      <c r="DK136" t="str">
        <f>IF(CY136&gt;0,CY136," ")</f>
        <v> </v>
      </c>
      <c r="DM136" t="str">
        <f>IF(CY136&gt;0,CY136," ")</f>
        <v> </v>
      </c>
      <c r="DN136" s="36"/>
      <c r="DO136" s="2"/>
      <c r="DP136" s="10"/>
      <c r="DQ136" s="10"/>
      <c r="DU136" s="2"/>
      <c r="DV136" s="2"/>
      <c r="EA136" t="str">
        <f>IF($AA136&gt;0,$AA136," ")</f>
        <v> </v>
      </c>
    </row>
    <row r="137" spans="27:126" ht="12.75">
      <c r="AA137" s="52"/>
      <c r="AB137" s="2" t="s">
        <v>222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6"/>
      <c r="AQ137" s="2"/>
      <c r="AR137" s="41"/>
      <c r="AS137" s="41"/>
      <c r="AT137" s="2"/>
      <c r="AU137" s="2"/>
      <c r="AW137" s="2"/>
      <c r="AX137" s="2"/>
      <c r="CU137" s="2"/>
      <c r="CV137" s="2"/>
      <c r="CY137" s="52"/>
      <c r="CZ137" s="2" t="s">
        <v>222</v>
      </c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36"/>
      <c r="DO137" s="2"/>
      <c r="DP137" s="41"/>
      <c r="DQ137" s="41"/>
      <c r="DR137" s="2"/>
      <c r="DS137" s="2"/>
      <c r="DU137" s="2"/>
      <c r="DV137" s="2"/>
    </row>
    <row r="138" spans="27:123" ht="12.75">
      <c r="AA138" s="52"/>
      <c r="AB138" s="2" t="s">
        <v>201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R138" s="41"/>
      <c r="AS138" s="41"/>
      <c r="AT138" s="2"/>
      <c r="AU138" s="2"/>
      <c r="CY138" s="52"/>
      <c r="CZ138" s="2" t="s">
        <v>201</v>
      </c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0"/>
      <c r="DP138" s="41"/>
      <c r="DQ138" s="41"/>
      <c r="DR138" s="2"/>
      <c r="DS138" s="2"/>
    </row>
    <row r="139" spans="27:126" ht="12.75">
      <c r="AA139" s="52"/>
      <c r="AB139" s="2" t="s">
        <v>199</v>
      </c>
      <c r="AC139" s="2"/>
      <c r="AD139" s="2"/>
      <c r="AE139" s="2"/>
      <c r="AF139" s="2"/>
      <c r="AG139" s="2"/>
      <c r="AH139" s="2"/>
      <c r="AI139" s="2"/>
      <c r="AJ139" s="2"/>
      <c r="AK139" s="2"/>
      <c r="AL139" t="str">
        <f>IF(AA139&gt;0,AA139," ")</f>
        <v> </v>
      </c>
      <c r="AM139" s="2"/>
      <c r="AN139" s="2"/>
      <c r="AO139" s="2"/>
      <c r="AP139" s="36"/>
      <c r="AQ139" s="2"/>
      <c r="AR139" s="41"/>
      <c r="AS139" s="41"/>
      <c r="AT139" s="2"/>
      <c r="AU139" s="2"/>
      <c r="AW139" s="2"/>
      <c r="AX139" s="2"/>
      <c r="CU139" s="2"/>
      <c r="CV139" s="2"/>
      <c r="CY139" s="52"/>
      <c r="CZ139" s="2" t="s">
        <v>199</v>
      </c>
      <c r="DA139" s="2"/>
      <c r="DB139" s="2"/>
      <c r="DC139" s="2"/>
      <c r="DD139" s="2"/>
      <c r="DE139" s="2"/>
      <c r="DF139" s="2"/>
      <c r="DG139" s="2"/>
      <c r="DH139" s="2"/>
      <c r="DI139" s="2"/>
      <c r="DJ139" t="str">
        <f>IF(CY139&gt;0,CY139," ")</f>
        <v> </v>
      </c>
      <c r="DK139" s="2"/>
      <c r="DL139" s="2"/>
      <c r="DM139" s="2"/>
      <c r="DN139" s="36"/>
      <c r="DO139" s="2"/>
      <c r="DP139" s="41"/>
      <c r="DQ139" s="41"/>
      <c r="DR139" s="2"/>
      <c r="DS139" s="2"/>
      <c r="DU139" s="2"/>
      <c r="DV139" s="2"/>
    </row>
    <row r="140" spans="27:123" ht="12.75">
      <c r="AA140" s="52"/>
      <c r="AB140" s="2" t="s">
        <v>206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t="str">
        <f>IF(AA140&gt;0,AA140," ")</f>
        <v> </v>
      </c>
      <c r="AN140" s="2"/>
      <c r="AO140" t="str">
        <f>IF(AA140&gt;0,AA140," ")</f>
        <v> </v>
      </c>
      <c r="AR140" s="41"/>
      <c r="AS140" s="41"/>
      <c r="AT140" t="str">
        <f>IF(AA140&gt;0,AA140," ")</f>
        <v> </v>
      </c>
      <c r="AU140" t="str">
        <f>IF($AA140*(100/$I$8)&gt;1.99,$AA140," ")</f>
        <v> </v>
      </c>
      <c r="CY140" s="52"/>
      <c r="CZ140" s="2" t="s">
        <v>206</v>
      </c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t="str">
        <f>IF(CY140&gt;0,CY140," ")</f>
        <v> </v>
      </c>
      <c r="DL140" s="2"/>
      <c r="DM140" t="str">
        <f>IF(CY140&gt;0,CY140," ")</f>
        <v> </v>
      </c>
      <c r="DN140" s="20"/>
      <c r="DP140" s="41"/>
      <c r="DQ140" s="41"/>
      <c r="DR140" t="str">
        <f>IF(CY140&gt;0,CY140," ")</f>
        <v> </v>
      </c>
      <c r="DS140" t="str">
        <f>IF($AA140*(100/$I$8)&gt;1.99,$AA140," ")</f>
        <v> </v>
      </c>
    </row>
    <row r="141" spans="27:123" ht="12.75">
      <c r="AA141" s="52"/>
      <c r="AB141" s="2" t="s">
        <v>210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t="str">
        <f>IF(AA141&gt;0,AA141," ")</f>
        <v> </v>
      </c>
      <c r="AN141" s="2"/>
      <c r="AO141" s="2"/>
      <c r="AR141" s="41"/>
      <c r="AS141" s="41"/>
      <c r="AT141" s="2"/>
      <c r="AU141" s="2"/>
      <c r="CY141" s="52"/>
      <c r="CZ141" s="2" t="s">
        <v>210</v>
      </c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t="str">
        <f>IF(CY141&gt;0,CY141," ")</f>
        <v> </v>
      </c>
      <c r="DL141" s="2"/>
      <c r="DM141" s="2"/>
      <c r="DN141" s="20"/>
      <c r="DP141" s="41"/>
      <c r="DQ141" s="41"/>
      <c r="DR141" s="2"/>
      <c r="DS141" s="2"/>
    </row>
    <row r="142" spans="27:131" ht="12.75">
      <c r="AA142" s="52"/>
      <c r="AB142" s="2" t="s">
        <v>208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6"/>
      <c r="AQ142" s="2"/>
      <c r="AR142" s="41"/>
      <c r="AS142" s="41"/>
      <c r="AT142" s="2"/>
      <c r="AU142" s="2"/>
      <c r="AW142" s="2"/>
      <c r="AX142" s="2"/>
      <c r="BC142" t="str">
        <f>IF($AA142&gt;0,$AA142," ")</f>
        <v> </v>
      </c>
      <c r="CU142" s="2"/>
      <c r="CV142" s="2"/>
      <c r="CY142" s="52"/>
      <c r="CZ142" s="2" t="s">
        <v>208</v>
      </c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36"/>
      <c r="DO142" s="2"/>
      <c r="DP142" s="41"/>
      <c r="DQ142" s="41"/>
      <c r="DR142" s="2"/>
      <c r="DS142" s="2"/>
      <c r="DU142" s="2"/>
      <c r="DV142" s="2"/>
      <c r="EA142" t="str">
        <f>IF($AA142&gt;0,$AA142," ")</f>
        <v> </v>
      </c>
    </row>
    <row r="143" spans="27:131" ht="12.75">
      <c r="AA143" s="52"/>
      <c r="AB143" s="2" t="s">
        <v>226</v>
      </c>
      <c r="AC143" s="2"/>
      <c r="AD143" s="2"/>
      <c r="AE143" s="2"/>
      <c r="AF143" s="2"/>
      <c r="AG143" t="str">
        <f>IF($AA143&gt;0,1," ")</f>
        <v> </v>
      </c>
      <c r="AH143" s="2"/>
      <c r="AI143" t="str">
        <f>IF($AA142&gt;0,IF($AB142="Silver Lamprey (adult)",IF($AA143&gt;0,1," ")," ")," ")</f>
        <v> </v>
      </c>
      <c r="AL143" s="2"/>
      <c r="AM143" s="2"/>
      <c r="AN143" s="2"/>
      <c r="AO143" s="2"/>
      <c r="AR143" s="10" t="str">
        <f>IF($AA143&gt;0,1," ")</f>
        <v> </v>
      </c>
      <c r="AS143" s="10" t="str">
        <f>IF($AA143&gt;0,AA143," ")</f>
        <v> </v>
      </c>
      <c r="AT143" s="2"/>
      <c r="AU143" s="2"/>
      <c r="BC143" t="str">
        <f>IF($AA143&gt;0,$AA143," ")</f>
        <v> </v>
      </c>
      <c r="CY143" s="52"/>
      <c r="CZ143" s="2" t="s">
        <v>226</v>
      </c>
      <c r="DA143" s="2"/>
      <c r="DB143" s="2"/>
      <c r="DC143" s="2"/>
      <c r="DD143" s="2"/>
      <c r="DE143" t="str">
        <f>IF($AA143&gt;0,1," ")</f>
        <v> </v>
      </c>
      <c r="DF143" s="2"/>
      <c r="DG143" t="str">
        <f>IF($AA142&gt;0,IF($AB142="Silver Lamprey (adult)",IF($AA143&gt;0,1," ")," ")," ")</f>
        <v> </v>
      </c>
      <c r="DJ143" s="2"/>
      <c r="DK143" s="2"/>
      <c r="DL143" s="2"/>
      <c r="DM143" s="2"/>
      <c r="DN143" s="20"/>
      <c r="DP143" s="10" t="str">
        <f>IF($AA143&gt;0,1," ")</f>
        <v> </v>
      </c>
      <c r="DQ143" s="10" t="str">
        <f>IF($AA143&gt;0,CY143," ")</f>
        <v> </v>
      </c>
      <c r="DR143" s="2"/>
      <c r="DS143" s="2"/>
      <c r="EA143" t="str">
        <f>IF($AA143&gt;0,$AA143," ")</f>
        <v> </v>
      </c>
    </row>
    <row r="144" spans="27:131" ht="12.75">
      <c r="AA144" s="52"/>
      <c r="AB144" t="s">
        <v>240</v>
      </c>
      <c r="AC144" t="str">
        <f>IF(AA144&gt;0,1," ")</f>
        <v> </v>
      </c>
      <c r="AM144" t="str">
        <f>IF(AA144&gt;0,AA144," ")</f>
        <v> </v>
      </c>
      <c r="AO144" t="str">
        <f>IF(AA144&gt;0,AA144," ")</f>
        <v> </v>
      </c>
      <c r="AR144" s="10"/>
      <c r="AS144" s="10"/>
      <c r="BC144" t="str">
        <f>IF($AA144&gt;0,$AA144," ")</f>
        <v> </v>
      </c>
      <c r="CY144" s="52"/>
      <c r="CZ144" t="s">
        <v>240</v>
      </c>
      <c r="DA144" t="str">
        <f>IF(CY144&gt;0,1," ")</f>
        <v> </v>
      </c>
      <c r="DK144" t="str">
        <f>IF(CY144&gt;0,CY144," ")</f>
        <v> </v>
      </c>
      <c r="DM144" t="str">
        <f>IF(CY144&gt;0,CY144," ")</f>
        <v> </v>
      </c>
      <c r="DN144" s="20"/>
      <c r="DP144" s="10"/>
      <c r="DQ144" s="10"/>
      <c r="EA144" t="str">
        <f>IF($AA144&gt;0,$AA144," ")</f>
        <v> </v>
      </c>
    </row>
    <row r="145" spans="27:123" ht="12.75">
      <c r="AA145" s="52"/>
      <c r="AB145" s="2" t="s">
        <v>238</v>
      </c>
      <c r="AC145" s="2"/>
      <c r="AD145" s="2"/>
      <c r="AE145" s="2"/>
      <c r="AF145" s="2"/>
      <c r="AG145" s="2"/>
      <c r="AH145" s="2"/>
      <c r="AI145" s="2"/>
      <c r="AJ145" s="2"/>
      <c r="AK145" s="2"/>
      <c r="AL145" t="str">
        <f>IF(AA145&gt;0,AA145," ")</f>
        <v> </v>
      </c>
      <c r="AM145" s="2"/>
      <c r="AN145" s="2"/>
      <c r="AO145" s="2"/>
      <c r="AR145" s="41"/>
      <c r="AS145" s="41"/>
      <c r="AT145" s="2"/>
      <c r="AU145" s="2"/>
      <c r="CY145" s="52"/>
      <c r="CZ145" s="2" t="s">
        <v>238</v>
      </c>
      <c r="DA145" s="2"/>
      <c r="DB145" s="2"/>
      <c r="DC145" s="2"/>
      <c r="DD145" s="2"/>
      <c r="DE145" s="2"/>
      <c r="DF145" s="2"/>
      <c r="DG145" s="2"/>
      <c r="DH145" s="2"/>
      <c r="DI145" s="2"/>
      <c r="DJ145" t="str">
        <f>IF(CY145&gt;0,CY145," ")</f>
        <v> </v>
      </c>
      <c r="DK145" s="2"/>
      <c r="DL145" s="2"/>
      <c r="DM145" s="2"/>
      <c r="DN145" s="20"/>
      <c r="DP145" s="41"/>
      <c r="DQ145" s="41"/>
      <c r="DR145" s="2"/>
      <c r="DS145" s="2"/>
    </row>
    <row r="146" spans="27:123" ht="12.75">
      <c r="AA146" s="52"/>
      <c r="AB146" t="s">
        <v>242</v>
      </c>
      <c r="AG146" t="str">
        <f>IF($AA146&gt;0,1," ")</f>
        <v> </v>
      </c>
      <c r="AM146" t="str">
        <f>IF(AA146&gt;0,AA146," ")</f>
        <v> </v>
      </c>
      <c r="AR146" s="10" t="str">
        <f>IF($AA146&gt;0,1," ")</f>
        <v> </v>
      </c>
      <c r="AS146" s="10" t="str">
        <f>IF($AA146&gt;0,AA146," ")</f>
        <v> </v>
      </c>
      <c r="AT146" t="str">
        <f>IF(AA146&gt;0,AA146," ")</f>
        <v> </v>
      </c>
      <c r="AU146" t="str">
        <f>IF($AA146*(100/$I$8)&gt;1.99,$AA146," ")</f>
        <v> </v>
      </c>
      <c r="CY146" s="52"/>
      <c r="CZ146" t="s">
        <v>242</v>
      </c>
      <c r="DE146" t="str">
        <f>IF($AA146&gt;0,1," ")</f>
        <v> </v>
      </c>
      <c r="DK146" t="str">
        <f>IF(CY146&gt;0,CY146," ")</f>
        <v> </v>
      </c>
      <c r="DN146" s="20"/>
      <c r="DP146" s="10" t="str">
        <f>IF($AA146&gt;0,1," ")</f>
        <v> </v>
      </c>
      <c r="DQ146" s="10" t="str">
        <f>IF($AA146&gt;0,CY146," ")</f>
        <v> </v>
      </c>
      <c r="DR146" t="str">
        <f>IF(CY146&gt;0,CY146," ")</f>
        <v> </v>
      </c>
      <c r="DS146" t="str">
        <f>IF($AA146*(100/$I$8)&gt;1.99,$AA146," ")</f>
        <v> </v>
      </c>
    </row>
    <row r="147" spans="27:126" ht="12.75">
      <c r="AA147" s="52"/>
      <c r="AB147" t="s">
        <v>246</v>
      </c>
      <c r="AD147" t="str">
        <f>IF(AA147&gt;0,1," ")</f>
        <v> </v>
      </c>
      <c r="AG147" t="str">
        <f>IF($AA147&gt;0,1," ")</f>
        <v> </v>
      </c>
      <c r="AM147" t="str">
        <f>IF(AA147&gt;0,AA147," ")</f>
        <v> </v>
      </c>
      <c r="AO147" t="str">
        <f>IF(AA147&gt;0,AA147," ")</f>
        <v> </v>
      </c>
      <c r="AP147" s="36"/>
      <c r="AQ147" s="2"/>
      <c r="AR147" s="10" t="str">
        <f>IF($AA147&gt;0,1," ")</f>
        <v> </v>
      </c>
      <c r="AS147" s="10" t="str">
        <f>IF($AA147&gt;0,AA147," ")</f>
        <v> </v>
      </c>
      <c r="AW147" s="2"/>
      <c r="AX147" s="2"/>
      <c r="CU147" s="2"/>
      <c r="CV147" s="2"/>
      <c r="CY147" s="52"/>
      <c r="CZ147" t="s">
        <v>246</v>
      </c>
      <c r="DB147" t="str">
        <f>IF(CY147&gt;0,1," ")</f>
        <v> </v>
      </c>
      <c r="DE147" t="str">
        <f>IF($AA147&gt;0,1," ")</f>
        <v> </v>
      </c>
      <c r="DK147" t="str">
        <f>IF(CY147&gt;0,CY147," ")</f>
        <v> </v>
      </c>
      <c r="DM147" t="str">
        <f>IF(CY147&gt;0,CY147," ")</f>
        <v> </v>
      </c>
      <c r="DN147" s="36"/>
      <c r="DO147" s="2"/>
      <c r="DP147" s="10" t="str">
        <f>IF($AA147&gt;0,1," ")</f>
        <v> </v>
      </c>
      <c r="DQ147" s="10" t="str">
        <f>IF($AA147&gt;0,CY147," ")</f>
        <v> </v>
      </c>
      <c r="DU147" s="2"/>
      <c r="DV147" s="2"/>
    </row>
    <row r="148" spans="27:128" ht="12.75">
      <c r="AA148" s="52"/>
      <c r="AB148" t="s">
        <v>244</v>
      </c>
      <c r="AG148" t="str">
        <f>IF($AA148&gt;0,1," ")</f>
        <v> </v>
      </c>
      <c r="AM148" t="str">
        <f>IF(AA148&gt;0,AA148," ")</f>
        <v> </v>
      </c>
      <c r="AR148" s="10" t="str">
        <f>IF($AA148&gt;0,1," ")</f>
        <v> </v>
      </c>
      <c r="AS148" s="10" t="str">
        <f>IF($AA148&gt;0,AA148," ")</f>
        <v> </v>
      </c>
      <c r="AZ148" t="str">
        <f>IF($AA148&gt;0,$AA148," ")</f>
        <v> </v>
      </c>
      <c r="CY148" s="52"/>
      <c r="CZ148" t="s">
        <v>244</v>
      </c>
      <c r="DE148" t="str">
        <f>IF($AA148&gt;0,1," ")</f>
        <v> </v>
      </c>
      <c r="DK148" t="str">
        <f>IF(CY148&gt;0,CY148," ")</f>
        <v> </v>
      </c>
      <c r="DN148" s="20"/>
      <c r="DP148" s="10" t="str">
        <f>IF($AA148&gt;0,1," ")</f>
        <v> </v>
      </c>
      <c r="DQ148" s="10" t="str">
        <f>IF($AA148&gt;0,CY148," ")</f>
        <v> </v>
      </c>
      <c r="DX148" t="str">
        <f>IF($AA148&gt;0,$AA148," ")</f>
        <v> </v>
      </c>
    </row>
    <row r="149" spans="27:131" ht="12.75">
      <c r="AA149" s="52"/>
      <c r="AB149" t="s">
        <v>230</v>
      </c>
      <c r="AG149" t="str">
        <f>IF($AA149&gt;0,1," ")</f>
        <v> </v>
      </c>
      <c r="AL149" t="str">
        <f>IF(AA149&gt;0,AA149," ")</f>
        <v> </v>
      </c>
      <c r="AP149" s="36"/>
      <c r="AQ149" s="2"/>
      <c r="AR149" s="10" t="str">
        <f>IF($AA149&gt;0,1," ")</f>
        <v> </v>
      </c>
      <c r="AS149" s="10" t="str">
        <f>IF($AA149&gt;0,AA149," ")</f>
        <v> </v>
      </c>
      <c r="AT149" t="str">
        <f>IF(AA149&gt;0,AA149," ")</f>
        <v> </v>
      </c>
      <c r="AU149" t="str">
        <f>IF($AA149*(100/$I$8)&gt;1.99,$AA149," ")</f>
        <v> </v>
      </c>
      <c r="AW149" s="2"/>
      <c r="AX149" s="2"/>
      <c r="BC149" t="str">
        <f>IF($AA149&gt;0,$AA149," ")</f>
        <v> </v>
      </c>
      <c r="CU149" s="2"/>
      <c r="CV149" s="2"/>
      <c r="CY149" s="52"/>
      <c r="CZ149" t="s">
        <v>230</v>
      </c>
      <c r="DE149" t="str">
        <f>IF($AA149&gt;0,1," ")</f>
        <v> </v>
      </c>
      <c r="DJ149" t="str">
        <f>IF(CY149&gt;0,CY149," ")</f>
        <v> </v>
      </c>
      <c r="DN149" s="36"/>
      <c r="DO149" s="2"/>
      <c r="DP149" s="10" t="str">
        <f>IF($AA149&gt;0,1," ")</f>
        <v> </v>
      </c>
      <c r="DQ149" s="10" t="str">
        <f>IF($AA149&gt;0,CY149," ")</f>
        <v> </v>
      </c>
      <c r="DR149" t="str">
        <f>IF(CY149&gt;0,CY149," ")</f>
        <v> </v>
      </c>
      <c r="DS149" t="str">
        <f>IF($AA149*(100/$I$8)&gt;1.99,$AA149," ")</f>
        <v> </v>
      </c>
      <c r="DU149" s="2"/>
      <c r="DV149" s="2"/>
      <c r="EA149" t="str">
        <f>IF($AA149&gt;0,$AA149," ")</f>
        <v> </v>
      </c>
    </row>
    <row r="150" spans="27:126" ht="12.75">
      <c r="AA150" s="52"/>
      <c r="AB150" s="2" t="s">
        <v>228</v>
      </c>
      <c r="AC150" t="str">
        <f>IF(AA150&gt;0,1," ")</f>
        <v> </v>
      </c>
      <c r="AD150" s="2"/>
      <c r="AE150" s="2"/>
      <c r="AF150" s="2"/>
      <c r="AG150" s="2"/>
      <c r="AH150" s="2"/>
      <c r="AI150" s="2"/>
      <c r="AJ150" s="2"/>
      <c r="AK150" s="2"/>
      <c r="AL150" s="2"/>
      <c r="AM150" t="str">
        <f>IF(AA150&gt;0,AA150," ")</f>
        <v> </v>
      </c>
      <c r="AN150" s="2"/>
      <c r="AO150" s="2"/>
      <c r="AP150" s="36"/>
      <c r="AQ150" s="2"/>
      <c r="AR150" s="41"/>
      <c r="AS150" s="41"/>
      <c r="AT150" s="2"/>
      <c r="AU150" s="2"/>
      <c r="AW150" s="2"/>
      <c r="AX150" s="2"/>
      <c r="CU150" s="2"/>
      <c r="CV150" s="2"/>
      <c r="CY150" s="52"/>
      <c r="CZ150" s="2" t="s">
        <v>228</v>
      </c>
      <c r="DA150" t="str">
        <f>IF(CY150&gt;0,1," ")</f>
        <v> </v>
      </c>
      <c r="DB150" s="2"/>
      <c r="DC150" s="2"/>
      <c r="DD150" s="2"/>
      <c r="DE150" s="2"/>
      <c r="DF150" s="2"/>
      <c r="DG150" s="2"/>
      <c r="DH150" s="2"/>
      <c r="DI150" s="2"/>
      <c r="DJ150" s="2"/>
      <c r="DK150" t="str">
        <f>IF(CY150&gt;0,CY150," ")</f>
        <v> </v>
      </c>
      <c r="DL150" s="2"/>
      <c r="DM150" s="2"/>
      <c r="DN150" s="36"/>
      <c r="DO150" s="2"/>
      <c r="DP150" s="41"/>
      <c r="DQ150" s="41"/>
      <c r="DR150" s="2"/>
      <c r="DS150" s="2"/>
      <c r="DU150" s="2"/>
      <c r="DV150" s="2"/>
    </row>
    <row r="151" spans="27:131" ht="12.75">
      <c r="AA151" s="52"/>
      <c r="AB151" t="s">
        <v>232</v>
      </c>
      <c r="AO151" t="str">
        <f>IF(AA151&gt;0,AA151," ")</f>
        <v> </v>
      </c>
      <c r="AP151" s="36"/>
      <c r="AQ151" s="2"/>
      <c r="AR151" s="10"/>
      <c r="AS151" s="10"/>
      <c r="AW151" s="2"/>
      <c r="AX151" s="2"/>
      <c r="BC151" t="str">
        <f>IF($AA151&gt;0,$AA151," ")</f>
        <v> </v>
      </c>
      <c r="CU151" s="2"/>
      <c r="CV151" s="2"/>
      <c r="CY151" s="52"/>
      <c r="CZ151" t="s">
        <v>232</v>
      </c>
      <c r="DM151" t="str">
        <f>IF(CY151&gt;0,CY151," ")</f>
        <v> </v>
      </c>
      <c r="DN151" s="36"/>
      <c r="DO151" s="2"/>
      <c r="DP151" s="10"/>
      <c r="DQ151" s="10"/>
      <c r="DU151" s="2"/>
      <c r="DV151" s="2"/>
      <c r="EA151" t="str">
        <f>IF($AA151&gt;0,$AA151," ")</f>
        <v> </v>
      </c>
    </row>
    <row r="152" spans="27:123" ht="12.75">
      <c r="AA152" s="52"/>
      <c r="AB152" s="2" t="s">
        <v>236</v>
      </c>
      <c r="AC152" s="2"/>
      <c r="AD152" s="2"/>
      <c r="AE152" s="2"/>
      <c r="AF152" s="2"/>
      <c r="AG152" t="str">
        <f>IF($AA152&gt;0,1," ")</f>
        <v> </v>
      </c>
      <c r="AH152" s="2"/>
      <c r="AI152" s="2"/>
      <c r="AJ152" s="2"/>
      <c r="AK152" s="2"/>
      <c r="AL152" s="2"/>
      <c r="AM152" t="str">
        <f aca="true" t="shared" si="5" ref="AM152:AM163">IF(AA152&gt;0,AA152," ")</f>
        <v> </v>
      </c>
      <c r="AN152" s="2"/>
      <c r="AO152" s="2"/>
      <c r="AR152" s="10" t="str">
        <f>IF($AA152&gt;0,1," ")</f>
        <v> </v>
      </c>
      <c r="AS152" s="10" t="str">
        <f>IF($AA152&gt;0,AA152," ")</f>
        <v> </v>
      </c>
      <c r="AT152" s="2"/>
      <c r="AU152" s="2"/>
      <c r="CY152" s="52"/>
      <c r="CZ152" s="2" t="s">
        <v>236</v>
      </c>
      <c r="DA152" s="2"/>
      <c r="DB152" s="2"/>
      <c r="DC152" s="2"/>
      <c r="DD152" s="2"/>
      <c r="DE152" t="str">
        <f>IF($AA152&gt;0,1," ")</f>
        <v> </v>
      </c>
      <c r="DF152" s="2"/>
      <c r="DG152" s="2"/>
      <c r="DH152" s="2"/>
      <c r="DI152" s="2"/>
      <c r="DJ152" s="2"/>
      <c r="DK152" t="str">
        <f aca="true" t="shared" si="6" ref="DK152:DK163">IF(CY152&gt;0,CY152," ")</f>
        <v> </v>
      </c>
      <c r="DL152" s="2"/>
      <c r="DM152" s="2"/>
      <c r="DN152" s="20"/>
      <c r="DP152" s="10" t="str">
        <f>IF($AA152&gt;0,1," ")</f>
        <v> </v>
      </c>
      <c r="DQ152" s="10" t="str">
        <f>IF($AA152&gt;0,CY152," ")</f>
        <v> </v>
      </c>
      <c r="DR152" s="2"/>
      <c r="DS152" s="2"/>
    </row>
    <row r="153" spans="27:121" ht="12.75">
      <c r="AA153" s="52"/>
      <c r="AB153" t="s">
        <v>234</v>
      </c>
      <c r="AG153" t="str">
        <f>IF($AA153&gt;0,1," ")</f>
        <v> </v>
      </c>
      <c r="AM153" t="str">
        <f t="shared" si="5"/>
        <v> </v>
      </c>
      <c r="AR153" s="10" t="str">
        <f>IF($AA153&gt;0,1," ")</f>
        <v> </v>
      </c>
      <c r="AS153" s="10" t="str">
        <f>IF($AA153&gt;0,AA153," ")</f>
        <v> </v>
      </c>
      <c r="CY153" s="52"/>
      <c r="CZ153" t="s">
        <v>234</v>
      </c>
      <c r="DE153" t="str">
        <f>IF($AA153&gt;0,1," ")</f>
        <v> </v>
      </c>
      <c r="DK153" t="str">
        <f t="shared" si="6"/>
        <v> </v>
      </c>
      <c r="DN153" s="20"/>
      <c r="DP153" s="10" t="str">
        <f>IF($AA153&gt;0,1," ")</f>
        <v> </v>
      </c>
      <c r="DQ153" s="10" t="str">
        <f>IF($AA153&gt;0,CY153," ")</f>
        <v> </v>
      </c>
    </row>
    <row r="154" spans="27:121" ht="12.75">
      <c r="AA154" s="52"/>
      <c r="AB154" t="s">
        <v>154</v>
      </c>
      <c r="AM154" t="str">
        <f t="shared" si="5"/>
        <v> </v>
      </c>
      <c r="AR154" s="10"/>
      <c r="AS154" s="10"/>
      <c r="CY154" s="52"/>
      <c r="CZ154" t="s">
        <v>154</v>
      </c>
      <c r="DK154" t="str">
        <f t="shared" si="6"/>
        <v> </v>
      </c>
      <c r="DN154" s="20"/>
      <c r="DP154" s="10"/>
      <c r="DQ154" s="10"/>
    </row>
    <row r="155" spans="27:131" ht="12.75">
      <c r="AA155" s="52"/>
      <c r="AB155" t="s">
        <v>152</v>
      </c>
      <c r="AG155" t="str">
        <f>IF($AA155&gt;0,1," ")</f>
        <v> </v>
      </c>
      <c r="AM155" t="str">
        <f t="shared" si="5"/>
        <v> </v>
      </c>
      <c r="AP155" s="36"/>
      <c r="AQ155" s="2"/>
      <c r="AR155" s="10" t="str">
        <f>IF($AA155&gt;0,1," ")</f>
        <v> </v>
      </c>
      <c r="AS155" s="10" t="str">
        <f>IF($AA155&gt;0,AA155," ")</f>
        <v> </v>
      </c>
      <c r="AW155" s="2"/>
      <c r="AX155" s="2"/>
      <c r="BC155" t="str">
        <f>IF($AA155&gt;0,$AA155," ")</f>
        <v> </v>
      </c>
      <c r="CU155" s="2"/>
      <c r="CV155" s="2"/>
      <c r="CY155" s="52"/>
      <c r="CZ155" t="s">
        <v>152</v>
      </c>
      <c r="DE155" t="str">
        <f>IF($AA155&gt;0,1," ")</f>
        <v> </v>
      </c>
      <c r="DK155" t="str">
        <f t="shared" si="6"/>
        <v> </v>
      </c>
      <c r="DN155" s="36"/>
      <c r="DO155" s="2"/>
      <c r="DP155" s="10" t="str">
        <f>IF($AA155&gt;0,1," ")</f>
        <v> </v>
      </c>
      <c r="DQ155" s="10" t="str">
        <f>IF($AA155&gt;0,CY155," ")</f>
        <v> </v>
      </c>
      <c r="DU155" s="2"/>
      <c r="DV155" s="2"/>
      <c r="EA155" t="str">
        <f>IF($AA155&gt;0,$AA155," ")</f>
        <v> </v>
      </c>
    </row>
    <row r="156" spans="27:123" ht="12.75">
      <c r="AA156" s="52"/>
      <c r="AB156" s="2" t="s">
        <v>156</v>
      </c>
      <c r="AC156" t="str">
        <f>IF(AA156&gt;0,1," ")</f>
        <v> </v>
      </c>
      <c r="AD156" s="2"/>
      <c r="AE156" s="2"/>
      <c r="AF156" s="2"/>
      <c r="AG156" t="str">
        <f>IF($AA156&gt;0,1," ")</f>
        <v> </v>
      </c>
      <c r="AH156" s="2"/>
      <c r="AI156" s="2"/>
      <c r="AJ156" s="2"/>
      <c r="AK156" s="2"/>
      <c r="AL156" s="2"/>
      <c r="AM156" t="str">
        <f t="shared" si="5"/>
        <v> </v>
      </c>
      <c r="AN156" s="2"/>
      <c r="AO156" t="str">
        <f>IF(AA156&gt;0,AA156," ")</f>
        <v> </v>
      </c>
      <c r="AR156" s="10" t="str">
        <f>IF($AA156&gt;0,1," ")</f>
        <v> </v>
      </c>
      <c r="AS156" s="10" t="str">
        <f>IF($AA156&gt;0,AA156," ")</f>
        <v> </v>
      </c>
      <c r="AT156" s="2"/>
      <c r="AU156" s="2"/>
      <c r="CY156" s="52"/>
      <c r="CZ156" s="2" t="s">
        <v>156</v>
      </c>
      <c r="DA156" t="str">
        <f>IF(CY156&gt;0,1," ")</f>
        <v> </v>
      </c>
      <c r="DB156" s="2"/>
      <c r="DC156" s="2"/>
      <c r="DD156" s="2"/>
      <c r="DE156" t="str">
        <f>IF($AA156&gt;0,1," ")</f>
        <v> </v>
      </c>
      <c r="DF156" s="2"/>
      <c r="DG156" s="2"/>
      <c r="DH156" s="2"/>
      <c r="DI156" s="2"/>
      <c r="DJ156" s="2"/>
      <c r="DK156" t="str">
        <f t="shared" si="6"/>
        <v> </v>
      </c>
      <c r="DL156" s="2"/>
      <c r="DM156" t="str">
        <f>IF(CY156&gt;0,CY156," ")</f>
        <v> </v>
      </c>
      <c r="DN156" s="20"/>
      <c r="DP156" s="10" t="str">
        <f>IF($AA156&gt;0,1," ")</f>
        <v> </v>
      </c>
      <c r="DQ156" s="10" t="str">
        <f>IF($AA156&gt;0,CY156," ")</f>
        <v> </v>
      </c>
      <c r="DR156" s="2"/>
      <c r="DS156" s="2"/>
    </row>
    <row r="157" spans="27:121" ht="12.75">
      <c r="AA157" s="52"/>
      <c r="AB157" t="s">
        <v>160</v>
      </c>
      <c r="AM157" t="str">
        <f t="shared" si="5"/>
        <v> </v>
      </c>
      <c r="AR157" s="10"/>
      <c r="AS157" s="10"/>
      <c r="CY157" s="52"/>
      <c r="CZ157" t="s">
        <v>160</v>
      </c>
      <c r="DK157" t="str">
        <f t="shared" si="6"/>
        <v> </v>
      </c>
      <c r="DN157" s="20"/>
      <c r="DP157" s="10"/>
      <c r="DQ157" s="10"/>
    </row>
    <row r="158" spans="27:131" ht="12.75">
      <c r="AA158" s="52"/>
      <c r="AB158" t="s">
        <v>158</v>
      </c>
      <c r="AM158" t="str">
        <f t="shared" si="5"/>
        <v> </v>
      </c>
      <c r="AR158" s="10"/>
      <c r="AS158" s="10"/>
      <c r="AT158" t="str">
        <f>IF(AA158&gt;0,AA158," ")</f>
        <v> </v>
      </c>
      <c r="AU158" t="str">
        <f>IF($AA158*(100/$I$8)&gt;1.99,$AA158," ")</f>
        <v> </v>
      </c>
      <c r="BC158" t="str">
        <f>IF($AA158&gt;0,$AA158," ")</f>
        <v> </v>
      </c>
      <c r="CY158" s="52"/>
      <c r="CZ158" t="s">
        <v>158</v>
      </c>
      <c r="DK158" t="str">
        <f t="shared" si="6"/>
        <v> </v>
      </c>
      <c r="DN158" s="20"/>
      <c r="DP158" s="10"/>
      <c r="DQ158" s="10"/>
      <c r="DR158" t="str">
        <f>IF(CY158&gt;0,CY158," ")</f>
        <v> </v>
      </c>
      <c r="DS158" t="str">
        <f>IF($AA158*(100/$I$8)&gt;1.99,$AA158," ")</f>
        <v> </v>
      </c>
      <c r="EA158" t="str">
        <f>IF($AA158&gt;0,$AA158," ")</f>
        <v> </v>
      </c>
    </row>
    <row r="159" spans="27:123" ht="12.75">
      <c r="AA159" s="52"/>
      <c r="AB159" s="2" t="s">
        <v>144</v>
      </c>
      <c r="AC159" s="2"/>
      <c r="AD159" s="2"/>
      <c r="AE159" s="2"/>
      <c r="AF159" s="2"/>
      <c r="AH159" s="2"/>
      <c r="AI159" s="2"/>
      <c r="AJ159" s="2"/>
      <c r="AK159" s="2"/>
      <c r="AL159" s="2"/>
      <c r="AM159" t="str">
        <f t="shared" si="5"/>
        <v> </v>
      </c>
      <c r="AN159" s="2"/>
      <c r="AO159" t="str">
        <f>IF(AA159&gt;0,AA159," ")</f>
        <v> </v>
      </c>
      <c r="AR159" s="10"/>
      <c r="AS159" s="10"/>
      <c r="AT159" s="2"/>
      <c r="AU159" s="2"/>
      <c r="CY159" s="52"/>
      <c r="CZ159" s="2" t="s">
        <v>144</v>
      </c>
      <c r="DA159" s="2"/>
      <c r="DB159" s="2"/>
      <c r="DC159" s="2"/>
      <c r="DD159" s="2"/>
      <c r="DF159" s="2"/>
      <c r="DG159" s="2"/>
      <c r="DH159" s="2"/>
      <c r="DI159" s="2"/>
      <c r="DJ159" s="2"/>
      <c r="DK159" t="str">
        <f t="shared" si="6"/>
        <v> </v>
      </c>
      <c r="DL159" s="2"/>
      <c r="DM159" t="str">
        <f>IF(CY159&gt;0,CY159," ")</f>
        <v> </v>
      </c>
      <c r="DN159" s="20"/>
      <c r="DP159" s="10"/>
      <c r="DQ159" s="10"/>
      <c r="DR159" s="2"/>
      <c r="DS159" s="2"/>
    </row>
    <row r="160" spans="27:121" ht="12.75">
      <c r="AA160" s="52"/>
      <c r="AB160" t="s">
        <v>142</v>
      </c>
      <c r="AM160" t="str">
        <f t="shared" si="5"/>
        <v> </v>
      </c>
      <c r="AO160" t="str">
        <f>IF(AA160&gt;0,AA160," ")</f>
        <v> </v>
      </c>
      <c r="AR160" s="10"/>
      <c r="AS160" s="10"/>
      <c r="CY160" s="52"/>
      <c r="CZ160" t="s">
        <v>142</v>
      </c>
      <c r="DK160" t="str">
        <f t="shared" si="6"/>
        <v> </v>
      </c>
      <c r="DM160" t="str">
        <f>IF(CY160&gt;0,CY160," ")</f>
        <v> </v>
      </c>
      <c r="DN160" s="20"/>
      <c r="DP160" s="10"/>
      <c r="DQ160" s="10"/>
    </row>
    <row r="161" spans="27:131" ht="12.75">
      <c r="AA161" s="52"/>
      <c r="AB161" t="s">
        <v>146</v>
      </c>
      <c r="AM161" t="str">
        <f t="shared" si="5"/>
        <v> </v>
      </c>
      <c r="AP161" s="36"/>
      <c r="AQ161" s="2"/>
      <c r="AR161" s="10"/>
      <c r="AS161" s="10"/>
      <c r="AT161" t="str">
        <f>IF(AA161&gt;0,AA161," ")</f>
        <v> </v>
      </c>
      <c r="AU161" t="str">
        <f>IF($AA161*(100/$I$8)&gt;1.99,$AA161," ")</f>
        <v> </v>
      </c>
      <c r="AW161" s="2"/>
      <c r="AX161" s="2"/>
      <c r="BC161" t="str">
        <f>IF($AA161&gt;0,$AA161," ")</f>
        <v> </v>
      </c>
      <c r="CU161" s="2"/>
      <c r="CV161" s="2"/>
      <c r="CY161" s="52"/>
      <c r="CZ161" t="s">
        <v>146</v>
      </c>
      <c r="DK161" t="str">
        <f t="shared" si="6"/>
        <v> </v>
      </c>
      <c r="DN161" s="36"/>
      <c r="DO161" s="2"/>
      <c r="DP161" s="10"/>
      <c r="DQ161" s="10"/>
      <c r="DR161" t="str">
        <f>IF(CY161&gt;0,CY161," ")</f>
        <v> </v>
      </c>
      <c r="DS161" t="str">
        <f>IF($AA161*(100/$I$8)&gt;1.99,$AA161," ")</f>
        <v> </v>
      </c>
      <c r="DU161" s="2"/>
      <c r="DV161" s="2"/>
      <c r="EA161" t="str">
        <f>IF($AA161&gt;0,$AA161," ")</f>
        <v> </v>
      </c>
    </row>
    <row r="162" spans="27:126" ht="12.75">
      <c r="AA162" s="52"/>
      <c r="AB162" t="s">
        <v>150</v>
      </c>
      <c r="AE162" t="str">
        <f>IF(AA162&gt;0,1," ")</f>
        <v> </v>
      </c>
      <c r="AM162" t="str">
        <f t="shared" si="5"/>
        <v> </v>
      </c>
      <c r="AP162" s="36"/>
      <c r="AQ162" s="2"/>
      <c r="AR162" s="10"/>
      <c r="AS162" s="10"/>
      <c r="AW162" s="2"/>
      <c r="AX162" s="2"/>
      <c r="CU162" s="2"/>
      <c r="CV162" s="2"/>
      <c r="CY162" s="52"/>
      <c r="CZ162" t="s">
        <v>150</v>
      </c>
      <c r="DC162" t="str">
        <f>IF(CY162&gt;0,1," ")</f>
        <v> </v>
      </c>
      <c r="DK162" t="str">
        <f t="shared" si="6"/>
        <v> </v>
      </c>
      <c r="DN162" s="36"/>
      <c r="DO162" s="2"/>
      <c r="DP162" s="10"/>
      <c r="DQ162" s="10"/>
      <c r="DU162" s="2"/>
      <c r="DV162" s="2"/>
    </row>
    <row r="163" spans="27:131" ht="12.75">
      <c r="AA163" s="52"/>
      <c r="AB163" t="s">
        <v>148</v>
      </c>
      <c r="AM163" t="str">
        <f t="shared" si="5"/>
        <v> </v>
      </c>
      <c r="AR163" s="10"/>
      <c r="AS163" s="10"/>
      <c r="BC163" t="str">
        <f>IF($AA163&gt;0,$AA163," ")</f>
        <v> </v>
      </c>
      <c r="CY163" s="52"/>
      <c r="CZ163" t="s">
        <v>148</v>
      </c>
      <c r="DK163" t="str">
        <f t="shared" si="6"/>
        <v> </v>
      </c>
      <c r="DN163" s="20"/>
      <c r="DP163" s="10"/>
      <c r="DQ163" s="10"/>
      <c r="EA163" t="str">
        <f>IF($AA163&gt;0,$AA163," ")</f>
        <v> </v>
      </c>
    </row>
    <row r="164" spans="27:131" ht="12.75">
      <c r="AA164" s="52"/>
      <c r="AB164" t="s">
        <v>162</v>
      </c>
      <c r="AL164" t="str">
        <f>IF(AA164&gt;0,AA164," ")</f>
        <v> </v>
      </c>
      <c r="AO164" t="str">
        <f>IF(AA164&gt;0,AA164," ")</f>
        <v> </v>
      </c>
      <c r="AR164" s="10"/>
      <c r="AS164" s="10"/>
      <c r="AT164" t="str">
        <f>IF(AA164&gt;0,AA164," ")</f>
        <v> </v>
      </c>
      <c r="AU164" t="str">
        <f>IF($AA164*(100/$I$8)&gt;1.99,$AA164," ")</f>
        <v> </v>
      </c>
      <c r="BC164" t="str">
        <f>IF($AA164&gt;0,$AA164," ")</f>
        <v> </v>
      </c>
      <c r="CY164" s="52"/>
      <c r="CZ164" t="s">
        <v>162</v>
      </c>
      <c r="DJ164" t="str">
        <f>IF(CY164&gt;0,CY164," ")</f>
        <v> </v>
      </c>
      <c r="DM164" t="str">
        <f>IF(CY164&gt;0,CY164," ")</f>
        <v> </v>
      </c>
      <c r="DN164" s="20"/>
      <c r="DP164" s="10"/>
      <c r="DQ164" s="10"/>
      <c r="DR164" t="str">
        <f>IF(CY164&gt;0,CY164," ")</f>
        <v> </v>
      </c>
      <c r="DS164" t="str">
        <f>IF($AA164*(100/$I$8)&gt;1.99,$AA164," ")</f>
        <v> </v>
      </c>
      <c r="EA164" t="str">
        <f>IF($AA164&gt;0,$AA164," ")</f>
        <v> </v>
      </c>
    </row>
    <row r="165" spans="27:126" ht="12.75">
      <c r="AA165" s="52"/>
      <c r="AB165" t="s">
        <v>185</v>
      </c>
      <c r="AF165" t="str">
        <f>IF(AA165&gt;0,1," ")</f>
        <v> </v>
      </c>
      <c r="AL165" t="str">
        <f>IF(AA165&gt;0,AA165," ")</f>
        <v> </v>
      </c>
      <c r="AP165" s="36"/>
      <c r="AQ165" s="2"/>
      <c r="AR165" s="10"/>
      <c r="AS165" s="10"/>
      <c r="AT165" t="str">
        <f>IF(AA165&gt;0,AA165," ")</f>
        <v> </v>
      </c>
      <c r="AU165" t="str">
        <f>IF($AA165*(100/$I$8)&gt;1.99,$AA165," ")</f>
        <v> </v>
      </c>
      <c r="AW165" s="2"/>
      <c r="AX165" s="2"/>
      <c r="CU165" s="2"/>
      <c r="CV165" s="2"/>
      <c r="CY165" s="52"/>
      <c r="CZ165" t="s">
        <v>185</v>
      </c>
      <c r="DD165" t="str">
        <f>IF(CY165&gt;0,1," ")</f>
        <v> </v>
      </c>
      <c r="DJ165" t="str">
        <f>IF(CY165&gt;0,CY165," ")</f>
        <v> </v>
      </c>
      <c r="DN165" s="36"/>
      <c r="DO165" s="2"/>
      <c r="DP165" s="10"/>
      <c r="DQ165" s="10"/>
      <c r="DR165" t="str">
        <f>IF(CY165&gt;0,CY165," ")</f>
        <v> </v>
      </c>
      <c r="DS165" t="str">
        <f>IF($AA165*(100/$I$8)&gt;1.99,$AA165," ")</f>
        <v> </v>
      </c>
      <c r="DU165" s="2"/>
      <c r="DV165" s="2"/>
    </row>
    <row r="166" spans="27:121" ht="12.75">
      <c r="AA166" s="52"/>
      <c r="AB166" t="s">
        <v>183</v>
      </c>
      <c r="AG166" t="str">
        <f>IF($AA166&gt;0,1," ")</f>
        <v> </v>
      </c>
      <c r="AR166" s="10" t="str">
        <f>IF($AA166&gt;0,1," ")</f>
        <v> </v>
      </c>
      <c r="AS166" s="10" t="str">
        <f>IF($AA166&gt;0,AA166," ")</f>
        <v> </v>
      </c>
      <c r="CY166" s="52"/>
      <c r="CZ166" t="s">
        <v>183</v>
      </c>
      <c r="DE166" t="str">
        <f>IF($AA166&gt;0,1," ")</f>
        <v> </v>
      </c>
      <c r="DN166" s="20"/>
      <c r="DP166" s="10" t="str">
        <f>IF($AA166&gt;0,1," ")</f>
        <v> </v>
      </c>
      <c r="DQ166" s="10" t="str">
        <f>IF($AA166&gt;0,CY166," ")</f>
        <v> </v>
      </c>
    </row>
    <row r="167" spans="27:121" ht="12.75">
      <c r="AA167" s="52"/>
      <c r="AB167" t="s">
        <v>191</v>
      </c>
      <c r="AD167" t="str">
        <f>IF(AA167&gt;0,1," ")</f>
        <v> </v>
      </c>
      <c r="AM167" t="str">
        <f>IF(AA167&gt;0,AA167," ")</f>
        <v> </v>
      </c>
      <c r="AR167" s="42" t="str">
        <f>IF($AA167&gt;0,1," ")</f>
        <v> </v>
      </c>
      <c r="AS167" s="42" t="str">
        <f>IF($AA167&gt;0,AA167," ")</f>
        <v> </v>
      </c>
      <c r="CY167" s="52"/>
      <c r="CZ167" t="s">
        <v>191</v>
      </c>
      <c r="DB167" t="str">
        <f>IF(CY167&gt;0,1," ")</f>
        <v> </v>
      </c>
      <c r="DK167" t="str">
        <f>IF(CY167&gt;0,CY167," ")</f>
        <v> </v>
      </c>
      <c r="DN167" s="20"/>
      <c r="DP167" s="42" t="str">
        <f>IF($AA167&gt;0,1," ")</f>
        <v> </v>
      </c>
      <c r="DQ167" s="42" t="str">
        <f>IF($AA167&gt;0,CY167," ")</f>
        <v> </v>
      </c>
    </row>
    <row r="168" spans="27:123" ht="12.75">
      <c r="AA168" s="52"/>
      <c r="AB168" t="s">
        <v>195</v>
      </c>
      <c r="AL168" t="str">
        <f>IF(AA168&gt;0,AA168," ")</f>
        <v> </v>
      </c>
      <c r="AR168" s="10"/>
      <c r="AS168" s="10"/>
      <c r="AT168" t="str">
        <f>IF(AA168&gt;0,AA168," ")</f>
        <v> </v>
      </c>
      <c r="AU168" t="str">
        <f>IF($AA168*(100/$I$8)&gt;1.99,$AA168," ")</f>
        <v> </v>
      </c>
      <c r="CY168" s="52"/>
      <c r="CZ168" t="s">
        <v>195</v>
      </c>
      <c r="DJ168" t="str">
        <f>IF(CY168&gt;0,CY168," ")</f>
        <v> </v>
      </c>
      <c r="DN168" s="20"/>
      <c r="DP168" s="10"/>
      <c r="DQ168" s="10"/>
      <c r="DR168" t="str">
        <f>IF(CY168&gt;0,CY168," ")</f>
        <v> </v>
      </c>
      <c r="DS168" t="str">
        <f>IF($AA168*(100/$I$8)&gt;1.99,$AA168," ")</f>
        <v> </v>
      </c>
    </row>
    <row r="169" spans="27:126" ht="12.75">
      <c r="AA169" s="52"/>
      <c r="AB169" t="s">
        <v>193</v>
      </c>
      <c r="AF169" t="str">
        <f>IF(AA169&gt;0,1," ")</f>
        <v> </v>
      </c>
      <c r="AL169" t="str">
        <f>IF(AA169&gt;0,AA169," ")</f>
        <v> </v>
      </c>
      <c r="AP169" s="36"/>
      <c r="AQ169" s="2"/>
      <c r="AR169" s="10"/>
      <c r="AS169" s="10"/>
      <c r="AT169" t="str">
        <f>IF(AA169&gt;0,AA169," ")</f>
        <v> </v>
      </c>
      <c r="AU169" t="str">
        <f>IF($AA169*(100/$I$8)&gt;1.99,$AA169," ")</f>
        <v> </v>
      </c>
      <c r="AW169" s="2"/>
      <c r="AX169" s="2"/>
      <c r="CU169" s="2"/>
      <c r="CV169" s="2"/>
      <c r="CY169" s="52"/>
      <c r="CZ169" t="s">
        <v>193</v>
      </c>
      <c r="DD169" t="str">
        <f>IF(CY169&gt;0,1," ")</f>
        <v> </v>
      </c>
      <c r="DJ169" t="str">
        <f>IF(CY169&gt;0,CY169," ")</f>
        <v> </v>
      </c>
      <c r="DN169" s="36"/>
      <c r="DO169" s="2"/>
      <c r="DP169" s="10"/>
      <c r="DQ169" s="10"/>
      <c r="DR169" t="str">
        <f>IF(CY169&gt;0,CY169," ")</f>
        <v> </v>
      </c>
      <c r="DS169" t="str">
        <f>IF($AA169*(100/$I$8)&gt;1.99,$AA169," ")</f>
        <v> </v>
      </c>
      <c r="DU169" s="2"/>
      <c r="DV169" s="2"/>
    </row>
    <row r="170" spans="27:126" ht="12.75">
      <c r="AA170" s="52"/>
      <c r="AB170" t="s">
        <v>167</v>
      </c>
      <c r="AE170" t="str">
        <f>IF(AA170&gt;0,1," ")</f>
        <v> </v>
      </c>
      <c r="AM170" t="str">
        <f>IF(AA170&gt;0,AA170," ")</f>
        <v> </v>
      </c>
      <c r="AP170" s="36"/>
      <c r="AQ170" s="2"/>
      <c r="AR170" s="10"/>
      <c r="AS170" s="10"/>
      <c r="AW170" s="2"/>
      <c r="AX170" s="2"/>
      <c r="CU170" s="2"/>
      <c r="CV170" s="2"/>
      <c r="CY170" s="52"/>
      <c r="CZ170" t="s">
        <v>167</v>
      </c>
      <c r="DC170" t="str">
        <f>IF(CY170&gt;0,1," ")</f>
        <v> </v>
      </c>
      <c r="DK170" t="str">
        <f>IF(CY170&gt;0,CY170," ")</f>
        <v> </v>
      </c>
      <c r="DN170" s="36"/>
      <c r="DO170" s="2"/>
      <c r="DP170" s="10"/>
      <c r="DQ170" s="10"/>
      <c r="DU170" s="2"/>
      <c r="DV170" s="2"/>
    </row>
    <row r="171" spans="27:131" ht="12.75">
      <c r="AA171" s="52"/>
      <c r="AB171" t="s">
        <v>164</v>
      </c>
      <c r="AC171" t="str">
        <f>IF(AA171&gt;0,1," ")</f>
        <v> </v>
      </c>
      <c r="AH171" t="str">
        <f>IF(AA171&gt;0,AA171," ")</f>
        <v> </v>
      </c>
      <c r="AN171" t="str">
        <f>IF(AA171&gt;0,AA171," ")</f>
        <v> </v>
      </c>
      <c r="AO171" t="str">
        <f>IF(AA171&gt;0,AA171," ")</f>
        <v> </v>
      </c>
      <c r="AP171" s="36"/>
      <c r="AQ171" t="str">
        <f>IF($AA171&gt;0,$AA171," ")</f>
        <v> </v>
      </c>
      <c r="AR171" s="10"/>
      <c r="AS171" s="10"/>
      <c r="AW171" s="2"/>
      <c r="AX171" s="2"/>
      <c r="BC171" t="str">
        <f>IF($AA171&gt;0,$AA171," ")</f>
        <v> </v>
      </c>
      <c r="CU171" s="2"/>
      <c r="CV171" s="2"/>
      <c r="CY171" s="52"/>
      <c r="CZ171" t="s">
        <v>164</v>
      </c>
      <c r="DA171" t="str">
        <f>IF(CY171&gt;0,1," ")</f>
        <v> </v>
      </c>
      <c r="DF171" t="str">
        <f>IF(CY171&gt;0,CY171," ")</f>
        <v> </v>
      </c>
      <c r="DL171" t="str">
        <f>IF(CY171&gt;0,CY171," ")</f>
        <v> </v>
      </c>
      <c r="DM171" t="str">
        <f>IF(CY171&gt;0,CY171," ")</f>
        <v> </v>
      </c>
      <c r="DN171" s="36"/>
      <c r="DO171" t="str">
        <f>IF($AA171&gt;0,$AA171," ")</f>
        <v> </v>
      </c>
      <c r="DP171" s="10"/>
      <c r="DQ171" s="10"/>
      <c r="DU171" s="2"/>
      <c r="DV171" s="2"/>
      <c r="EA171" t="str">
        <f>IF($AA171&gt;0,$AA171," ")</f>
        <v> </v>
      </c>
    </row>
    <row r="172" spans="27:123" ht="12.75">
      <c r="AA172" s="52"/>
      <c r="AB172" t="s">
        <v>170</v>
      </c>
      <c r="AL172" t="str">
        <f>IF(AA172&gt;0,AA172," ")</f>
        <v> </v>
      </c>
      <c r="AR172" s="10"/>
      <c r="AS172" s="10"/>
      <c r="AT172" t="str">
        <f>IF(AA172&gt;0,AA172," ")</f>
        <v> </v>
      </c>
      <c r="AU172" t="str">
        <f>IF($AA172*(100/$I$8)&gt;1.99,$AA172," ")</f>
        <v> </v>
      </c>
      <c r="CY172" s="52"/>
      <c r="CZ172" t="s">
        <v>170</v>
      </c>
      <c r="DJ172" t="str">
        <f>IF(CY172&gt;0,CY172," ")</f>
        <v> </v>
      </c>
      <c r="DN172" s="20"/>
      <c r="DP172" s="10"/>
      <c r="DQ172" s="10"/>
      <c r="DR172" t="str">
        <f>IF(CY172&gt;0,CY172," ")</f>
        <v> </v>
      </c>
      <c r="DS172" t="str">
        <f>IF($AA172*(100/$I$8)&gt;1.99,$AA172," ")</f>
        <v> </v>
      </c>
    </row>
    <row r="173" spans="27:131" ht="12.75">
      <c r="AA173" s="52"/>
      <c r="AB173" t="s">
        <v>181</v>
      </c>
      <c r="AH173" t="str">
        <f>IF(AA173&gt;0,AA173," ")</f>
        <v> </v>
      </c>
      <c r="AM173" t="str">
        <f>IF(AA173&gt;0,AA173," ")</f>
        <v> </v>
      </c>
      <c r="AP173" s="20" t="str">
        <f>IF($AA173&gt;0,$AA173," ")</f>
        <v> </v>
      </c>
      <c r="AR173" s="10"/>
      <c r="AS173" s="10"/>
      <c r="BC173" t="str">
        <f>IF($AA173&gt;0,$AA173," ")</f>
        <v> </v>
      </c>
      <c r="CY173" s="52"/>
      <c r="CZ173" t="s">
        <v>181</v>
      </c>
      <c r="DF173" t="str">
        <f>IF(CY173&gt;0,CY173," ")</f>
        <v> </v>
      </c>
      <c r="DK173" t="str">
        <f>IF(CY173&gt;0,CY173," ")</f>
        <v> </v>
      </c>
      <c r="DN173" s="20" t="str">
        <f>IF($AA173&gt;0,$AA173," ")</f>
        <v> </v>
      </c>
      <c r="DP173" s="10"/>
      <c r="DQ173" s="10"/>
      <c r="EA173" t="str">
        <f>IF($AA173&gt;0,$AA173," ")</f>
        <v> </v>
      </c>
    </row>
    <row r="174" spans="27:131" ht="12.75">
      <c r="AA174" s="52"/>
      <c r="AB174" t="s">
        <v>175</v>
      </c>
      <c r="AM174" t="str">
        <f>IF(AA174&gt;0,AA174," ")</f>
        <v> </v>
      </c>
      <c r="AP174" s="36"/>
      <c r="AQ174" s="2"/>
      <c r="AR174" s="10"/>
      <c r="AS174" s="10"/>
      <c r="AT174" t="str">
        <f>IF(AA174&gt;0,AA174," ")</f>
        <v> </v>
      </c>
      <c r="AU174" t="str">
        <f>IF($AA174*(100/$I$8)&gt;1.99,$AA174," ")</f>
        <v> </v>
      </c>
      <c r="AW174" s="2"/>
      <c r="AX174" s="2"/>
      <c r="BC174" t="str">
        <f>IF($AA174&gt;0,$AA174," ")</f>
        <v> </v>
      </c>
      <c r="CU174" s="2"/>
      <c r="CV174" s="2"/>
      <c r="CY174" s="52"/>
      <c r="CZ174" t="s">
        <v>175</v>
      </c>
      <c r="DK174" t="str">
        <f>IF(CY174&gt;0,CY174," ")</f>
        <v> </v>
      </c>
      <c r="DN174" s="36"/>
      <c r="DO174" s="2"/>
      <c r="DP174" s="10"/>
      <c r="DQ174" s="10"/>
      <c r="DR174" t="str">
        <f>IF(CY174&gt;0,CY174," ")</f>
        <v> </v>
      </c>
      <c r="DS174" t="str">
        <f>IF($AA174*(100/$I$8)&gt;1.99,$AA174," ")</f>
        <v> </v>
      </c>
      <c r="DU174" s="2"/>
      <c r="DV174" s="2"/>
      <c r="EA174" t="str">
        <f>IF($AA174&gt;0,$AA174," ")</f>
        <v> </v>
      </c>
    </row>
    <row r="176" spans="27:55" ht="12.75">
      <c r="AA176">
        <f>SUM(AA5:AA174)</f>
        <v>4</v>
      </c>
      <c r="AB176" t="s">
        <v>247</v>
      </c>
      <c r="AC176">
        <f aca="true" t="shared" si="7" ref="AC176:BC176">SUM(AC5:AC174)</f>
        <v>0</v>
      </c>
      <c r="AD176">
        <f t="shared" si="7"/>
        <v>0</v>
      </c>
      <c r="AE176">
        <f t="shared" si="7"/>
        <v>0</v>
      </c>
      <c r="AF176">
        <f t="shared" si="7"/>
        <v>0</v>
      </c>
      <c r="AG176">
        <f t="shared" si="7"/>
        <v>0</v>
      </c>
      <c r="AH176">
        <f t="shared" si="7"/>
        <v>4</v>
      </c>
      <c r="AI176">
        <f>SUM(AI5:AI174)</f>
        <v>0</v>
      </c>
      <c r="AJ176">
        <f>SUM(AJ5:AJ174)</f>
        <v>0</v>
      </c>
      <c r="AK176">
        <f>SUM(AK5:AK174)</f>
        <v>0</v>
      </c>
      <c r="AL176">
        <f t="shared" si="7"/>
        <v>0</v>
      </c>
      <c r="AM176">
        <f t="shared" si="7"/>
        <v>4</v>
      </c>
      <c r="AN176">
        <f t="shared" si="7"/>
        <v>0</v>
      </c>
      <c r="AO176">
        <f t="shared" si="7"/>
        <v>0</v>
      </c>
      <c r="AP176" s="20">
        <f t="shared" si="7"/>
        <v>4</v>
      </c>
      <c r="AQ176">
        <f t="shared" si="7"/>
        <v>0</v>
      </c>
      <c r="AR176">
        <f t="shared" si="7"/>
        <v>0</v>
      </c>
      <c r="AT176">
        <f t="shared" si="7"/>
        <v>0</v>
      </c>
      <c r="AU176">
        <f>SUM(AU5:AU174)</f>
        <v>0</v>
      </c>
      <c r="AV176">
        <f t="shared" si="7"/>
        <v>0</v>
      </c>
      <c r="AW176">
        <f t="shared" si="7"/>
        <v>0</v>
      </c>
      <c r="AX176">
        <f t="shared" si="7"/>
        <v>0</v>
      </c>
      <c r="AY176">
        <f t="shared" si="7"/>
        <v>0</v>
      </c>
      <c r="AZ176">
        <f t="shared" si="7"/>
        <v>0</v>
      </c>
      <c r="BA176" s="68">
        <f>SUM(BA5:BA174)</f>
        <v>0</v>
      </c>
      <c r="BB176">
        <f t="shared" si="7"/>
        <v>0</v>
      </c>
      <c r="BC176">
        <f t="shared" si="7"/>
        <v>4</v>
      </c>
    </row>
    <row r="177" spans="27:54" ht="12.75">
      <c r="AA177">
        <f>COUNTA(AA5:AA174)-AI178</f>
        <v>1</v>
      </c>
      <c r="AE177">
        <f>COUNT(AE5:AE174)</f>
        <v>0</v>
      </c>
      <c r="AF177">
        <f>COUNT(AF5:AF174)</f>
        <v>0</v>
      </c>
      <c r="AI177">
        <f>COUNT(AI5:AI174)</f>
        <v>0</v>
      </c>
      <c r="AJ177">
        <f>COUNT(AJ5:AJ174)</f>
        <v>0</v>
      </c>
      <c r="AK177">
        <f>COUNT(AK5:AK174)</f>
        <v>0</v>
      </c>
      <c r="AP177" s="20">
        <f aca="true" t="shared" si="8" ref="AP177:AX177">COUNT(AP5:AP174)</f>
        <v>1</v>
      </c>
      <c r="AQ177">
        <f t="shared" si="8"/>
        <v>0</v>
      </c>
      <c r="AS177">
        <f>SUM(AS5:AS174)</f>
        <v>0</v>
      </c>
      <c r="AT177">
        <f t="shared" si="8"/>
        <v>0</v>
      </c>
      <c r="AU177">
        <f t="shared" si="8"/>
        <v>0</v>
      </c>
      <c r="AV177">
        <f t="shared" si="8"/>
        <v>0</v>
      </c>
      <c r="AW177">
        <f t="shared" si="8"/>
        <v>0</v>
      </c>
      <c r="AX177">
        <f t="shared" si="8"/>
        <v>0</v>
      </c>
      <c r="AZ177">
        <f>COUNT(AZ5:AZ174)</f>
        <v>0</v>
      </c>
      <c r="BA177" s="68">
        <f>COUNT($BA$5:$BA$174)</f>
        <v>0</v>
      </c>
      <c r="BB177">
        <f>COUNT(BB5:BB174)</f>
        <v>0</v>
      </c>
    </row>
    <row r="178" ht="12.75">
      <c r="AI178">
        <f>(AI177+AJ177+AK177)</f>
        <v>0</v>
      </c>
    </row>
    <row r="179" spans="46:53" ht="12.75">
      <c r="AT179" t="s">
        <v>291</v>
      </c>
      <c r="BA179">
        <f>(AX$177+BB$177)-AJ177</f>
        <v>0</v>
      </c>
    </row>
    <row r="181" spans="51:53" ht="12.75">
      <c r="AY181" t="s">
        <v>294</v>
      </c>
      <c r="BA181">
        <f>(AX$176+BB$176)</f>
        <v>0</v>
      </c>
    </row>
    <row r="183" spans="46:53" ht="12.75">
      <c r="AT183" t="s">
        <v>305</v>
      </c>
      <c r="BA183">
        <f>(AW$177+AZ$177)-AK177</f>
        <v>0</v>
      </c>
    </row>
    <row r="185" spans="51:53" ht="12.75">
      <c r="AY185" t="s">
        <v>354</v>
      </c>
      <c r="BA185">
        <f>(AW$176+AZ$176)</f>
        <v>0</v>
      </c>
    </row>
    <row r="187" spans="48:53" ht="12.75">
      <c r="AV187" t="s">
        <v>353</v>
      </c>
      <c r="BA187" s="68">
        <f>IF(BA177&gt;0,((($AW$177+$AZ$177)-$AK$177)-1),((AW177+AZ177)-AK177))</f>
        <v>0</v>
      </c>
    </row>
    <row r="189" spans="49:53" ht="12.75">
      <c r="AW189" t="s">
        <v>357</v>
      </c>
      <c r="BA189">
        <f>(AW$176+AZ$176)-BA176</f>
        <v>0</v>
      </c>
    </row>
  </sheetData>
  <printOptions/>
  <pageMargins left="0.75" right="0.75" top="1" bottom="1" header="0.5" footer="0.5"/>
  <pageSetup fitToHeight="1" fitToWidth="1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8"/>
  <sheetViews>
    <sheetView workbookViewId="0" topLeftCell="A1">
      <selection activeCell="C18" sqref="C18"/>
    </sheetView>
  </sheetViews>
  <sheetFormatPr defaultColWidth="9.140625" defaultRowHeight="12.75"/>
  <sheetData>
    <row r="1" ht="15.75">
      <c r="A1" s="38" t="s">
        <v>296</v>
      </c>
    </row>
    <row r="3" spans="1:2" ht="12.75">
      <c r="A3" s="52"/>
      <c r="B3" t="s">
        <v>308</v>
      </c>
    </row>
    <row r="5" spans="1:2" ht="12.75">
      <c r="A5" s="52"/>
      <c r="B5" t="s">
        <v>309</v>
      </c>
    </row>
    <row r="7" spans="1:2" ht="12.75">
      <c r="A7" s="66"/>
      <c r="B7" t="s">
        <v>310</v>
      </c>
    </row>
    <row r="9" spans="1:6" ht="15">
      <c r="A9" s="73" t="s">
        <v>264</v>
      </c>
      <c r="B9" s="74"/>
      <c r="C9" s="74"/>
      <c r="D9" s="74"/>
      <c r="E9" s="75"/>
      <c r="F9" t="s">
        <v>362</v>
      </c>
    </row>
    <row r="10" ht="12.75">
      <c r="F10" t="s">
        <v>363</v>
      </c>
    </row>
    <row r="12" spans="1:6" ht="15">
      <c r="A12" s="73" t="s">
        <v>263</v>
      </c>
      <c r="B12" s="74"/>
      <c r="C12" s="74"/>
      <c r="D12" s="74"/>
      <c r="E12" s="75"/>
      <c r="F12" s="8" t="s">
        <v>364</v>
      </c>
    </row>
    <row r="13" ht="12.75">
      <c r="F13" s="8" t="s">
        <v>365</v>
      </c>
    </row>
    <row r="14" ht="12.75">
      <c r="F14" s="8"/>
    </row>
    <row r="15" ht="12.75">
      <c r="A15" t="s">
        <v>311</v>
      </c>
    </row>
    <row r="16" ht="12.75">
      <c r="A16" t="s">
        <v>334</v>
      </c>
    </row>
    <row r="18" ht="12.75">
      <c r="A18" t="s">
        <v>345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Gansberg</cp:lastModifiedBy>
  <cp:lastPrinted>2005-04-03T13:14:32Z</cp:lastPrinted>
  <dcterms:created xsi:type="dcterms:W3CDTF">1999-12-10T17:06:24Z</dcterms:created>
  <dcterms:modified xsi:type="dcterms:W3CDTF">2009-05-11T20:38:25Z</dcterms:modified>
  <cp:category/>
  <cp:version/>
  <cp:contentType/>
  <cp:contentStatus/>
</cp:coreProperties>
</file>