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120" windowHeight="9120" activeTab="0"/>
  </bookViews>
  <sheets>
    <sheet name="Total Budget" sheetId="1" r:id="rId1"/>
    <sheet name="Botanical Contract" sheetId="2" r:id="rId2"/>
    <sheet name="Soil Scientist's Contract" sheetId="3" r:id="rId3"/>
    <sheet name="Draft estimate" sheetId="4" r:id="rId4"/>
  </sheets>
  <definedNames>
    <definedName name="_xlnm.Print_Area" localSheetId="3">'Draft estimate'!$A$1:$F$46</definedName>
    <definedName name="_xlnm.Print_Area" localSheetId="0">'Total Budget'!$A$1:$G$66</definedName>
  </definedNames>
  <calcPr fullCalcOnLoad="1"/>
</workbook>
</file>

<file path=xl/comments1.xml><?xml version="1.0" encoding="utf-8"?>
<comments xmlns="http://schemas.openxmlformats.org/spreadsheetml/2006/main">
  <authors>
    <author>raabr</author>
    <author>Tom Bernthal</author>
  </authors>
  <commentList>
    <comment ref="B29" authorId="0">
      <text>
        <r>
          <rPr>
            <b/>
            <sz val="8"/>
            <rFont val="Tahoma"/>
            <family val="0"/>
          </rPr>
          <t>raabr:</t>
        </r>
        <r>
          <rPr>
            <sz val="8"/>
            <rFont val="Tahoma"/>
            <family val="0"/>
          </rPr>
          <t xml:space="preserve">
Gas included</t>
        </r>
      </text>
    </comment>
    <comment ref="B33" authorId="0">
      <text>
        <r>
          <rPr>
            <b/>
            <sz val="8"/>
            <rFont val="Tahoma"/>
            <family val="0"/>
          </rPr>
          <t>Bernthal:</t>
        </r>
        <r>
          <rPr>
            <sz val="8"/>
            <rFont val="Tahoma"/>
            <family val="0"/>
          </rPr>
          <t xml:space="preserve">
$100/site X 17 = 1700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 Bernthal:</t>
        </r>
        <r>
          <rPr>
            <sz val="8"/>
            <rFont val="Tahoma"/>
            <family val="0"/>
          </rPr>
          <t xml:space="preserve">
160 Hours per field season coordination, contract supervision+ 40 hr for training + 100 hours for site recon +40 hours for reporting.</t>
        </r>
      </text>
    </comment>
    <comment ref="B32" authorId="0">
      <text>
        <r>
          <rPr>
            <b/>
            <sz val="8"/>
            <rFont val="Tahoma"/>
            <family val="0"/>
          </rPr>
          <t>Bernthal:</t>
        </r>
        <r>
          <rPr>
            <sz val="8"/>
            <rFont val="Tahoma"/>
            <family val="0"/>
          </rPr>
          <t xml:space="preserve">
 Survey Grade GPS - 4700
Hand held GPS - 300
</t>
        </r>
      </text>
    </comment>
    <comment ref="A20" authorId="1">
      <text>
        <r>
          <rPr>
            <b/>
            <sz val="8"/>
            <rFont val="Tahoma"/>
            <family val="0"/>
          </rPr>
          <t xml:space="preserve"> Bernthal:</t>
        </r>
        <r>
          <rPr>
            <sz val="8"/>
            <rFont val="Tahoma"/>
            <family val="0"/>
          </rPr>
          <t xml:space="preserve">
16 hr/site X 17 = 272
+ 40 hr Training Session,
+ 40 hrs Round Trip Driving Time , 
Total = 352 hours</t>
        </r>
      </text>
    </comment>
    <comment ref="B19" authorId="1">
      <text>
        <r>
          <rPr>
            <b/>
            <sz val="8"/>
            <rFont val="Tahoma"/>
            <family val="0"/>
          </rPr>
          <t>Bernthal:</t>
        </r>
        <r>
          <rPr>
            <sz val="8"/>
            <rFont val="Tahoma"/>
            <family val="0"/>
          </rPr>
          <t xml:space="preserve">
Site Recon - 100 hours
Field Map Prep - 40 hrs
Total 140</t>
        </r>
      </text>
    </comment>
  </commentList>
</comments>
</file>

<file path=xl/sharedStrings.xml><?xml version="1.0" encoding="utf-8"?>
<sst xmlns="http://schemas.openxmlformats.org/spreadsheetml/2006/main" count="218" uniqueCount="136">
  <si>
    <t>TOTAL</t>
  </si>
  <si>
    <t>Weekly Meal Expenditure</t>
  </si>
  <si>
    <t># of staff</t>
  </si>
  <si>
    <t>Total</t>
  </si>
  <si>
    <t>Cost per week</t>
  </si>
  <si>
    <t>Meals - see below</t>
  </si>
  <si>
    <t>EQUIPMENT</t>
  </si>
  <si>
    <t>SALARY</t>
  </si>
  <si>
    <t>TRAVEL</t>
  </si>
  <si>
    <t xml:space="preserve">WT </t>
  </si>
  <si>
    <t>FRINGE</t>
  </si>
  <si>
    <t>COST PER  SITE</t>
  </si>
  <si>
    <t># OF SITES</t>
  </si>
  <si>
    <t>FTE (48.59%)</t>
  </si>
  <si>
    <t>TOTAL SALARY AND FRINGE</t>
  </si>
  <si>
    <t>misc meetings</t>
  </si>
  <si>
    <t>TOTAL TRAVEL</t>
  </si>
  <si>
    <t>CONTRACTUAL (see above)</t>
  </si>
  <si>
    <t>INDIRECT (.1367)</t>
  </si>
  <si>
    <t>TOTAL DIRECT</t>
  </si>
  <si>
    <t>LTE (27.23%)</t>
  </si>
  <si>
    <t>OTHER</t>
  </si>
  <si>
    <t>hr/site</t>
  </si>
  <si>
    <t>total hr</t>
  </si>
  <si>
    <t>$/hr</t>
  </si>
  <si>
    <t>$/site</t>
  </si>
  <si>
    <t>NA</t>
  </si>
  <si>
    <t># of weeks</t>
  </si>
  <si>
    <t>Total $</t>
  </si>
  <si>
    <t>Lodging 4nights/wk * 6 wk *2 rooms * 70</t>
  </si>
  <si>
    <t># rooms</t>
  </si>
  <si>
    <t># nights/wk</t>
  </si>
  <si>
    <t># weeks</t>
  </si>
  <si>
    <t>$/room</t>
  </si>
  <si>
    <t>Lodging for coordinator, site recon</t>
  </si>
  <si>
    <t>Total Lodging</t>
  </si>
  <si>
    <t>$/day</t>
  </si>
  <si>
    <t>Travel Crew - vehicle lease assume 7 weeks at 40/day including gas</t>
  </si>
  <si>
    <t>Coordinator 10 days Meal allowance @ 34/day</t>
  </si>
  <si>
    <t>Total Vehicle</t>
  </si>
  <si>
    <t>Field Crew Meals at training session 17+34+34+34+17=</t>
  </si>
  <si>
    <t>Fiedl Crew Meal allowance by day Mon-Fri  26+34+34+34+17=145</t>
  </si>
  <si>
    <t>Lodging @ state rate of $70 (includes training session)</t>
  </si>
  <si>
    <t>Lodging</t>
  </si>
  <si>
    <t>Vehicle/gas</t>
  </si>
  <si>
    <t>Asstant Botanist @ 20/hr *1.27 (LTE fringe)</t>
  </si>
  <si>
    <t>Field Tech @15/hr*1.27 (LTE fringe)</t>
  </si>
  <si>
    <t>Travel Vehicle for Coordinator 10 days @ 40/day - recon and misc</t>
  </si>
  <si>
    <t>Lodging for training session (crew + Coordinator + wetland ecol)</t>
  </si>
  <si>
    <t>Transportation ($40/day) includes site recon</t>
  </si>
  <si>
    <t>Equipment</t>
  </si>
  <si>
    <t>Equipment - see below</t>
  </si>
  <si>
    <t>Total Salary and Fringe</t>
  </si>
  <si>
    <t>Supplies - see below</t>
  </si>
  <si>
    <t>TRAVEL - see below</t>
  </si>
  <si>
    <t>Meals</t>
  </si>
  <si>
    <t>Lead Botanist @ $26/hr *1.27 (LTE fringe)</t>
  </si>
  <si>
    <t>Indirect @0.1367</t>
  </si>
  <si>
    <t>Soil Scientist @ 25/hr*1.27 (LTE fringe)</t>
  </si>
  <si>
    <t>Supplies</t>
  </si>
  <si>
    <t>Bernthal @ 260 hr 29.50/hr *1.5 (perma fringe)</t>
  </si>
  <si>
    <t xml:space="preserve">Total </t>
  </si>
  <si>
    <t>Travel</t>
  </si>
  <si>
    <t xml:space="preserve">Lodging for training session </t>
  </si>
  <si>
    <t xml:space="preserve">Total Contract </t>
  </si>
  <si>
    <t>ANALYSIS AND SAMPLING CONTRACTS</t>
  </si>
  <si>
    <t>FIELD SURVEY CONTRACTS</t>
  </si>
  <si>
    <t xml:space="preserve">Monitoring Coordinator FTE 340 hr @ 29.50/hr </t>
  </si>
  <si>
    <t>1 LTE Field Tech   340hr @ $18/hr</t>
  </si>
  <si>
    <t xml:space="preserve">1 LTE GIS Tech  140hr @ 22/hr </t>
  </si>
  <si>
    <t>Field Tech Meal allowance by day Mon-Fri  26+34+34+34+17=145</t>
  </si>
  <si>
    <t>Field Tech, Coordinator, Wetland Ecologist, Meals at training session 17+34+34+34+17=136</t>
  </si>
  <si>
    <t>Lodging - see below</t>
  </si>
  <si>
    <t>Transportation - see below</t>
  </si>
  <si>
    <t>SUPPLIES  (est @ 17 sites)</t>
  </si>
  <si>
    <t>Lodging for WDNR Staff</t>
  </si>
  <si>
    <t>Weekly Meal Expenditure for DNR Staff</t>
  </si>
  <si>
    <t xml:space="preserve">2 Person Botanical Survey Crew: Crew Leader/Lead Botanist, Assistant Botanist includes equipment, travel and lodging </t>
  </si>
  <si>
    <t>Soil Scientist:</t>
  </si>
  <si>
    <t xml:space="preserve">Botanical Contract </t>
  </si>
  <si>
    <t>sites</t>
  </si>
  <si>
    <t>rate</t>
  </si>
  <si>
    <t>Lead Botanist</t>
  </si>
  <si>
    <t>Assistant Botanist</t>
  </si>
  <si>
    <t>Lead Botanist driving hours to major sites</t>
  </si>
  <si>
    <t>Assistant Botanist driving hours</t>
  </si>
  <si>
    <t xml:space="preserve">Total Salary </t>
  </si>
  <si>
    <t>Fringe/overhead/risk factor for Lead (50%)</t>
  </si>
  <si>
    <t>Total non-travel related costs</t>
  </si>
  <si>
    <t>Mileage 3500 miles 17 sites @IRS rate $0.55</t>
  </si>
  <si>
    <t>Cost/week</t>
  </si>
  <si>
    <t>Field Crew Meals at training session 17+34+34+34+17=136</t>
  </si>
  <si>
    <t>each way</t>
  </si>
  <si>
    <t>rnd trip</t>
  </si>
  <si>
    <t>hours drive</t>
  </si>
  <si>
    <t>1) Madison - Sheboygan - Madison</t>
  </si>
  <si>
    <t>2) Madison -Sister Bay</t>
  </si>
  <si>
    <t>2b Sister Bay to Peshtigo</t>
  </si>
  <si>
    <t>Peshtigo to Msn</t>
  </si>
  <si>
    <t>3) Madison - Shawano - Eagle River - Madison</t>
  </si>
  <si>
    <t>4) Madison - Black River Falls - Madison</t>
  </si>
  <si>
    <t>5) Madison - Solon Springs - Balsam Lake - Madison</t>
  </si>
  <si>
    <t>number of sites</t>
  </si>
  <si>
    <t>driving to site and back from lodging</t>
  </si>
  <si>
    <t>(two days worth)</t>
  </si>
  <si>
    <t>total shuttle mileage back and forth</t>
  </si>
  <si>
    <t>grand total of miles for 17 sites</t>
  </si>
  <si>
    <t>IRS rate of 55 cents per mile</t>
  </si>
  <si>
    <t>Total mileage amount in dollars</t>
  </si>
  <si>
    <t>Soil Scientist's Contract</t>
  </si>
  <si>
    <t xml:space="preserve">Total Salary </t>
  </si>
  <si>
    <t>Total non-travel related costs</t>
  </si>
  <si>
    <t>Mileage 3500 miles 17 sites @IRS rate $0.55</t>
  </si>
  <si>
    <t>Cost/week</t>
  </si>
  <si>
    <t>Lodging 4nights/wk * 6 wk  * 70</t>
  </si>
  <si>
    <t>each way</t>
  </si>
  <si>
    <t>rnd trip</t>
  </si>
  <si>
    <t>hours drive</t>
  </si>
  <si>
    <t>2) Madison -Sister Bay</t>
  </si>
  <si>
    <t>2b Sister Bay to Peshtigo</t>
  </si>
  <si>
    <t>Peshtigo to Msn</t>
  </si>
  <si>
    <t>number of sites</t>
  </si>
  <si>
    <t>driving to site and back from lodging</t>
  </si>
  <si>
    <t>(two days worth)</t>
  </si>
  <si>
    <t>total shuttle mileage back and forth</t>
  </si>
  <si>
    <t>grand total of miles for 17 sites</t>
  </si>
  <si>
    <t>IRS rate of 55 cents per mile</t>
  </si>
  <si>
    <t>Total mileage amount in dollars</t>
  </si>
  <si>
    <t xml:space="preserve">Transportation </t>
  </si>
  <si>
    <t xml:space="preserve">Trips from and to Madison </t>
  </si>
  <si>
    <t># of sites</t>
  </si>
  <si>
    <t>hourly rate</t>
  </si>
  <si>
    <t>Water E. coli</t>
  </si>
  <si>
    <t>Water Chlorophyll a</t>
  </si>
  <si>
    <t xml:space="preserve">Water Nutrients and Solids </t>
  </si>
  <si>
    <t>MacroInvertebrate Analysis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</si>
</sst>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  <numFmt numFmtId="167" formatCode="&quot;$&quot;#,##0.0"/>
  </numFmts>
  <fonts count="15">
    <font>
      <sz val="10"/>
      <name val="Arial"/>
      <family val="0"/>
    </font>
    <font>
      <sz val="10"/>
      <name val="Book Antiqua"/>
      <family val="1"/>
    </font>
    <font>
      <sz val="8"/>
      <name val="Arial"/>
      <family val="0"/>
    </font>
    <font>
      <i/>
      <sz val="11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Book Antiqua"/>
      <family val="1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164" fontId="0" fillId="0" borderId="15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4" borderId="23" xfId="0" applyFill="1" applyBorder="1" applyAlignment="1">
      <alignment wrapText="1"/>
    </xf>
    <xf numFmtId="0" fontId="0" fillId="4" borderId="11" xfId="0" applyFill="1" applyBorder="1" applyAlignment="1">
      <alignment/>
    </xf>
    <xf numFmtId="0" fontId="0" fillId="4" borderId="24" xfId="0" applyFill="1" applyBorder="1" applyAlignment="1">
      <alignment/>
    </xf>
    <xf numFmtId="164" fontId="0" fillId="4" borderId="25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0" fillId="4" borderId="28" xfId="0" applyNumberFormat="1" applyFill="1" applyBorder="1" applyAlignment="1">
      <alignment/>
    </xf>
    <xf numFmtId="164" fontId="8" fillId="3" borderId="5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5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4" fontId="12" fillId="0" borderId="0" xfId="17" applyFont="1" applyAlignment="1">
      <alignment/>
    </xf>
    <xf numFmtId="6" fontId="0" fillId="0" borderId="13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4" fillId="2" borderId="30" xfId="0" applyFont="1" applyFill="1" applyBorder="1" applyAlignment="1">
      <alignment horizontal="center"/>
    </xf>
    <xf numFmtId="0" fontId="13" fillId="0" borderId="11" xfId="22" applyFont="1" applyFill="1" applyBorder="1" applyAlignment="1">
      <alignment horizontal="left" wrapText="1"/>
      <protection/>
    </xf>
    <xf numFmtId="0" fontId="13" fillId="0" borderId="11" xfId="21" applyFont="1" applyFill="1" applyBorder="1" applyAlignment="1">
      <alignment wrapText="1"/>
      <protection/>
    </xf>
    <xf numFmtId="164" fontId="8" fillId="3" borderId="25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otal Samples in DB" xfId="21"/>
    <cellStyle name="Normal_Total Samples in DB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5" zoomScaleNormal="75" workbookViewId="0" topLeftCell="A4">
      <selection activeCell="A41" sqref="A41"/>
    </sheetView>
  </sheetViews>
  <sheetFormatPr defaultColWidth="9.140625" defaultRowHeight="12.75"/>
  <cols>
    <col min="1" max="1" width="45.7109375" style="0" customWidth="1"/>
    <col min="2" max="2" width="18.28125" style="0" customWidth="1"/>
    <col min="3" max="3" width="12.7109375" style="0" customWidth="1"/>
    <col min="4" max="4" width="12.28125" style="0" customWidth="1"/>
    <col min="5" max="5" width="14.140625" style="0" customWidth="1"/>
    <col min="6" max="6" width="10.140625" style="0" customWidth="1"/>
    <col min="7" max="7" width="15.140625" style="0" customWidth="1"/>
    <col min="9" max="9" width="11.00390625" style="0" customWidth="1"/>
  </cols>
  <sheetData>
    <row r="1" spans="1:8" s="3" customFormat="1" ht="5.25" customHeight="1" thickBot="1">
      <c r="A1" s="10"/>
      <c r="B1" s="8"/>
      <c r="C1" s="8"/>
      <c r="D1" s="8"/>
      <c r="E1" s="11"/>
      <c r="F1" s="11"/>
      <c r="G1" s="11"/>
      <c r="H1" s="11"/>
    </row>
    <row r="2" spans="1:8" ht="15.75" thickBot="1">
      <c r="A2" s="13" t="s">
        <v>65</v>
      </c>
      <c r="B2" s="14" t="s">
        <v>11</v>
      </c>
      <c r="C2" s="82" t="s">
        <v>12</v>
      </c>
      <c r="D2" s="87"/>
      <c r="E2" s="87"/>
      <c r="F2" s="87"/>
      <c r="G2" s="87"/>
      <c r="H2" s="7"/>
    </row>
    <row r="3" spans="2:6" ht="14.25" thickTop="1">
      <c r="B3" s="20"/>
      <c r="C3" s="20"/>
      <c r="D3" s="20"/>
      <c r="F3" s="5"/>
    </row>
    <row r="4" spans="1:6" ht="13.5">
      <c r="A4" s="83" t="s">
        <v>135</v>
      </c>
      <c r="B4" s="71">
        <v>165</v>
      </c>
      <c r="C4" s="31">
        <v>0</v>
      </c>
      <c r="D4" s="72">
        <f>B4*C4</f>
        <v>0</v>
      </c>
      <c r="F4" s="5"/>
    </row>
    <row r="5" spans="1:6" ht="13.5">
      <c r="A5" s="83" t="s">
        <v>132</v>
      </c>
      <c r="B5" s="71">
        <v>0</v>
      </c>
      <c r="C5" s="31">
        <v>0</v>
      </c>
      <c r="D5" s="72">
        <f>B5*C5</f>
        <v>0</v>
      </c>
      <c r="F5" s="5"/>
    </row>
    <row r="6" spans="1:6" ht="13.5">
      <c r="A6" s="83" t="s">
        <v>133</v>
      </c>
      <c r="B6" s="85">
        <v>0</v>
      </c>
      <c r="C6" s="86">
        <v>0</v>
      </c>
      <c r="D6" s="72">
        <f>B6*C6</f>
        <v>0</v>
      </c>
      <c r="F6" s="5"/>
    </row>
    <row r="7" spans="1:6" ht="13.5">
      <c r="A7" s="84" t="s">
        <v>134</v>
      </c>
      <c r="B7" s="85">
        <v>0</v>
      </c>
      <c r="C7" s="86">
        <v>0</v>
      </c>
      <c r="D7" s="72">
        <f>B7*C7</f>
        <v>0</v>
      </c>
      <c r="F7" s="5"/>
    </row>
    <row r="8" spans="1:6" s="3" customFormat="1" ht="13.5">
      <c r="A8" s="30" t="s">
        <v>0</v>
      </c>
      <c r="B8" s="71">
        <f>SUM(B5:B6)</f>
        <v>0</v>
      </c>
      <c r="C8" s="31">
        <v>17</v>
      </c>
      <c r="D8" s="71">
        <f>SUM(D5:D6)</f>
        <v>0</v>
      </c>
      <c r="F8" s="59"/>
    </row>
    <row r="9" spans="1:6" s="3" customFormat="1" ht="14.25" thickBot="1">
      <c r="A9" s="60"/>
      <c r="B9" s="61"/>
      <c r="C9" s="62"/>
      <c r="D9" s="61"/>
      <c r="E9" s="61"/>
      <c r="F9" s="59"/>
    </row>
    <row r="10" spans="1:8" ht="15.75" thickBot="1">
      <c r="A10" s="13" t="s">
        <v>66</v>
      </c>
      <c r="B10" s="14" t="s">
        <v>11</v>
      </c>
      <c r="C10" s="15" t="s">
        <v>12</v>
      </c>
      <c r="D10" s="15" t="s">
        <v>3</v>
      </c>
      <c r="H10" s="1"/>
    </row>
    <row r="11" spans="1:4" ht="39" thickTop="1">
      <c r="A11" s="63" t="s">
        <v>77</v>
      </c>
      <c r="B11" s="66">
        <f>+D11/C11</f>
        <v>2018.7205882352941</v>
      </c>
      <c r="C11" s="68">
        <v>17</v>
      </c>
      <c r="D11" s="70">
        <f>'Botanical Contract'!F17</f>
        <v>34318.25</v>
      </c>
    </row>
    <row r="12" spans="1:4" ht="12.75">
      <c r="A12" s="64" t="s">
        <v>78</v>
      </c>
      <c r="B12" s="66">
        <f>+D12/C12</f>
        <v>1127.5441176470588</v>
      </c>
      <c r="C12" s="68">
        <v>17</v>
      </c>
      <c r="D12" s="70">
        <f>'Soil Scientist''s Contract'!F14</f>
        <v>19168.25</v>
      </c>
    </row>
    <row r="13" spans="1:4" ht="13.5" thickBot="1">
      <c r="A13" s="65" t="s">
        <v>0</v>
      </c>
      <c r="B13" s="67"/>
      <c r="C13" s="68"/>
      <c r="D13" s="69">
        <f>SUM(D11:D12)</f>
        <v>53486.5</v>
      </c>
    </row>
    <row r="15" spans="1:2" ht="14.25" thickBot="1">
      <c r="A15" s="9" t="s">
        <v>9</v>
      </c>
      <c r="B15" s="29" t="s">
        <v>3</v>
      </c>
    </row>
    <row r="16" spans="1:2" ht="13.5">
      <c r="A16" s="21"/>
      <c r="B16" s="73"/>
    </row>
    <row r="17" spans="1:2" ht="13.5">
      <c r="A17" s="22" t="s">
        <v>7</v>
      </c>
      <c r="B17" s="74"/>
    </row>
    <row r="18" spans="1:2" ht="13.5">
      <c r="A18" s="33" t="s">
        <v>67</v>
      </c>
      <c r="B18" s="75">
        <f>340*29.5</f>
        <v>10030</v>
      </c>
    </row>
    <row r="19" spans="1:2" ht="13.5">
      <c r="A19" s="33" t="s">
        <v>69</v>
      </c>
      <c r="B19" s="75">
        <f>140*22</f>
        <v>3080</v>
      </c>
    </row>
    <row r="20" spans="1:2" ht="13.5">
      <c r="A20" s="25" t="s">
        <v>68</v>
      </c>
      <c r="B20" s="75">
        <f>18*352</f>
        <v>6336</v>
      </c>
    </row>
    <row r="21" spans="1:2" ht="13.5">
      <c r="A21" s="25" t="s">
        <v>10</v>
      </c>
      <c r="B21" s="75"/>
    </row>
    <row r="22" spans="1:2" ht="13.5">
      <c r="A22" s="23" t="s">
        <v>13</v>
      </c>
      <c r="B22" s="75">
        <f>+B18*0.4859</f>
        <v>4873.577</v>
      </c>
    </row>
    <row r="23" spans="1:2" ht="13.5">
      <c r="A23" s="24" t="s">
        <v>20</v>
      </c>
      <c r="B23" s="75">
        <f>+B19*0.2723</f>
        <v>838.684</v>
      </c>
    </row>
    <row r="24" spans="1:2" ht="13.5">
      <c r="A24" s="24" t="s">
        <v>20</v>
      </c>
      <c r="B24" s="75">
        <f>+B20*0.2723</f>
        <v>1725.2928</v>
      </c>
    </row>
    <row r="25" spans="1:2" ht="13.5">
      <c r="A25" s="24" t="s">
        <v>14</v>
      </c>
      <c r="B25" s="75">
        <f>SUM(B18:B23)</f>
        <v>25158.261000000002</v>
      </c>
    </row>
    <row r="26" spans="1:2" ht="13.5">
      <c r="A26" s="26" t="s">
        <v>8</v>
      </c>
      <c r="B26" s="75"/>
    </row>
    <row r="27" spans="1:2" ht="13.5">
      <c r="A27" s="24" t="s">
        <v>5</v>
      </c>
      <c r="B27" s="75">
        <f>E44</f>
        <v>1618</v>
      </c>
    </row>
    <row r="28" spans="1:2" ht="13.5">
      <c r="A28" s="24" t="s">
        <v>72</v>
      </c>
      <c r="B28" s="75">
        <f>F50</f>
        <v>3150</v>
      </c>
    </row>
    <row r="29" spans="1:2" ht="13.5">
      <c r="A29" s="24" t="s">
        <v>73</v>
      </c>
      <c r="B29" s="75">
        <f>E55</f>
        <v>1800</v>
      </c>
    </row>
    <row r="30" spans="1:2" ht="13.5">
      <c r="A30" s="24" t="s">
        <v>15</v>
      </c>
      <c r="B30" s="75">
        <v>750</v>
      </c>
    </row>
    <row r="31" spans="1:2" ht="13.5">
      <c r="A31" s="24" t="s">
        <v>16</v>
      </c>
      <c r="B31" s="75">
        <f>SUM(B27:B30)</f>
        <v>7318</v>
      </c>
    </row>
    <row r="32" spans="1:2" ht="13.5">
      <c r="A32" s="26" t="s">
        <v>6</v>
      </c>
      <c r="B32" s="75">
        <v>5000</v>
      </c>
    </row>
    <row r="33" spans="1:2" ht="13.5">
      <c r="A33" s="26" t="s">
        <v>74</v>
      </c>
      <c r="B33" s="76">
        <v>1700</v>
      </c>
    </row>
    <row r="34" spans="1:2" ht="13.5">
      <c r="A34" s="26" t="s">
        <v>17</v>
      </c>
      <c r="B34" s="76" t="e">
        <f>D13+D8+#REF!</f>
        <v>#REF!</v>
      </c>
    </row>
    <row r="35" spans="1:2" ht="13.5">
      <c r="A35" s="26" t="s">
        <v>21</v>
      </c>
      <c r="B35" s="76" t="e">
        <f>(#REF!-B37)-(+B25+B31+B32+B33+B34)</f>
        <v>#REF!</v>
      </c>
    </row>
    <row r="36" spans="1:2" ht="13.5">
      <c r="A36" s="26" t="s">
        <v>19</v>
      </c>
      <c r="B36" s="76" t="e">
        <f>+B25+B31+B32+B33+B34+B35</f>
        <v>#REF!</v>
      </c>
    </row>
    <row r="37" spans="1:2" ht="13.5">
      <c r="A37" s="27" t="s">
        <v>18</v>
      </c>
      <c r="B37" s="75">
        <f>0.1367*B25</f>
        <v>3439.1342787</v>
      </c>
    </row>
    <row r="38" spans="1:2" ht="14.25" thickBot="1">
      <c r="A38" s="28" t="s">
        <v>0</v>
      </c>
      <c r="B38" s="75" t="e">
        <f>SUM(B36:B37)</f>
        <v>#REF!</v>
      </c>
    </row>
    <row r="39" ht="13.5" thickBot="1">
      <c r="D39" s="32"/>
    </row>
    <row r="40" spans="1:5" ht="13.5">
      <c r="A40" s="35" t="s">
        <v>76</v>
      </c>
      <c r="B40" s="2" t="s">
        <v>4</v>
      </c>
      <c r="C40" s="19" t="s">
        <v>27</v>
      </c>
      <c r="D40" s="19" t="s">
        <v>2</v>
      </c>
      <c r="E40" s="43" t="s">
        <v>3</v>
      </c>
    </row>
    <row r="41" spans="1:5" ht="27">
      <c r="A41" s="38" t="s">
        <v>70</v>
      </c>
      <c r="B41" s="36">
        <v>145</v>
      </c>
      <c r="C41" s="37">
        <v>6</v>
      </c>
      <c r="D41" s="37">
        <v>1</v>
      </c>
      <c r="E41" s="44">
        <f>+B41*C41*D41</f>
        <v>870</v>
      </c>
    </row>
    <row r="42" spans="1:5" ht="27">
      <c r="A42" s="38" t="s">
        <v>71</v>
      </c>
      <c r="B42" s="36">
        <v>136</v>
      </c>
      <c r="C42" s="37">
        <v>1</v>
      </c>
      <c r="D42" s="37">
        <v>3</v>
      </c>
      <c r="E42" s="44">
        <f>+B42*C42*D42</f>
        <v>408</v>
      </c>
    </row>
    <row r="43" spans="1:5" ht="14.25" thickBot="1">
      <c r="A43" s="38" t="s">
        <v>38</v>
      </c>
      <c r="B43" s="36"/>
      <c r="C43" s="37"/>
      <c r="D43" s="37"/>
      <c r="E43" s="44">
        <f>34*10</f>
        <v>340</v>
      </c>
    </row>
    <row r="44" spans="1:5" ht="13.5" thickBot="1">
      <c r="A44" s="41" t="s">
        <v>3</v>
      </c>
      <c r="B44" s="42"/>
      <c r="C44" s="42"/>
      <c r="D44" s="42"/>
      <c r="E44" s="56">
        <f>SUM(E41:E43)</f>
        <v>1618</v>
      </c>
    </row>
    <row r="45" spans="3:4" ht="13.5">
      <c r="C45" s="4"/>
      <c r="D45" s="3"/>
    </row>
    <row r="46" spans="1:6" ht="12.75">
      <c r="A46" s="47" t="s">
        <v>75</v>
      </c>
      <c r="B46" s="48" t="s">
        <v>31</v>
      </c>
      <c r="C46" s="48" t="s">
        <v>32</v>
      </c>
      <c r="D46" s="48" t="s">
        <v>30</v>
      </c>
      <c r="E46" s="49" t="s">
        <v>33</v>
      </c>
      <c r="F46" s="50" t="s">
        <v>3</v>
      </c>
    </row>
    <row r="47" spans="1:8" ht="13.5">
      <c r="A47" s="51" t="s">
        <v>29</v>
      </c>
      <c r="B47" s="40">
        <v>4</v>
      </c>
      <c r="C47" s="40">
        <v>6</v>
      </c>
      <c r="D47" s="40">
        <v>1</v>
      </c>
      <c r="E47" s="46">
        <v>70</v>
      </c>
      <c r="F47" s="52">
        <f>+B47*C47*D47*E47</f>
        <v>1680</v>
      </c>
      <c r="G47" s="4"/>
      <c r="H47" s="6"/>
    </row>
    <row r="48" spans="1:8" ht="26.25">
      <c r="A48" s="51" t="s">
        <v>48</v>
      </c>
      <c r="B48" s="40">
        <v>4</v>
      </c>
      <c r="C48" s="40">
        <v>1</v>
      </c>
      <c r="D48" s="40">
        <v>3</v>
      </c>
      <c r="E48" s="46">
        <v>70</v>
      </c>
      <c r="F48" s="52">
        <f>+B48*C48*D48*E48</f>
        <v>840</v>
      </c>
      <c r="G48" s="4"/>
      <c r="H48" s="6"/>
    </row>
    <row r="49" spans="1:8" ht="14.25" thickBot="1">
      <c r="A49" s="51" t="s">
        <v>34</v>
      </c>
      <c r="B49" s="40">
        <v>3</v>
      </c>
      <c r="C49" s="40">
        <v>3</v>
      </c>
      <c r="D49" s="40">
        <v>1</v>
      </c>
      <c r="E49" s="46">
        <v>70</v>
      </c>
      <c r="F49" s="52">
        <f>+B49*C49*D49*E49</f>
        <v>630</v>
      </c>
      <c r="G49" s="4"/>
      <c r="H49" s="6"/>
    </row>
    <row r="50" spans="1:8" ht="14.25" thickBot="1">
      <c r="A50" s="53" t="s">
        <v>35</v>
      </c>
      <c r="B50" s="54"/>
      <c r="C50" s="54"/>
      <c r="D50" s="54"/>
      <c r="E50" s="55"/>
      <c r="F50" s="56">
        <f>SUM(F47:F49)</f>
        <v>3150</v>
      </c>
      <c r="G50" s="4"/>
      <c r="H50" s="6"/>
    </row>
    <row r="51" spans="7:8" ht="13.5">
      <c r="G51" s="4"/>
      <c r="H51" s="6"/>
    </row>
    <row r="52" spans="1:8" ht="13.5">
      <c r="A52" s="47" t="s">
        <v>128</v>
      </c>
      <c r="B52" s="48" t="s">
        <v>31</v>
      </c>
      <c r="C52" s="48" t="s">
        <v>32</v>
      </c>
      <c r="D52" s="48" t="s">
        <v>36</v>
      </c>
      <c r="E52" s="57" t="s">
        <v>28</v>
      </c>
      <c r="G52" s="4"/>
      <c r="H52" s="6"/>
    </row>
    <row r="53" spans="1:8" ht="26.25">
      <c r="A53" s="51" t="s">
        <v>37</v>
      </c>
      <c r="B53" s="40">
        <v>5</v>
      </c>
      <c r="C53" s="40">
        <v>7</v>
      </c>
      <c r="D53" s="40">
        <v>40</v>
      </c>
      <c r="E53" s="52">
        <f>+B53*C53*D53</f>
        <v>1400</v>
      </c>
      <c r="G53" s="4"/>
      <c r="H53" s="6"/>
    </row>
    <row r="54" spans="1:8" ht="27" thickBot="1">
      <c r="A54" s="51" t="s">
        <v>47</v>
      </c>
      <c r="B54" s="40">
        <v>10</v>
      </c>
      <c r="C54" s="40">
        <v>1</v>
      </c>
      <c r="D54" s="40">
        <v>40</v>
      </c>
      <c r="E54" s="52">
        <f>+B54*C54*D54</f>
        <v>400</v>
      </c>
      <c r="G54" s="4"/>
      <c r="H54" s="6"/>
    </row>
    <row r="55" spans="1:8" ht="14.25" thickBot="1">
      <c r="A55" s="53" t="s">
        <v>39</v>
      </c>
      <c r="B55" s="54"/>
      <c r="C55" s="54"/>
      <c r="D55" s="54"/>
      <c r="E55" s="56">
        <f>SUM(E53:E54)</f>
        <v>1800</v>
      </c>
      <c r="G55" s="4"/>
      <c r="H55" s="6"/>
    </row>
    <row r="56" spans="3:8" ht="13.5">
      <c r="C56" s="4"/>
      <c r="D56" s="3"/>
      <c r="E56" s="4"/>
      <c r="F56" s="4"/>
      <c r="G56" s="4"/>
      <c r="H56" s="6"/>
    </row>
    <row r="57" spans="3:8" ht="13.5">
      <c r="C57" s="4"/>
      <c r="D57" s="3"/>
      <c r="E57" s="4"/>
      <c r="F57" s="4"/>
      <c r="G57" s="4"/>
      <c r="H57" s="6"/>
    </row>
    <row r="58" spans="3:8" ht="13.5">
      <c r="C58" s="4"/>
      <c r="D58" s="3"/>
      <c r="E58" s="4"/>
      <c r="F58" s="4"/>
      <c r="G58" s="4"/>
      <c r="H58" s="6"/>
    </row>
    <row r="59" spans="3:8" ht="13.5">
      <c r="C59" s="4"/>
      <c r="D59" s="3"/>
      <c r="E59" s="4"/>
      <c r="F59" s="4"/>
      <c r="G59" s="4"/>
      <c r="H59" s="6"/>
    </row>
    <row r="60" spans="3:8" ht="13.5">
      <c r="C60" s="4"/>
      <c r="D60" s="3"/>
      <c r="E60" s="4"/>
      <c r="F60" s="4"/>
      <c r="G60" s="4"/>
      <c r="H60" s="6"/>
    </row>
    <row r="61" spans="3:8" ht="13.5">
      <c r="C61" s="4"/>
      <c r="D61" s="3"/>
      <c r="E61" s="4"/>
      <c r="F61" s="4"/>
      <c r="G61" s="4"/>
      <c r="H61" s="6"/>
    </row>
    <row r="62" spans="3:8" ht="13.5">
      <c r="C62" s="4"/>
      <c r="D62" s="3"/>
      <c r="E62" s="4"/>
      <c r="F62" s="4"/>
      <c r="G62" s="4"/>
      <c r="H62" s="6"/>
    </row>
    <row r="63" spans="3:7" ht="13.5">
      <c r="C63" s="4"/>
      <c r="D63" s="11"/>
      <c r="E63" s="11"/>
      <c r="F63" s="3"/>
      <c r="G63" s="3"/>
    </row>
    <row r="64" spans="3:7" ht="13.5">
      <c r="C64" s="4"/>
      <c r="D64" s="16"/>
      <c r="E64" s="11"/>
      <c r="F64" s="3"/>
      <c r="G64" s="3"/>
    </row>
    <row r="65" spans="1:10" ht="13.5">
      <c r="A65" s="4"/>
      <c r="B65" s="12"/>
      <c r="C65" s="12"/>
      <c r="D65" s="6"/>
      <c r="E65" s="6"/>
      <c r="F65" s="4"/>
      <c r="G65" s="16"/>
      <c r="H65" s="11"/>
      <c r="I65" s="3"/>
      <c r="J65" s="3"/>
    </row>
    <row r="66" spans="1:10" ht="7.5" customHeight="1">
      <c r="A66" s="1"/>
      <c r="B66" s="1"/>
      <c r="C66" s="11"/>
      <c r="D66" s="11"/>
      <c r="E66" s="11"/>
      <c r="F66" s="11"/>
      <c r="G66" s="17"/>
      <c r="H66" s="18"/>
      <c r="I66" s="3"/>
      <c r="J66" s="3"/>
    </row>
  </sheetData>
  <mergeCells count="1">
    <mergeCell ref="D2:G2"/>
  </mergeCells>
  <printOptions gridLines="1"/>
  <pageMargins left="0.25" right="0.25" top="0.75" bottom="0.5" header="0.5" footer="0.5"/>
  <pageSetup cellComments="asDisplayed" fitToHeight="1" fitToWidth="1" horizontalDpi="600" verticalDpi="600" orientation="portrait" scale="68" r:id="rId3"/>
  <headerFooter alignWithMargins="0">
    <oddHeader>&amp;C&amp;"Book Antiqua,Italic"&amp;ERIVER SURVEY (106 SUPPLEMENTAL MONITORING)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J5" sqref="J5"/>
    </sheetView>
  </sheetViews>
  <sheetFormatPr defaultColWidth="8.8515625" defaultRowHeight="12.75"/>
  <cols>
    <col min="1" max="1" width="34.28125" style="0" customWidth="1"/>
    <col min="2" max="2" width="10.00390625" style="0" customWidth="1"/>
    <col min="3" max="3" width="8.421875" style="0" customWidth="1"/>
    <col min="4" max="4" width="8.7109375" style="0" customWidth="1"/>
    <col min="5" max="5" width="12.421875" style="0" customWidth="1"/>
    <col min="6" max="6" width="9.28125" style="0" bestFit="1" customWidth="1"/>
    <col min="7" max="7" width="6.00390625" style="0" customWidth="1"/>
    <col min="9" max="9" width="6.140625" style="0" customWidth="1"/>
  </cols>
  <sheetData>
    <row r="1" spans="1:3" ht="12.75">
      <c r="A1" t="s">
        <v>79</v>
      </c>
      <c r="C1" t="s">
        <v>80</v>
      </c>
    </row>
    <row r="2" spans="1:6" ht="12.75">
      <c r="A2" s="33"/>
      <c r="B2" t="s">
        <v>22</v>
      </c>
      <c r="D2" t="s">
        <v>23</v>
      </c>
      <c r="E2" t="s">
        <v>81</v>
      </c>
      <c r="F2" s="32" t="s">
        <v>28</v>
      </c>
    </row>
    <row r="3" spans="1:6" ht="17.25" customHeight="1">
      <c r="A3" s="33" t="s">
        <v>82</v>
      </c>
      <c r="B3">
        <v>20</v>
      </c>
      <c r="C3">
        <v>17</v>
      </c>
      <c r="D3">
        <f>+B3*17</f>
        <v>340</v>
      </c>
      <c r="E3">
        <v>44</v>
      </c>
      <c r="F3" s="32">
        <f>D3*E3</f>
        <v>14960</v>
      </c>
    </row>
    <row r="4" spans="1:6" ht="18" customHeight="1">
      <c r="A4" s="33" t="s">
        <v>83</v>
      </c>
      <c r="B4">
        <v>16</v>
      </c>
      <c r="C4">
        <v>17</v>
      </c>
      <c r="D4">
        <f>+B4*17</f>
        <v>272</v>
      </c>
      <c r="E4">
        <v>22</v>
      </c>
      <c r="F4" s="32">
        <f>D4*E4</f>
        <v>5984</v>
      </c>
    </row>
    <row r="5" spans="1:6" ht="23.25" customHeight="1">
      <c r="A5" s="33" t="s">
        <v>84</v>
      </c>
      <c r="D5">
        <f>F37</f>
        <v>39.58</v>
      </c>
      <c r="E5">
        <v>44</v>
      </c>
      <c r="F5" s="32">
        <f>D5*E5</f>
        <v>1741.52</v>
      </c>
    </row>
    <row r="6" spans="1:6" ht="18" customHeight="1">
      <c r="A6" s="33" t="s">
        <v>85</v>
      </c>
      <c r="D6">
        <f>F37</f>
        <v>39.58</v>
      </c>
      <c r="E6">
        <v>22</v>
      </c>
      <c r="F6" s="32">
        <f>D6*E6</f>
        <v>870.76</v>
      </c>
    </row>
    <row r="7" spans="1:10" ht="15" customHeight="1">
      <c r="A7" s="33" t="s">
        <v>86</v>
      </c>
      <c r="F7" s="32">
        <f>SUM(F3:F4)</f>
        <v>20944</v>
      </c>
      <c r="J7" s="32"/>
    </row>
    <row r="8" spans="1:6" ht="15" customHeight="1">
      <c r="A8" s="33" t="s">
        <v>87</v>
      </c>
      <c r="F8" s="32">
        <f>F3*0.5</f>
        <v>7480</v>
      </c>
    </row>
    <row r="9" spans="1:6" ht="12.75">
      <c r="A9" s="33" t="s">
        <v>88</v>
      </c>
      <c r="F9" s="77">
        <f>+F7+F8</f>
        <v>28424</v>
      </c>
    </row>
    <row r="11" ht="12.75">
      <c r="A11" s="33" t="s">
        <v>62</v>
      </c>
    </row>
    <row r="12" spans="1:6" ht="13.5">
      <c r="A12" s="34" t="s">
        <v>55</v>
      </c>
      <c r="F12" s="32">
        <f>E22</f>
        <v>2012</v>
      </c>
    </row>
    <row r="13" spans="1:6" ht="27" customHeight="1">
      <c r="A13" s="34" t="s">
        <v>42</v>
      </c>
      <c r="F13" s="32">
        <f>F27</f>
        <v>1960</v>
      </c>
    </row>
    <row r="14" spans="1:6" ht="22.5" customHeight="1">
      <c r="A14" s="34" t="s">
        <v>89</v>
      </c>
      <c r="F14" s="32">
        <f>E43</f>
        <v>1922.2500000000002</v>
      </c>
    </row>
    <row r="15" spans="1:6" ht="19.5" customHeight="1">
      <c r="A15" s="34" t="s">
        <v>16</v>
      </c>
      <c r="F15" s="32">
        <f>SUM(F12:F14)</f>
        <v>5894.25</v>
      </c>
    </row>
    <row r="17" spans="1:6" ht="13.5">
      <c r="A17" s="58" t="s">
        <v>64</v>
      </c>
      <c r="F17" s="77">
        <f>+F9+F15</f>
        <v>34318.25</v>
      </c>
    </row>
    <row r="18" ht="13.5" thickBot="1"/>
    <row r="19" spans="1:6" ht="20.25" customHeight="1">
      <c r="A19" s="35" t="s">
        <v>1</v>
      </c>
      <c r="B19" s="2" t="s">
        <v>90</v>
      </c>
      <c r="C19" s="19" t="s">
        <v>27</v>
      </c>
      <c r="D19" s="19" t="s">
        <v>2</v>
      </c>
      <c r="E19" s="43" t="s">
        <v>3</v>
      </c>
      <c r="F19" s="40"/>
    </row>
    <row r="20" spans="1:6" ht="33" customHeight="1">
      <c r="A20" s="38" t="s">
        <v>41</v>
      </c>
      <c r="B20" s="36">
        <v>145</v>
      </c>
      <c r="C20" s="37">
        <v>6</v>
      </c>
      <c r="D20" s="37">
        <v>2</v>
      </c>
      <c r="E20" s="44">
        <f>+B20*C20*D20</f>
        <v>1740</v>
      </c>
      <c r="F20" s="40"/>
    </row>
    <row r="21" spans="1:6" ht="31.5" customHeight="1" thickBot="1">
      <c r="A21" s="38" t="s">
        <v>91</v>
      </c>
      <c r="B21" s="36">
        <v>136</v>
      </c>
      <c r="C21" s="37">
        <v>1</v>
      </c>
      <c r="D21" s="37">
        <v>2</v>
      </c>
      <c r="E21" s="44">
        <f>+B21*C21*D21</f>
        <v>272</v>
      </c>
      <c r="F21" s="40"/>
    </row>
    <row r="22" spans="1:6" ht="13.5" thickBot="1">
      <c r="A22" s="41" t="s">
        <v>61</v>
      </c>
      <c r="B22" s="42"/>
      <c r="C22" s="42"/>
      <c r="D22" s="42"/>
      <c r="E22" s="56">
        <f>SUM(E20:E21)</f>
        <v>2012</v>
      </c>
      <c r="F22" s="40"/>
    </row>
    <row r="23" spans="1:5" ht="13.5">
      <c r="A23" s="38"/>
      <c r="B23" s="36"/>
      <c r="C23" s="37"/>
      <c r="D23" s="37"/>
      <c r="E23" s="39"/>
    </row>
    <row r="24" spans="1:6" ht="12.75">
      <c r="A24" s="47" t="s">
        <v>43</v>
      </c>
      <c r="B24" s="48" t="s">
        <v>31</v>
      </c>
      <c r="C24" s="48" t="s">
        <v>32</v>
      </c>
      <c r="D24" s="48" t="s">
        <v>30</v>
      </c>
      <c r="E24" s="49" t="s">
        <v>33</v>
      </c>
      <c r="F24" s="50" t="s">
        <v>3</v>
      </c>
    </row>
    <row r="25" spans="1:6" ht="20.25" customHeight="1">
      <c r="A25" s="51" t="s">
        <v>29</v>
      </c>
      <c r="B25" s="40">
        <v>4</v>
      </c>
      <c r="C25" s="40">
        <v>6</v>
      </c>
      <c r="D25" s="40">
        <v>1</v>
      </c>
      <c r="E25" s="46">
        <v>70</v>
      </c>
      <c r="F25" s="52">
        <f>+B25*C25*D25*E25</f>
        <v>1680</v>
      </c>
    </row>
    <row r="26" spans="1:6" ht="18" customHeight="1" thickBot="1">
      <c r="A26" s="51" t="s">
        <v>63</v>
      </c>
      <c r="B26" s="40">
        <v>4</v>
      </c>
      <c r="C26" s="40">
        <v>1</v>
      </c>
      <c r="D26" s="40">
        <v>1</v>
      </c>
      <c r="E26" s="46">
        <v>70</v>
      </c>
      <c r="F26" s="52">
        <f>+B26*C26*D26*E26</f>
        <v>280</v>
      </c>
    </row>
    <row r="27" spans="1:6" ht="18.75" customHeight="1" thickBot="1">
      <c r="A27" s="53" t="s">
        <v>35</v>
      </c>
      <c r="B27" s="54"/>
      <c r="C27" s="54"/>
      <c r="D27" s="54"/>
      <c r="E27" s="55"/>
      <c r="F27" s="56">
        <f>SUM(F25:F26)</f>
        <v>1960</v>
      </c>
    </row>
    <row r="28" spans="1:6" ht="12.75">
      <c r="A28" s="45"/>
      <c r="B28" s="40"/>
      <c r="C28" s="40"/>
      <c r="D28" s="40"/>
      <c r="E28" s="46"/>
      <c r="F28" s="46"/>
    </row>
    <row r="29" spans="1:6" ht="12.75">
      <c r="A29" s="81" t="s">
        <v>129</v>
      </c>
      <c r="D29" t="s">
        <v>92</v>
      </c>
      <c r="E29" t="s">
        <v>93</v>
      </c>
      <c r="F29" t="s">
        <v>94</v>
      </c>
    </row>
    <row r="30" spans="1:6" ht="12.75">
      <c r="A30" t="s">
        <v>95</v>
      </c>
      <c r="D30">
        <v>115</v>
      </c>
      <c r="E30">
        <v>225</v>
      </c>
      <c r="F30">
        <v>4.33</v>
      </c>
    </row>
    <row r="31" spans="1:5" ht="12.75">
      <c r="A31" t="s">
        <v>96</v>
      </c>
      <c r="D31">
        <v>215</v>
      </c>
      <c r="E31">
        <v>215</v>
      </c>
    </row>
    <row r="32" spans="1:5" ht="12.75">
      <c r="A32" t="s">
        <v>97</v>
      </c>
      <c r="E32">
        <v>120</v>
      </c>
    </row>
    <row r="33" spans="1:6" ht="12.75">
      <c r="A33" t="s">
        <v>98</v>
      </c>
      <c r="E33">
        <v>180</v>
      </c>
      <c r="F33">
        <v>10</v>
      </c>
    </row>
    <row r="34" spans="1:6" ht="12.75">
      <c r="A34" t="s">
        <v>99</v>
      </c>
      <c r="E34">
        <v>487</v>
      </c>
      <c r="F34">
        <v>9</v>
      </c>
    </row>
    <row r="35" spans="1:6" ht="12.75">
      <c r="A35" t="s">
        <v>100</v>
      </c>
      <c r="D35">
        <v>130</v>
      </c>
      <c r="E35">
        <f>D35*2</f>
        <v>260</v>
      </c>
      <c r="F35">
        <v>4.75</v>
      </c>
    </row>
    <row r="36" spans="1:6" ht="12.75">
      <c r="A36" t="s">
        <v>101</v>
      </c>
      <c r="E36">
        <v>648</v>
      </c>
      <c r="F36">
        <v>11.5</v>
      </c>
    </row>
    <row r="37" spans="5:7" ht="12.75">
      <c r="E37" s="78">
        <f>SUM(E30:E36)</f>
        <v>2135</v>
      </c>
      <c r="F37" s="78">
        <f>SUM(F30:F36)</f>
        <v>39.58</v>
      </c>
      <c r="G37">
        <v>40</v>
      </c>
    </row>
    <row r="38" spans="1:5" ht="12.75">
      <c r="A38" t="s">
        <v>102</v>
      </c>
      <c r="E38">
        <f>C3</f>
        <v>17</v>
      </c>
    </row>
    <row r="39" spans="1:5" ht="12.75">
      <c r="A39" t="s">
        <v>103</v>
      </c>
      <c r="B39" t="s">
        <v>104</v>
      </c>
      <c r="E39">
        <v>80</v>
      </c>
    </row>
    <row r="40" spans="1:5" ht="12.75">
      <c r="A40" t="s">
        <v>105</v>
      </c>
      <c r="E40">
        <f>E38*E39</f>
        <v>1360</v>
      </c>
    </row>
    <row r="41" spans="1:5" ht="12.75">
      <c r="A41" t="s">
        <v>106</v>
      </c>
      <c r="E41">
        <f>E37+E40</f>
        <v>3495</v>
      </c>
    </row>
    <row r="42" spans="1:5" ht="12.75">
      <c r="A42" t="s">
        <v>107</v>
      </c>
      <c r="E42">
        <v>0.55</v>
      </c>
    </row>
    <row r="43" spans="1:5" ht="12.75">
      <c r="A43" t="s">
        <v>108</v>
      </c>
      <c r="E43" s="79">
        <f>E41*E42</f>
        <v>1922.2500000000002</v>
      </c>
    </row>
  </sheetData>
  <printOptions gridLines="1"/>
  <pageMargins left="0.75" right="0.75" top="1" bottom="1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H13" sqref="H13"/>
    </sheetView>
  </sheetViews>
  <sheetFormatPr defaultColWidth="8.8515625" defaultRowHeight="12.75"/>
  <cols>
    <col min="1" max="1" width="35.421875" style="0" customWidth="1"/>
    <col min="2" max="2" width="10.00390625" style="0" customWidth="1"/>
    <col min="3" max="3" width="8.421875" style="0" customWidth="1"/>
    <col min="4" max="4" width="8.7109375" style="0" customWidth="1"/>
    <col min="5" max="5" width="12.421875" style="0" customWidth="1"/>
    <col min="7" max="7" width="6.00390625" style="0" customWidth="1"/>
    <col min="9" max="9" width="6.140625" style="0" customWidth="1"/>
  </cols>
  <sheetData>
    <row r="1" ht="12.75">
      <c r="A1" t="s">
        <v>109</v>
      </c>
    </row>
    <row r="2" spans="1:6" ht="12.75">
      <c r="A2" s="33"/>
      <c r="B2" t="s">
        <v>22</v>
      </c>
      <c r="C2" t="s">
        <v>130</v>
      </c>
      <c r="D2" t="s">
        <v>23</v>
      </c>
      <c r="E2" t="s">
        <v>131</v>
      </c>
      <c r="F2" s="32" t="s">
        <v>28</v>
      </c>
    </row>
    <row r="3" spans="1:6" ht="17.25" customHeight="1">
      <c r="A3" s="33"/>
      <c r="B3">
        <v>14</v>
      </c>
      <c r="C3">
        <v>17</v>
      </c>
      <c r="D3">
        <f>+B3*17</f>
        <v>238</v>
      </c>
      <c r="E3">
        <v>40</v>
      </c>
      <c r="F3" s="32">
        <f>D3*E3</f>
        <v>9520</v>
      </c>
    </row>
    <row r="4" spans="1:10" ht="15" customHeight="1">
      <c r="A4" s="33" t="s">
        <v>110</v>
      </c>
      <c r="F4" s="32">
        <f>SUM(F3:F3)</f>
        <v>9520</v>
      </c>
      <c r="J4" s="32"/>
    </row>
    <row r="5" spans="1:6" ht="15" customHeight="1">
      <c r="A5" s="33" t="s">
        <v>87</v>
      </c>
      <c r="F5" s="32">
        <f>F3*0.5</f>
        <v>4760</v>
      </c>
    </row>
    <row r="6" spans="1:6" ht="12.75">
      <c r="A6" s="33" t="s">
        <v>111</v>
      </c>
      <c r="F6" s="77">
        <f>+F4+F5</f>
        <v>14280</v>
      </c>
    </row>
    <row r="8" ht="12.75">
      <c r="A8" s="33" t="s">
        <v>62</v>
      </c>
    </row>
    <row r="9" spans="1:6" ht="13.5">
      <c r="A9" s="34" t="s">
        <v>55</v>
      </c>
      <c r="F9" s="32">
        <f>D19</f>
        <v>1006</v>
      </c>
    </row>
    <row r="10" spans="1:6" ht="27" customHeight="1">
      <c r="A10" s="34" t="s">
        <v>42</v>
      </c>
      <c r="F10" s="32">
        <f>F24</f>
        <v>1960</v>
      </c>
    </row>
    <row r="11" spans="1:6" ht="22.5" customHeight="1">
      <c r="A11" s="34" t="s">
        <v>112</v>
      </c>
      <c r="F11" s="32">
        <f>E40</f>
        <v>1922.2500000000002</v>
      </c>
    </row>
    <row r="12" spans="1:6" ht="19.5" customHeight="1">
      <c r="A12" s="34" t="s">
        <v>16</v>
      </c>
      <c r="F12" s="32">
        <f>SUM(F9:F11)</f>
        <v>4888.25</v>
      </c>
    </row>
    <row r="14" spans="1:6" ht="13.5">
      <c r="A14" s="58" t="s">
        <v>64</v>
      </c>
      <c r="F14" s="77">
        <f>+F6+F12</f>
        <v>19168.25</v>
      </c>
    </row>
    <row r="15" ht="13.5" thickBot="1"/>
    <row r="16" spans="1:6" ht="20.25" customHeight="1">
      <c r="A16" s="35" t="s">
        <v>1</v>
      </c>
      <c r="B16" s="2" t="s">
        <v>113</v>
      </c>
      <c r="C16" s="19" t="s">
        <v>27</v>
      </c>
      <c r="D16" s="43" t="s">
        <v>3</v>
      </c>
      <c r="F16" s="40"/>
    </row>
    <row r="17" spans="1:6" ht="33" customHeight="1">
      <c r="A17" s="38" t="s">
        <v>41</v>
      </c>
      <c r="B17" s="36">
        <v>145</v>
      </c>
      <c r="C17" s="37">
        <v>6</v>
      </c>
      <c r="D17" s="44">
        <f>+B17*C17</f>
        <v>870</v>
      </c>
      <c r="F17" s="40"/>
    </row>
    <row r="18" spans="1:6" ht="31.5" customHeight="1">
      <c r="A18" s="38" t="s">
        <v>91</v>
      </c>
      <c r="B18" s="36">
        <v>136</v>
      </c>
      <c r="C18" s="37">
        <v>1</v>
      </c>
      <c r="D18" s="44">
        <f>+B18*C18</f>
        <v>136</v>
      </c>
      <c r="F18" s="40"/>
    </row>
    <row r="19" spans="1:6" ht="13.5" thickBot="1">
      <c r="A19" s="41" t="s">
        <v>61</v>
      </c>
      <c r="B19" s="42"/>
      <c r="C19" s="42"/>
      <c r="D19" s="80">
        <f>SUM(D17:D18)</f>
        <v>1006</v>
      </c>
      <c r="F19" s="40"/>
    </row>
    <row r="20" spans="1:5" ht="13.5">
      <c r="A20" s="38"/>
      <c r="B20" s="36"/>
      <c r="C20" s="37"/>
      <c r="D20" s="37"/>
      <c r="E20" s="39"/>
    </row>
    <row r="21" spans="1:6" ht="12.75">
      <c r="A21" s="47" t="s">
        <v>43</v>
      </c>
      <c r="B21" s="48" t="s">
        <v>31</v>
      </c>
      <c r="C21" s="48" t="s">
        <v>32</v>
      </c>
      <c r="D21" s="48" t="s">
        <v>30</v>
      </c>
      <c r="E21" s="49" t="s">
        <v>33</v>
      </c>
      <c r="F21" s="50" t="s">
        <v>3</v>
      </c>
    </row>
    <row r="22" spans="1:6" ht="20.25" customHeight="1">
      <c r="A22" s="51" t="s">
        <v>114</v>
      </c>
      <c r="B22" s="40">
        <v>4</v>
      </c>
      <c r="C22" s="40">
        <v>6</v>
      </c>
      <c r="D22" s="40">
        <v>1</v>
      </c>
      <c r="E22" s="46">
        <v>70</v>
      </c>
      <c r="F22" s="52">
        <f>+B22*C22*D22*E22</f>
        <v>1680</v>
      </c>
    </row>
    <row r="23" spans="1:6" ht="18" customHeight="1" thickBot="1">
      <c r="A23" s="51" t="s">
        <v>63</v>
      </c>
      <c r="B23" s="40">
        <v>4</v>
      </c>
      <c r="C23" s="40">
        <v>1</v>
      </c>
      <c r="D23" s="40">
        <v>1</v>
      </c>
      <c r="E23" s="46">
        <v>70</v>
      </c>
      <c r="F23" s="52">
        <f>+B23*C23*D23*E23</f>
        <v>280</v>
      </c>
    </row>
    <row r="24" spans="1:6" ht="18.75" customHeight="1" thickBot="1">
      <c r="A24" s="53" t="s">
        <v>35</v>
      </c>
      <c r="B24" s="54"/>
      <c r="C24" s="54"/>
      <c r="D24" s="54"/>
      <c r="E24" s="55"/>
      <c r="F24" s="56">
        <f>SUM(F22:F23)</f>
        <v>1960</v>
      </c>
    </row>
    <row r="25" spans="1:6" ht="12.75">
      <c r="A25" s="45"/>
      <c r="B25" s="40"/>
      <c r="C25" s="40"/>
      <c r="D25" s="40"/>
      <c r="E25" s="46"/>
      <c r="F25" s="46"/>
    </row>
    <row r="26" spans="4:6" ht="12.75">
      <c r="D26" t="s">
        <v>115</v>
      </c>
      <c r="E26" t="s">
        <v>116</v>
      </c>
      <c r="F26" t="s">
        <v>117</v>
      </c>
    </row>
    <row r="27" spans="1:6" ht="12.75">
      <c r="A27" t="s">
        <v>95</v>
      </c>
      <c r="D27">
        <v>115</v>
      </c>
      <c r="E27">
        <v>225</v>
      </c>
      <c r="F27">
        <v>4.33</v>
      </c>
    </row>
    <row r="28" spans="1:5" ht="12.75">
      <c r="A28" t="s">
        <v>118</v>
      </c>
      <c r="D28">
        <v>215</v>
      </c>
      <c r="E28">
        <v>215</v>
      </c>
    </row>
    <row r="29" spans="1:5" ht="12.75">
      <c r="A29" t="s">
        <v>119</v>
      </c>
      <c r="E29">
        <v>120</v>
      </c>
    </row>
    <row r="30" spans="1:6" ht="12.75">
      <c r="A30" t="s">
        <v>120</v>
      </c>
      <c r="E30">
        <v>180</v>
      </c>
      <c r="F30">
        <v>10</v>
      </c>
    </row>
    <row r="31" spans="1:6" ht="12.75">
      <c r="A31" t="s">
        <v>99</v>
      </c>
      <c r="E31">
        <v>487</v>
      </c>
      <c r="F31">
        <v>9</v>
      </c>
    </row>
    <row r="32" spans="1:6" ht="12.75">
      <c r="A32" t="s">
        <v>100</v>
      </c>
      <c r="D32">
        <v>130</v>
      </c>
      <c r="E32">
        <f>D32*2</f>
        <v>260</v>
      </c>
      <c r="F32">
        <v>4.75</v>
      </c>
    </row>
    <row r="33" spans="1:6" ht="12.75">
      <c r="A33" t="s">
        <v>101</v>
      </c>
      <c r="E33">
        <v>648</v>
      </c>
      <c r="F33">
        <v>11.5</v>
      </c>
    </row>
    <row r="34" spans="5:6" ht="12.75">
      <c r="E34" s="78">
        <f>SUM(E27:E33)</f>
        <v>2135</v>
      </c>
      <c r="F34" s="78">
        <f>SUM(F27:F33)</f>
        <v>39.58</v>
      </c>
    </row>
    <row r="35" spans="1:5" ht="12.75">
      <c r="A35" t="s">
        <v>121</v>
      </c>
      <c r="E35">
        <f>C3</f>
        <v>17</v>
      </c>
    </row>
    <row r="36" spans="1:5" ht="12.75">
      <c r="A36" t="s">
        <v>122</v>
      </c>
      <c r="B36" t="s">
        <v>123</v>
      </c>
      <c r="E36">
        <v>80</v>
      </c>
    </row>
    <row r="37" spans="1:5" ht="12.75">
      <c r="A37" t="s">
        <v>124</v>
      </c>
      <c r="E37">
        <f>E35*E36</f>
        <v>1360</v>
      </c>
    </row>
    <row r="38" spans="1:5" ht="12.75">
      <c r="A38" t="s">
        <v>125</v>
      </c>
      <c r="E38">
        <f>E34+E37</f>
        <v>3495</v>
      </c>
    </row>
    <row r="39" spans="1:5" ht="12.75">
      <c r="A39" t="s">
        <v>126</v>
      </c>
      <c r="E39">
        <v>0.55</v>
      </c>
    </row>
    <row r="40" spans="1:5" ht="12.75">
      <c r="A40" t="s">
        <v>127</v>
      </c>
      <c r="E40" s="79">
        <f>E38*E39</f>
        <v>1922.2500000000002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workbookViewId="0" topLeftCell="A1">
      <selection activeCell="A39" sqref="A39:E42"/>
    </sheetView>
  </sheetViews>
  <sheetFormatPr defaultColWidth="9.140625" defaultRowHeight="12.75"/>
  <cols>
    <col min="1" max="1" width="41.8515625" style="33" customWidth="1"/>
    <col min="2" max="2" width="13.28125" style="0" customWidth="1"/>
    <col min="5" max="5" width="9.140625" style="32" customWidth="1"/>
  </cols>
  <sheetData>
    <row r="1" spans="4:6" ht="12.75">
      <c r="D1">
        <v>17</v>
      </c>
      <c r="E1" s="32">
        <f>+F1*D1</f>
        <v>99960</v>
      </c>
      <c r="F1">
        <v>5880</v>
      </c>
    </row>
    <row r="2" spans="2:6" ht="12.75">
      <c r="B2" t="s">
        <v>24</v>
      </c>
      <c r="C2" t="s">
        <v>22</v>
      </c>
      <c r="D2" t="s">
        <v>23</v>
      </c>
      <c r="E2" s="32" t="s">
        <v>28</v>
      </c>
      <c r="F2" t="s">
        <v>25</v>
      </c>
    </row>
    <row r="3" spans="1:6" ht="12.75">
      <c r="A3" s="33" t="s">
        <v>60</v>
      </c>
      <c r="B3">
        <f>29.5*1.5</f>
        <v>44.25</v>
      </c>
      <c r="D3">
        <v>260</v>
      </c>
      <c r="E3" s="32">
        <f>+B3*D3</f>
        <v>11505</v>
      </c>
      <c r="F3" t="s">
        <v>26</v>
      </c>
    </row>
    <row r="4" spans="1:6" ht="12.75">
      <c r="A4" s="33" t="s">
        <v>56</v>
      </c>
      <c r="B4">
        <f>26*1.27</f>
        <v>33.02</v>
      </c>
      <c r="C4">
        <v>20</v>
      </c>
      <c r="D4">
        <f>+C4*17</f>
        <v>340</v>
      </c>
      <c r="E4" s="32">
        <f>+B4*D4</f>
        <v>11226.800000000001</v>
      </c>
      <c r="F4">
        <f>+B4*C4</f>
        <v>660.4000000000001</v>
      </c>
    </row>
    <row r="5" spans="1:6" ht="12.75">
      <c r="A5" s="33" t="s">
        <v>45</v>
      </c>
      <c r="B5">
        <f>20*1.27</f>
        <v>25.4</v>
      </c>
      <c r="C5">
        <v>16</v>
      </c>
      <c r="D5">
        <f>+C5*17</f>
        <v>272</v>
      </c>
      <c r="E5" s="32">
        <f>+B5*D5</f>
        <v>6908.799999999999</v>
      </c>
      <c r="F5">
        <f>+B5*C5</f>
        <v>406.4</v>
      </c>
    </row>
    <row r="6" spans="1:6" ht="12.75">
      <c r="A6" s="33" t="s">
        <v>58</v>
      </c>
      <c r="B6">
        <f>25*1.27</f>
        <v>31.75</v>
      </c>
      <c r="C6">
        <v>16</v>
      </c>
      <c r="D6">
        <f>+C6*17</f>
        <v>272</v>
      </c>
      <c r="E6" s="32">
        <f>+B6*D6</f>
        <v>8636</v>
      </c>
      <c r="F6">
        <f>+B6*C6</f>
        <v>508</v>
      </c>
    </row>
    <row r="7" spans="1:6" ht="12.75">
      <c r="A7" s="33" t="s">
        <v>46</v>
      </c>
      <c r="B7">
        <f>15*1.27</f>
        <v>19.05</v>
      </c>
      <c r="C7">
        <v>16</v>
      </c>
      <c r="D7">
        <f>+C7*17</f>
        <v>272</v>
      </c>
      <c r="E7" s="32">
        <f>+B7*D7</f>
        <v>5181.6</v>
      </c>
      <c r="F7">
        <f>+B7*C7</f>
        <v>304.8</v>
      </c>
    </row>
    <row r="8" spans="1:5" ht="12.75">
      <c r="A8" s="33" t="s">
        <v>52</v>
      </c>
      <c r="E8" s="32">
        <f>SUM(E3:E7)</f>
        <v>43458.200000000004</v>
      </c>
    </row>
    <row r="10" spans="1:5" ht="12.75">
      <c r="A10" s="33" t="s">
        <v>57</v>
      </c>
      <c r="E10" s="32">
        <f>+E8*0.1367</f>
        <v>5940.7359400000005</v>
      </c>
    </row>
    <row r="12" ht="13.5">
      <c r="A12" s="34" t="s">
        <v>54</v>
      </c>
    </row>
    <row r="13" spans="1:5" ht="13.5">
      <c r="A13" s="34" t="s">
        <v>55</v>
      </c>
      <c r="E13" s="32">
        <f>E31</f>
        <v>4364</v>
      </c>
    </row>
    <row r="14" spans="1:5" ht="27">
      <c r="A14" s="34" t="s">
        <v>42</v>
      </c>
      <c r="E14" s="32">
        <f>F37</f>
        <v>5390</v>
      </c>
    </row>
    <row r="15" spans="1:5" ht="13.5">
      <c r="A15" s="34" t="s">
        <v>49</v>
      </c>
      <c r="E15" s="32">
        <f>E42</f>
        <v>1800</v>
      </c>
    </row>
    <row r="16" spans="1:5" ht="13.5">
      <c r="A16" s="34" t="s">
        <v>16</v>
      </c>
      <c r="E16" s="32">
        <f>SUM(E13:E15)</f>
        <v>11554</v>
      </c>
    </row>
    <row r="17" ht="13.5">
      <c r="A17" s="34"/>
    </row>
    <row r="18" spans="1:5" ht="12.75">
      <c r="A18" s="33" t="s">
        <v>51</v>
      </c>
      <c r="E18" s="32">
        <v>10000</v>
      </c>
    </row>
    <row r="20" spans="1:5" ht="12.75">
      <c r="A20" s="33" t="s">
        <v>53</v>
      </c>
      <c r="E20" s="32">
        <v>10000</v>
      </c>
    </row>
    <row r="22" spans="1:5" ht="12.75">
      <c r="A22" s="33" t="s">
        <v>3</v>
      </c>
      <c r="E22" s="32">
        <f>+E8+E10+E16+E18+E20</f>
        <v>80952.93594</v>
      </c>
    </row>
    <row r="26" ht="13.5" thickBot="1"/>
    <row r="27" spans="1:5" s="40" customFormat="1" ht="13.5">
      <c r="A27" s="35" t="s">
        <v>1</v>
      </c>
      <c r="B27" s="2" t="s">
        <v>4</v>
      </c>
      <c r="C27" s="19" t="s">
        <v>27</v>
      </c>
      <c r="D27" s="19" t="s">
        <v>2</v>
      </c>
      <c r="E27" s="43" t="s">
        <v>3</v>
      </c>
    </row>
    <row r="28" spans="1:5" s="40" customFormat="1" ht="27">
      <c r="A28" s="38" t="s">
        <v>41</v>
      </c>
      <c r="B28" s="36">
        <v>145</v>
      </c>
      <c r="C28" s="37">
        <v>6</v>
      </c>
      <c r="D28" s="37">
        <v>4</v>
      </c>
      <c r="E28" s="44">
        <f>+B28*C28*D28</f>
        <v>3480</v>
      </c>
    </row>
    <row r="29" spans="1:5" s="40" customFormat="1" ht="27">
      <c r="A29" s="38" t="s">
        <v>40</v>
      </c>
      <c r="B29" s="36">
        <v>136</v>
      </c>
      <c r="C29" s="37">
        <v>1</v>
      </c>
      <c r="D29" s="37">
        <v>4</v>
      </c>
      <c r="E29" s="44">
        <f>+B29*C29*D29</f>
        <v>544</v>
      </c>
    </row>
    <row r="30" spans="1:5" s="40" customFormat="1" ht="14.25" thickBot="1">
      <c r="A30" s="38" t="s">
        <v>38</v>
      </c>
      <c r="B30" s="36"/>
      <c r="C30" s="37"/>
      <c r="D30" s="37"/>
      <c r="E30" s="44">
        <f>34*10</f>
        <v>340</v>
      </c>
    </row>
    <row r="31" spans="1:5" s="40" customFormat="1" ht="13.5" thickBot="1">
      <c r="A31" s="41" t="s">
        <v>3</v>
      </c>
      <c r="B31" s="42"/>
      <c r="C31" s="42"/>
      <c r="D31" s="42"/>
      <c r="E31" s="56">
        <f>SUM(E28:E30)</f>
        <v>4364</v>
      </c>
    </row>
    <row r="32" spans="1:5" ht="13.5">
      <c r="A32" s="38"/>
      <c r="B32" s="36"/>
      <c r="C32" s="37"/>
      <c r="D32" s="37"/>
      <c r="E32" s="39"/>
    </row>
    <row r="33" spans="1:6" ht="12.75">
      <c r="A33" s="47" t="s">
        <v>43</v>
      </c>
      <c r="B33" s="48" t="s">
        <v>31</v>
      </c>
      <c r="C33" s="48" t="s">
        <v>32</v>
      </c>
      <c r="D33" s="48" t="s">
        <v>30</v>
      </c>
      <c r="E33" s="49" t="s">
        <v>33</v>
      </c>
      <c r="F33" s="50" t="s">
        <v>3</v>
      </c>
    </row>
    <row r="34" spans="1:6" ht="12.75">
      <c r="A34" s="51" t="s">
        <v>29</v>
      </c>
      <c r="B34" s="40">
        <v>4</v>
      </c>
      <c r="C34" s="40">
        <v>6</v>
      </c>
      <c r="D34" s="40">
        <v>2</v>
      </c>
      <c r="E34" s="46">
        <v>70</v>
      </c>
      <c r="F34" s="52">
        <f>+B34*C34*D34*E34</f>
        <v>3360</v>
      </c>
    </row>
    <row r="35" spans="1:6" ht="25.5">
      <c r="A35" s="51" t="s">
        <v>48</v>
      </c>
      <c r="B35" s="40">
        <v>4</v>
      </c>
      <c r="C35" s="40">
        <v>1</v>
      </c>
      <c r="D35" s="40">
        <v>5</v>
      </c>
      <c r="E35" s="46">
        <v>70</v>
      </c>
      <c r="F35" s="52">
        <f>+B35*C35*D35*E35</f>
        <v>1400</v>
      </c>
    </row>
    <row r="36" spans="1:6" ht="13.5" thickBot="1">
      <c r="A36" s="51" t="s">
        <v>34</v>
      </c>
      <c r="B36" s="40">
        <v>3</v>
      </c>
      <c r="C36" s="40">
        <v>3</v>
      </c>
      <c r="D36" s="40">
        <v>1</v>
      </c>
      <c r="E36" s="46">
        <v>70</v>
      </c>
      <c r="F36" s="52">
        <f>+B36*C36*D36*E36</f>
        <v>630</v>
      </c>
    </row>
    <row r="37" spans="1:6" ht="13.5" thickBot="1">
      <c r="A37" s="53" t="s">
        <v>35</v>
      </c>
      <c r="B37" s="54"/>
      <c r="C37" s="54"/>
      <c r="D37" s="54"/>
      <c r="E37" s="55"/>
      <c r="F37" s="56">
        <f>SUM(F34:F36)</f>
        <v>5390</v>
      </c>
    </row>
    <row r="38" spans="1:6" ht="12.75">
      <c r="A38" s="45"/>
      <c r="B38" s="40"/>
      <c r="C38" s="40"/>
      <c r="D38" s="40"/>
      <c r="E38" s="46"/>
      <c r="F38" s="46"/>
    </row>
    <row r="39" spans="1:5" ht="12.75">
      <c r="A39" s="47" t="s">
        <v>44</v>
      </c>
      <c r="B39" s="48" t="s">
        <v>31</v>
      </c>
      <c r="C39" s="48" t="s">
        <v>32</v>
      </c>
      <c r="D39" s="48" t="s">
        <v>36</v>
      </c>
      <c r="E39" s="57" t="s">
        <v>28</v>
      </c>
    </row>
    <row r="40" spans="1:5" ht="25.5">
      <c r="A40" s="51" t="s">
        <v>37</v>
      </c>
      <c r="B40" s="40">
        <v>5</v>
      </c>
      <c r="C40" s="40">
        <v>7</v>
      </c>
      <c r="D40" s="40">
        <v>40</v>
      </c>
      <c r="E40" s="52">
        <f>+B40*C40*D40</f>
        <v>1400</v>
      </c>
    </row>
    <row r="41" spans="1:5" ht="26.25" thickBot="1">
      <c r="A41" s="51" t="s">
        <v>47</v>
      </c>
      <c r="B41" s="40">
        <v>10</v>
      </c>
      <c r="C41" s="40">
        <v>1</v>
      </c>
      <c r="D41" s="40">
        <v>40</v>
      </c>
      <c r="E41" s="52">
        <f>+B41*C41*D41</f>
        <v>400</v>
      </c>
    </row>
    <row r="42" spans="1:5" ht="13.5" thickBot="1">
      <c r="A42" s="53" t="s">
        <v>39</v>
      </c>
      <c r="B42" s="54"/>
      <c r="C42" s="54"/>
      <c r="D42" s="54"/>
      <c r="E42" s="56">
        <f>SUM(E40:E41)</f>
        <v>1800</v>
      </c>
    </row>
    <row r="44" ht="12.75">
      <c r="A44" s="33" t="s">
        <v>50</v>
      </c>
    </row>
    <row r="46" ht="12.75">
      <c r="A46" s="33" t="s">
        <v>59</v>
      </c>
    </row>
  </sheetData>
  <printOptions gridLines="1"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raabr</dc:creator>
  <cp:keywords/>
  <dc:description/>
  <cp:lastModifiedBy>raabr</cp:lastModifiedBy>
  <cp:lastPrinted>2011-02-28T21:27:05Z</cp:lastPrinted>
  <dcterms:created xsi:type="dcterms:W3CDTF">2007-03-26T14:43:46Z</dcterms:created>
  <dcterms:modified xsi:type="dcterms:W3CDTF">2011-03-04T19:51:32Z</dcterms:modified>
  <cp:category/>
  <cp:version/>
  <cp:contentType/>
  <cp:contentStatus/>
</cp:coreProperties>
</file>